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40" yWindow="120" windowWidth="14940" windowHeight="9225" firstSheet="15" activeTab="17"/>
  </bookViews>
  <sheets>
    <sheet name="Table of Contents" sheetId="16" r:id="rId1"/>
    <sheet name="Total ADIT by FERC Account" sheetId="8" r:id="rId2"/>
    <sheet name="Tax Reform Summary" sheetId="17" r:id="rId3"/>
    <sheet name="Total Excess ADIT" sheetId="15" r:id="rId4"/>
    <sheet name="FPL Excess ADIT" sheetId="4" r:id="rId5"/>
    <sheet name="CBAS Excess ADIT" sheetId="5" r:id="rId6"/>
    <sheet name="ICL Excess ADIT" sheetId="6" r:id="rId7"/>
    <sheet name="Enersys Excess ADIT" sheetId="7" r:id="rId8"/>
    <sheet name="FPL FAS109 B4 Tax Reform" sheetId="9" r:id="rId9"/>
    <sheet name="FPL FAS109 w Tax Reform" sheetId="10" r:id="rId10"/>
    <sheet name="CBAS FAS109 Entry" sheetId="11" r:id="rId11"/>
    <sheet name="ICL FAS109 Entry" sheetId="12" r:id="rId12"/>
    <sheet name="Enersys FAS109 Entry" sheetId="13" r:id="rId13"/>
    <sheet name="OTP FED Pre-Tax Balances" sheetId="1" r:id="rId14"/>
    <sheet name="OTP State Pre-Tax" sheetId="3" r:id="rId15"/>
    <sheet name="OTP Total Deferred Taxes" sheetId="2" r:id="rId16"/>
    <sheet name="SAP General Ledger Balances" sheetId="14" r:id="rId17"/>
    <sheet name="SAP FAS109 2017 Q4 Entries" sheetId="18" r:id="rId18"/>
  </sheets>
  <externalReferences>
    <externalReference r:id="rId19"/>
  </externalReferences>
  <definedNames>
    <definedName name="____n4" localSheetId="5" hidden="1">{"EXCELHLP.HLP!1802";5;10;5;10;13;13;13;8;5;5;10;14;13;13;13;13;5;10;14;13;5;10;1;2;24}</definedName>
    <definedName name="____n4" localSheetId="10" hidden="1">{"EXCELHLP.HLP!1802";5;10;5;10;13;13;13;8;5;5;10;14;13;13;13;13;5;10;14;13;5;10;1;2;24}</definedName>
    <definedName name="____n4" localSheetId="7" hidden="1">{"EXCELHLP.HLP!1802";5;10;5;10;13;13;13;8;5;5;10;14;13;13;13;13;5;10;14;13;5;10;1;2;24}</definedName>
    <definedName name="____n4" localSheetId="12" hidden="1">{"EXCELHLP.HLP!1802";5;10;5;10;13;13;13;8;5;5;10;14;13;13;13;13;5;10;14;13;5;10;1;2;24}</definedName>
    <definedName name="____n4" localSheetId="4" hidden="1">{"EXCELHLP.HLP!1802";5;10;5;10;13;13;13;8;5;5;10;14;13;13;13;13;5;10;14;13;5;10;1;2;24}</definedName>
    <definedName name="____n4" localSheetId="6" hidden="1">{"EXCELHLP.HLP!1802";5;10;5;10;13;13;13;8;5;5;10;14;13;13;13;13;5;10;14;13;5;10;1;2;24}</definedName>
    <definedName name="____n4" localSheetId="11" hidden="1">{"EXCELHLP.HLP!1802";5;10;5;10;13;13;13;8;5;5;10;14;13;13;13;13;5;10;14;13;5;10;1;2;24}</definedName>
    <definedName name="____n4" localSheetId="3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n4" localSheetId="5" hidden="1">{"EXCELHLP.HLP!1802";5;10;5;10;13;13;13;8;5;5;10;14;13;13;13;13;5;10;14;13;5;10;1;2;24}</definedName>
    <definedName name="___n4" localSheetId="10" hidden="1">{"EXCELHLP.HLP!1802";5;10;5;10;13;13;13;8;5;5;10;14;13;13;13;13;5;10;14;13;5;10;1;2;24}</definedName>
    <definedName name="___n4" localSheetId="7" hidden="1">{"EXCELHLP.HLP!1802";5;10;5;10;13;13;13;8;5;5;10;14;13;13;13;13;5;10;14;13;5;10;1;2;24}</definedName>
    <definedName name="___n4" localSheetId="12" hidden="1">{"EXCELHLP.HLP!1802";5;10;5;10;13;13;13;8;5;5;10;14;13;13;13;13;5;10;14;13;5;10;1;2;24}</definedName>
    <definedName name="___n4" localSheetId="4" hidden="1">{"EXCELHLP.HLP!1802";5;10;5;10;13;13;13;8;5;5;10;14;13;13;13;13;5;10;14;13;5;10;1;2;24}</definedName>
    <definedName name="___n4" localSheetId="6" hidden="1">{"EXCELHLP.HLP!1802";5;10;5;10;13;13;13;8;5;5;10;14;13;13;13;13;5;10;14;13;5;10;1;2;24}</definedName>
    <definedName name="___n4" localSheetId="11" hidden="1">{"EXCELHLP.HLP!1802";5;10;5;10;13;13;13;8;5;5;10;14;13;13;13;13;5;10;14;13;5;10;1;2;24}</definedName>
    <definedName name="___n4" localSheetId="3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n4" localSheetId="5" hidden="1">{"EXCELHLP.HLP!1802";5;10;5;10;13;13;13;8;5;5;10;14;13;13;13;13;5;10;14;13;5;10;1;2;24}</definedName>
    <definedName name="__n4" localSheetId="10" hidden="1">{"EXCELHLP.HLP!1802";5;10;5;10;13;13;13;8;5;5;10;14;13;13;13;13;5;10;14;13;5;10;1;2;24}</definedName>
    <definedName name="__n4" localSheetId="7" hidden="1">{"EXCELHLP.HLP!1802";5;10;5;10;13;13;13;8;5;5;10;14;13;13;13;13;5;10;14;13;5;10;1;2;24}</definedName>
    <definedName name="__n4" localSheetId="12" hidden="1">{"EXCELHLP.HLP!1802";5;10;5;10;13;13;13;8;5;5;10;14;13;13;13;13;5;10;14;13;5;10;1;2;24}</definedName>
    <definedName name="__n4" localSheetId="4" hidden="1">{"EXCELHLP.HLP!1802";5;10;5;10;13;13;13;8;5;5;10;14;13;13;13;13;5;10;14;13;5;10;1;2;24}</definedName>
    <definedName name="__n4" localSheetId="6" hidden="1">{"EXCELHLP.HLP!1802";5;10;5;10;13;13;13;8;5;5;10;14;13;13;13;13;5;10;14;13;5;10;1;2;24}</definedName>
    <definedName name="__n4" localSheetId="11" hidden="1">{"EXCELHLP.HLP!1802";5;10;5;10;13;13;13;8;5;5;10;14;13;13;13;13;5;10;14;13;5;10;1;2;24}</definedName>
    <definedName name="__n4" localSheetId="3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localSheetId="10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localSheetId="12" hidden="1">{2;#N/A;"R13C16:R17C16";#N/A;"R13C14:R17C15";FALSE;FALSE;FALSE;95;#N/A;#N/A;"R13C19";#N/A;FALSE;FALSE;FALSE;FALSE;#N/A;"";#N/A;FALSE;"";"";#N/A;#N/A;#N/A}</definedName>
    <definedName name="_ATPRegress_Dlg_Results" localSheetId="4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11" hidden="1">{2;#N/A;"R13C16:R17C16";#N/A;"R13C14:R17C15";FALSE;FALSE;FALSE;95;#N/A;#N/A;"R13C19";#N/A;FALSE;FALSE;FALSE;FALSE;#N/A;"";#N/A;FALSE;"";"";#N/A;#N/A;#N/A}</definedName>
    <definedName name="_ATPRegress_Dlg_Results" localSheetId="3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5" hidden="1">{"EXCELHLP.HLP!1802";5;10;5;10;13;13;13;8;5;5;10;14;13;13;13;13;5;10;14;13;5;10;1;2;24}</definedName>
    <definedName name="_ATPRegress_Dlg_Types" localSheetId="10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localSheetId="12" hidden="1">{"EXCELHLP.HLP!1802";5;10;5;10;13;13;13;8;5;5;10;14;13;13;13;13;5;10;14;13;5;10;1;2;24}</definedName>
    <definedName name="_ATPRegress_Dlg_Types" localSheetId="4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11" hidden="1">{"EXCELHLP.HLP!1802";5;10;5;10;13;13;13;8;5;5;10;14;13;13;13;13;5;10;14;13;5;10;1;2;24}</definedName>
    <definedName name="_ATPRegress_Dlg_Types" localSheetId="3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9" hidden="1">'[1]ST Corrections'!#REF!</definedName>
    <definedName name="_ATPRegress_Range1" localSheetId="3" hidden="1">'[1]ST Corrections'!#REF!</definedName>
    <definedName name="_ATPRegress_Range1" hidden="1">'[1]ST Corrections'!#REF!</definedName>
    <definedName name="_ATPRegress_Range2" localSheetId="9" hidden="1">'[1]ST Corrections'!#REF!</definedName>
    <definedName name="_ATPRegress_Range2" localSheetId="3" hidden="1">'[1]ST Corrections'!#REF!</definedName>
    <definedName name="_ATPRegress_Range2" hidden="1">'[1]ST Corrections'!#REF!</definedName>
    <definedName name="_ATPRegress_Range3" localSheetId="9" hidden="1">'[1]ST Corrections'!#REF!</definedName>
    <definedName name="_ATPRegress_Range3" localSheetId="3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5" hidden="1">#REF!</definedName>
    <definedName name="_Fill" localSheetId="10" hidden="1">#REF!</definedName>
    <definedName name="_Fill" localSheetId="7" hidden="1">#REF!</definedName>
    <definedName name="_Fill" localSheetId="12" hidden="1">#REF!</definedName>
    <definedName name="_Fill" localSheetId="9" hidden="1">#REF!</definedName>
    <definedName name="_Fill" localSheetId="6" hidden="1">#REF!</definedName>
    <definedName name="_Fill" localSheetId="11" hidden="1">#REF!</definedName>
    <definedName name="_Fill" localSheetId="3" hidden="1">#REF!</definedName>
    <definedName name="_Fill" hidden="1">#REF!</definedName>
    <definedName name="_xlnm._FilterDatabase" localSheetId="4" hidden="1">'FPL Excess ADIT'!$A$9:$V$161</definedName>
    <definedName name="_xlnm._FilterDatabase" localSheetId="13" hidden="1">'OTP FED Pre-Tax Balances'!$A$7:$K$199</definedName>
    <definedName name="_xlnm._FilterDatabase" localSheetId="14" hidden="1">'OTP State Pre-Tax'!$A$7:$M$208</definedName>
    <definedName name="_xlnm._FilterDatabase" localSheetId="15" hidden="1">'OTP Total Deferred Taxes'!$A$6:$M$231</definedName>
    <definedName name="_xlnm._FilterDatabase" localSheetId="3" hidden="1">'Total Excess ADIT'!$A$9:$V$155</definedName>
    <definedName name="_Key1" localSheetId="5" hidden="1">#REF!</definedName>
    <definedName name="_Key1" localSheetId="10" hidden="1">#REF!</definedName>
    <definedName name="_Key1" localSheetId="7" hidden="1">#REF!</definedName>
    <definedName name="_Key1" localSheetId="4" hidden="1">#REF!</definedName>
    <definedName name="_Key1" localSheetId="9" hidden="1">#REF!</definedName>
    <definedName name="_Key1" localSheetId="6" hidden="1">#REF!</definedName>
    <definedName name="_Key1" localSheetId="11" hidden="1">#REF!</definedName>
    <definedName name="_Key1" localSheetId="3" hidden="1">#REF!</definedName>
    <definedName name="_Key1" hidden="1">#REF!</definedName>
    <definedName name="_n4" localSheetId="5" hidden="1">{"EXCELHLP.HLP!1802";5;10;5;10;13;13;13;8;5;5;10;14;13;13;13;13;5;10;14;13;5;10;1;2;24}</definedName>
    <definedName name="_n4" localSheetId="10" hidden="1">{"EXCELHLP.HLP!1802";5;10;5;10;13;13;13;8;5;5;10;14;13;13;13;13;5;10;14;13;5;10;1;2;24}</definedName>
    <definedName name="_n4" localSheetId="7" hidden="1">{"EXCELHLP.HLP!1802";5;10;5;10;13;13;13;8;5;5;10;14;13;13;13;13;5;10;14;13;5;10;1;2;24}</definedName>
    <definedName name="_n4" localSheetId="12" hidden="1">{"EXCELHLP.HLP!1802";5;10;5;10;13;13;13;8;5;5;10;14;13;13;13;13;5;10;14;13;5;10;1;2;24}</definedName>
    <definedName name="_n4" localSheetId="4" hidden="1">{"EXCELHLP.HLP!1802";5;10;5;10;13;13;13;8;5;5;10;14;13;13;13;13;5;10;14;13;5;10;1;2;24}</definedName>
    <definedName name="_n4" localSheetId="6" hidden="1">{"EXCELHLP.HLP!1802";5;10;5;10;13;13;13;8;5;5;10;14;13;13;13;13;5;10;14;13;5;10;1;2;24}</definedName>
    <definedName name="_n4" localSheetId="11" hidden="1">{"EXCELHLP.HLP!1802";5;10;5;10;13;13;13;8;5;5;10;14;13;13;13;13;5;10;14;13;5;10;1;2;24}</definedName>
    <definedName name="_n4" localSheetId="3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localSheetId="5" hidden="1">#REF!</definedName>
    <definedName name="_Sort" localSheetId="10" hidden="1">#REF!</definedName>
    <definedName name="_Sort" localSheetId="12" hidden="1">#REF!</definedName>
    <definedName name="_Sort" localSheetId="9" hidden="1">#REF!</definedName>
    <definedName name="_Sort" localSheetId="6" hidden="1">#REF!</definedName>
    <definedName name="_Sort" localSheetId="11" hidden="1">#REF!</definedName>
    <definedName name="_Sort" localSheetId="3" hidden="1">#REF!</definedName>
    <definedName name="_Sort" hidden="1">#REF!</definedName>
    <definedName name="_Table1_In1" localSheetId="5" hidden="1">#REF!</definedName>
    <definedName name="_Table1_In1" localSheetId="10" hidden="1">#REF!</definedName>
    <definedName name="_Table1_In1" localSheetId="9" hidden="1">#REF!</definedName>
    <definedName name="_Table1_In1" localSheetId="6" hidden="1">#REF!</definedName>
    <definedName name="_Table1_In1" localSheetId="11" hidden="1">#REF!</definedName>
    <definedName name="_Table1_In1" localSheetId="3" hidden="1">#REF!</definedName>
    <definedName name="_Table1_In1" hidden="1">#REF!</definedName>
    <definedName name="_Table1_Out" localSheetId="5" hidden="1">#REF!</definedName>
    <definedName name="_Table1_Out" localSheetId="10" hidden="1">#REF!</definedName>
    <definedName name="_Table1_Out" localSheetId="9" hidden="1">#REF!</definedName>
    <definedName name="_Table1_Out" localSheetId="6" hidden="1">#REF!</definedName>
    <definedName name="_Table1_Out" localSheetId="11" hidden="1">#REF!</definedName>
    <definedName name="_Table1_Out" localSheetId="3" hidden="1">#REF!</definedName>
    <definedName name="_Table1_Out" hidden="1">#REF!</definedName>
    <definedName name="_Table2_In1" localSheetId="5" hidden="1">#REF!</definedName>
    <definedName name="_Table2_In1" localSheetId="10" hidden="1">#REF!</definedName>
    <definedName name="_Table2_In1" localSheetId="9" hidden="1">#REF!</definedName>
    <definedName name="_Table2_In1" localSheetId="6" hidden="1">#REF!</definedName>
    <definedName name="_Table2_In1" localSheetId="3" hidden="1">#REF!</definedName>
    <definedName name="_Table2_In1" hidden="1">#REF!</definedName>
    <definedName name="_Table2_In2" localSheetId="5" hidden="1">#REF!</definedName>
    <definedName name="_Table2_In2" localSheetId="10" hidden="1">#REF!</definedName>
    <definedName name="_Table2_In2" localSheetId="9" hidden="1">#REF!</definedName>
    <definedName name="_Table2_In2" localSheetId="6" hidden="1">#REF!</definedName>
    <definedName name="_Table2_In2" localSheetId="3" hidden="1">#REF!</definedName>
    <definedName name="_Table2_In2" hidden="1">#REF!</definedName>
    <definedName name="_Table2_Out" localSheetId="5" hidden="1">#REF!</definedName>
    <definedName name="_Table2_Out" localSheetId="10" hidden="1">#REF!</definedName>
    <definedName name="_Table2_Out" localSheetId="9" hidden="1">#REF!</definedName>
    <definedName name="_Table2_Out" localSheetId="6" hidden="1">#REF!</definedName>
    <definedName name="_Table2_Out" localSheetId="3" hidden="1">#REF!</definedName>
    <definedName name="_Table2_Out" hidden="1">#REF!</definedName>
    <definedName name="_Table3_In2" localSheetId="5" hidden="1">#REF!</definedName>
    <definedName name="_Table3_In2" localSheetId="10" hidden="1">#REF!</definedName>
    <definedName name="_Table3_In2" localSheetId="9" hidden="1">#REF!</definedName>
    <definedName name="_Table3_In2" localSheetId="6" hidden="1">#REF!</definedName>
    <definedName name="_Table3_In2" localSheetId="3" hidden="1">#REF!</definedName>
    <definedName name="_Table3_In2" hidden="1">#REF!</definedName>
    <definedName name="anscount" hidden="1">1</definedName>
    <definedName name="AS2DocOpenMode" hidden="1">"AS2DocumentEdit"</definedName>
    <definedName name="cost" localSheetId="5" hidden="1">{#N/A,#N/A,FALSE,"T COST";#N/A,#N/A,FALSE,"COST_FH"}</definedName>
    <definedName name="cost" localSheetId="10" hidden="1">{#N/A,#N/A,FALSE,"T COST";#N/A,#N/A,FALSE,"COST_FH"}</definedName>
    <definedName name="cost" localSheetId="7" hidden="1">{#N/A,#N/A,FALSE,"T COST";#N/A,#N/A,FALSE,"COST_FH"}</definedName>
    <definedName name="cost" localSheetId="12" hidden="1">{#N/A,#N/A,FALSE,"T COST";#N/A,#N/A,FALSE,"COST_FH"}</definedName>
    <definedName name="cost" localSheetId="4" hidden="1">{#N/A,#N/A,FALSE,"T COST";#N/A,#N/A,FALSE,"COST_FH"}</definedName>
    <definedName name="cost" localSheetId="6" hidden="1">{#N/A,#N/A,FALSE,"T COST";#N/A,#N/A,FALSE,"COST_FH"}</definedName>
    <definedName name="cost" localSheetId="11" hidden="1">{#N/A,#N/A,FALSE,"T COST";#N/A,#N/A,FALSE,"COST_FH"}</definedName>
    <definedName name="cost" localSheetId="3" hidden="1">{#N/A,#N/A,FALSE,"T COST";#N/A,#N/A,FALSE,"COST_FH"}</definedName>
    <definedName name="cost" hidden="1">{#N/A,#N/A,FALSE,"T COST";#N/A,#N/A,FALSE,"COST_FH"}</definedName>
    <definedName name="Cwvu.GREY_ALL." localSheetId="5" hidden="1">#REF!</definedName>
    <definedName name="Cwvu.GREY_ALL." localSheetId="10" hidden="1">#REF!</definedName>
    <definedName name="Cwvu.GREY_ALL." localSheetId="7" hidden="1">#REF!</definedName>
    <definedName name="Cwvu.GREY_ALL." localSheetId="12" hidden="1">#REF!</definedName>
    <definedName name="Cwvu.GREY_ALL." localSheetId="9" hidden="1">#REF!</definedName>
    <definedName name="Cwvu.GREY_ALL." localSheetId="6" hidden="1">#REF!</definedName>
    <definedName name="Cwvu.GREY_ALL." localSheetId="11" hidden="1">#REF!</definedName>
    <definedName name="Cwvu.GREY_ALL." localSheetId="3" hidden="1">#REF!</definedName>
    <definedName name="Cwvu.GREY_ALL." hidden="1">#REF!</definedName>
    <definedName name="nada" localSheetId="5" hidden="1">{2;#N/A;"R13C16:R17C16";#N/A;"R13C14:R17C15";FALSE;FALSE;FALSE;95;#N/A;#N/A;"R13C19";#N/A;FALSE;FALSE;FALSE;FALSE;#N/A;"";#N/A;FALSE;"";"";#N/A;#N/A;#N/A}</definedName>
    <definedName name="nada" localSheetId="10" hidden="1">{2;#N/A;"R13C16:R17C16";#N/A;"R13C14:R17C15";FALSE;FALSE;FALSE;95;#N/A;#N/A;"R13C19";#N/A;FALSE;FALSE;FALSE;FALSE;#N/A;"";#N/A;FALSE;"";"";#N/A;#N/A;#N/A}</definedName>
    <definedName name="nada" localSheetId="7" hidden="1">{2;#N/A;"R13C16:R17C16";#N/A;"R13C14:R17C15";FALSE;FALSE;FALSE;95;#N/A;#N/A;"R13C19";#N/A;FALSE;FALSE;FALSE;FALSE;#N/A;"";#N/A;FALSE;"";"";#N/A;#N/A;#N/A}</definedName>
    <definedName name="nada" localSheetId="12" hidden="1">{2;#N/A;"R13C16:R17C16";#N/A;"R13C14:R17C15";FALSE;FALSE;FALSE;95;#N/A;#N/A;"R13C19";#N/A;FALSE;FALSE;FALSE;FALSE;#N/A;"";#N/A;FALSE;"";"";#N/A;#N/A;#N/A}</definedName>
    <definedName name="nada" localSheetId="4" hidden="1">{2;#N/A;"R13C16:R17C16";#N/A;"R13C14:R17C15";FALSE;FALSE;FALSE;95;#N/A;#N/A;"R13C19";#N/A;FALSE;FALSE;FALSE;FALSE;#N/A;"";#N/A;FALSE;"";"";#N/A;#N/A;#N/A}</definedName>
    <definedName name="nada" localSheetId="6" hidden="1">{2;#N/A;"R13C16:R17C16";#N/A;"R13C14:R17C15";FALSE;FALSE;FALSE;95;#N/A;#N/A;"R13C19";#N/A;FALSE;FALSE;FALSE;FALSE;#N/A;"";#N/A;FALSE;"";"";#N/A;#N/A;#N/A}</definedName>
    <definedName name="nada" localSheetId="11" hidden="1">{2;#N/A;"R13C16:R17C16";#N/A;"R13C14:R17C15";FALSE;FALSE;FALSE;95;#N/A;#N/A;"R13C19";#N/A;FALSE;FALSE;FALSE;FALSE;#N/A;"";#N/A;FALSE;"";"";#N/A;#N/A;#N/A}</definedName>
    <definedName name="nada" localSheetId="3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_xlnm.Print_Area" localSheetId="5">'CBAS Excess ADIT'!$A$1:$V$48</definedName>
    <definedName name="_xlnm.Print_Area" localSheetId="10">'CBAS FAS109 Entry'!$A$1:$X$37</definedName>
    <definedName name="_xlnm.Print_Area" localSheetId="7">'Enersys Excess ADIT'!$A$1:$V$27</definedName>
    <definedName name="_xlnm.Print_Area" localSheetId="12">'Enersys FAS109 Entry'!$A$1:$X$37</definedName>
    <definedName name="_xlnm.Print_Area" localSheetId="4">'FPL Excess ADIT'!$A$10:$V$182</definedName>
    <definedName name="_xlnm.Print_Area" localSheetId="8">'FPL FAS109 B4 Tax Reform'!$A$1:$Y$110</definedName>
    <definedName name="_xlnm.Print_Area" localSheetId="9">'FPL FAS109 w Tax Reform'!$A$1:$Y$121</definedName>
    <definedName name="_xlnm.Print_Area" localSheetId="6">'ICL Excess ADIT'!$A$1:$V$48</definedName>
    <definedName name="_xlnm.Print_Area" localSheetId="11">'ICL FAS109 Entry'!$A$1:$X$39</definedName>
    <definedName name="_xlnm.Print_Area" localSheetId="2">'Tax Reform Summary'!$A$1:$L$53</definedName>
    <definedName name="_xlnm.Print_Area" localSheetId="1">'Total ADIT by FERC Account'!$A$1:$S$23</definedName>
    <definedName name="_xlnm.Print_Area" localSheetId="3">'Total Excess ADIT'!$A$10:$V$166</definedName>
    <definedName name="_xlnm.Print_Titles" localSheetId="4">'FPL Excess ADIT'!$1:$9</definedName>
    <definedName name="_xlnm.Print_Titles" localSheetId="3">'Total Excess ADIT'!$1:$9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wrn.3cases." localSheetId="5" hidden="1">{#N/A,"Base",FALSE,"Dividend";#N/A,"Conservative",FALSE,"Dividend";#N/A,"Downside",FALSE,"Dividend"}</definedName>
    <definedName name="wrn.3cases." localSheetId="10" hidden="1">{#N/A,"Base",FALSE,"Dividend";#N/A,"Conservative",FALSE,"Dividend";#N/A,"Downside",FALSE,"Dividend"}</definedName>
    <definedName name="wrn.3cases." localSheetId="7" hidden="1">{#N/A,"Base",FALSE,"Dividend";#N/A,"Conservative",FALSE,"Dividend";#N/A,"Downside",FALSE,"Dividend"}</definedName>
    <definedName name="wrn.3cases." localSheetId="12" hidden="1">{#N/A,"Base",FALSE,"Dividend";#N/A,"Conservative",FALSE,"Dividend";#N/A,"Downside",FALSE,"Dividend"}</definedName>
    <definedName name="wrn.3cases." localSheetId="4" hidden="1">{#N/A,"Base",FALSE,"Dividend";#N/A,"Conservative",FALSE,"Dividend";#N/A,"Downside",FALSE,"Dividend"}</definedName>
    <definedName name="wrn.3cases." localSheetId="6" hidden="1">{#N/A,"Base",FALSE,"Dividend";#N/A,"Conservative",FALSE,"Dividend";#N/A,"Downside",FALSE,"Dividend"}</definedName>
    <definedName name="wrn.3cases." localSheetId="11" hidden="1">{#N/A,"Base",FALSE,"Dividend";#N/A,"Conservative",FALSE,"Dividend";#N/A,"Downside",FALSE,"Dividend"}</definedName>
    <definedName name="wrn.3cases." localSheetId="3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ccretion." localSheetId="5" hidden="1">{"Accretion",#N/A,FALSE,"Assum"}</definedName>
    <definedName name="wrn.Accretion." localSheetId="10" hidden="1">{"Accretion",#N/A,FALSE,"Assum"}</definedName>
    <definedName name="wrn.Accretion." localSheetId="7" hidden="1">{"Accretion",#N/A,FALSE,"Assum"}</definedName>
    <definedName name="wrn.Accretion." localSheetId="12" hidden="1">{"Accretion",#N/A,FALSE,"Assum"}</definedName>
    <definedName name="wrn.Accretion." localSheetId="4" hidden="1">{"Accretion",#N/A,FALSE,"Assum"}</definedName>
    <definedName name="wrn.Accretion." localSheetId="6" hidden="1">{"Accretion",#N/A,FALSE,"Assum"}</definedName>
    <definedName name="wrn.Accretion." localSheetId="11" hidden="1">{"Accretion",#N/A,FALSE,"Assum"}</definedName>
    <definedName name="wrn.Accretion." localSheetId="3" hidden="1">{"Accretion",#N/A,FALSE,"Assum"}</definedName>
    <definedName name="wrn.Accretion." hidden="1">{"Accretion",#N/A,FALSE,"Assum"}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0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4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11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3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ssumptions." localSheetId="5" hidden="1">{"Assumptions",#N/A,FALSE,"Assum"}</definedName>
    <definedName name="wrn.Assumptions." localSheetId="10" hidden="1">{"Assumptions",#N/A,FALSE,"Assum"}</definedName>
    <definedName name="wrn.Assumptions." localSheetId="7" hidden="1">{"Assumptions",#N/A,FALSE,"Assum"}</definedName>
    <definedName name="wrn.Assumptions." localSheetId="12" hidden="1">{"Assumptions",#N/A,FALSE,"Assum"}</definedName>
    <definedName name="wrn.Assumptions." localSheetId="4" hidden="1">{"Assumptions",#N/A,FALSE,"Assum"}</definedName>
    <definedName name="wrn.Assumptions." localSheetId="6" hidden="1">{"Assumptions",#N/A,FALSE,"Assum"}</definedName>
    <definedName name="wrn.Assumptions." localSheetId="11" hidden="1">{"Assumptions",#N/A,FALSE,"Assum"}</definedName>
    <definedName name="wrn.Assumptions." localSheetId="3" hidden="1">{"Assumptions",#N/A,FALSE,"Assum"}</definedName>
    <definedName name="wrn.Assumptions." hidden="1">{"Assumptions",#N/A,FALSE,"Assum"}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0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2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4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11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5" hidden="1">{#N/A,#N/A,FALSE,"SUMMARY";#N/A,#N/A,FALSE,"INPUTDATA";#N/A,#N/A,FALSE,"Condenser Performance"}</definedName>
    <definedName name="wrn.Condenser._.Summary." localSheetId="10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localSheetId="12" hidden="1">{#N/A,#N/A,FALSE,"SUMMARY";#N/A,#N/A,FALSE,"INPUTDATA";#N/A,#N/A,FALSE,"Condenser Performance"}</definedName>
    <definedName name="wrn.Condenser._.Summary." localSheetId="4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11" hidden="1">{#N/A,#N/A,FALSE,"SUMMARY";#N/A,#N/A,FALSE,"INPUTDATA";#N/A,#N/A,FALSE,"Condenser Performance"}</definedName>
    <definedName name="wrn.Condenser._.Summary." localSheetId="3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5" hidden="1">{#N/A,#N/A,FALSE,"T COST";#N/A,#N/A,FALSE,"COST_FH"}</definedName>
    <definedName name="wrn.COST." localSheetId="10" hidden="1">{#N/A,#N/A,FALSE,"T COST";#N/A,#N/A,FALSE,"COST_FH"}</definedName>
    <definedName name="wrn.COST." localSheetId="7" hidden="1">{#N/A,#N/A,FALSE,"T COST";#N/A,#N/A,FALSE,"COST_FH"}</definedName>
    <definedName name="wrn.COST." localSheetId="12" hidden="1">{#N/A,#N/A,FALSE,"T COST";#N/A,#N/A,FALSE,"COST_FH"}</definedName>
    <definedName name="wrn.COST." localSheetId="4" hidden="1">{#N/A,#N/A,FALSE,"T COST";#N/A,#N/A,FALSE,"COST_FH"}</definedName>
    <definedName name="wrn.COST." localSheetId="6" hidden="1">{#N/A,#N/A,FALSE,"T COST";#N/A,#N/A,FALSE,"COST_FH"}</definedName>
    <definedName name="wrn.COST." localSheetId="11" hidden="1">{#N/A,#N/A,FALSE,"T COST";#N/A,#N/A,FALSE,"COST_FH"}</definedName>
    <definedName name="wrn.COST." localSheetId="3" hidden="1">{#N/A,#N/A,FALSE,"T COST";#N/A,#N/A,FALSE,"COST_FH"}</definedName>
    <definedName name="wrn.COST." hidden="1">{#N/A,#N/A,FALSE,"T COST";#N/A,#N/A,FALSE,"COST_FH"}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localSheetId="10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localSheetId="12" hidden="1">{#N/A,#N/A,FALSE,"INPUTDATA";#N/A,#N/A,FALSE,"SUMMARY";#N/A,#N/A,FALSE,"CTAREP";#N/A,#N/A,FALSE,"CTBREP";#N/A,#N/A,FALSE,"TURBEFF";#N/A,#N/A,FALSE,"Condenser Performance"}</definedName>
    <definedName name="wrn.Engr._.Summary." localSheetId="4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11" hidden="1">{#N/A,#N/A,FALSE,"INPUTDATA";#N/A,#N/A,FALSE,"SUMMARY";#N/A,#N/A,FALSE,"CTAREP";#N/A,#N/A,FALSE,"CTBREP";#N/A,#N/A,FALSE,"TURBEFF";#N/A,#N/A,FALSE,"Condenser Performance"}</definedName>
    <definedName name="wrn.Engr._.Summary." localSheetId="3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5" hidden="1">{#N/A,#N/A,FALSE,"INPUTDATA";#N/A,#N/A,FALSE,"SUMMARY"}</definedName>
    <definedName name="wrn.Exec._.Summary." localSheetId="10" hidden="1">{#N/A,#N/A,FALSE,"INPUTDATA";#N/A,#N/A,FALSE,"SUMMARY"}</definedName>
    <definedName name="wrn.Exec._.Summary." localSheetId="7" hidden="1">{#N/A,#N/A,FALSE,"INPUTDATA";#N/A,#N/A,FALSE,"SUMMARY"}</definedName>
    <definedName name="wrn.Exec._.Summary." localSheetId="12" hidden="1">{#N/A,#N/A,FALSE,"INPUTDATA";#N/A,#N/A,FALSE,"SUMMARY"}</definedName>
    <definedName name="wrn.Exec._.Summary." localSheetId="4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11" hidden="1">{#N/A,#N/A,FALSE,"INPUTDATA";#N/A,#N/A,FALSE,"SUMMARY"}</definedName>
    <definedName name="wrn.Exec._.Summary." localSheetId="3" hidden="1">{#N/A,#N/A,FALSE,"INPUTDATA";#N/A,#N/A,FALSE,"SUMMARY"}</definedName>
    <definedName name="wrn.Exec._.Summary." hidden="1">{#N/A,#N/A,FALSE,"INPUTDATA";#N/A,#N/A,FALSE,"SUMMARY"}</definedName>
    <definedName name="wrn.FCB." localSheetId="5" hidden="1">{"FCB_ALL",#N/A,FALSE,"FCB"}</definedName>
    <definedName name="wrn.FCB." localSheetId="10" hidden="1">{"FCB_ALL",#N/A,FALSE,"FCB"}</definedName>
    <definedName name="wrn.FCB." localSheetId="7" hidden="1">{"FCB_ALL",#N/A,FALSE,"FCB"}</definedName>
    <definedName name="wrn.FCB." localSheetId="12" hidden="1">{"FCB_ALL",#N/A,FALSE,"FCB"}</definedName>
    <definedName name="wrn.FCB." localSheetId="4" hidden="1">{"FCB_ALL",#N/A,FALSE,"FCB"}</definedName>
    <definedName name="wrn.FCB." localSheetId="6" hidden="1">{"FCB_ALL",#N/A,FALSE,"FCB"}</definedName>
    <definedName name="wrn.FCB." localSheetId="11" hidden="1">{"FCB_ALL",#N/A,FALSE,"FCB"}</definedName>
    <definedName name="wrn.FCB." localSheetId="3" hidden="1">{"FCB_ALL",#N/A,FALSE,"FCB"}</definedName>
    <definedName name="wrn.FCB." hidden="1">{"FCB_ALL",#N/A,FALSE,"FCB"}</definedName>
    <definedName name="wrn.fcb2" localSheetId="5" hidden="1">{"FCB_ALL",#N/A,FALSE,"FCB"}</definedName>
    <definedName name="wrn.fcb2" localSheetId="10" hidden="1">{"FCB_ALL",#N/A,FALSE,"FCB"}</definedName>
    <definedName name="wrn.fcb2" localSheetId="7" hidden="1">{"FCB_ALL",#N/A,FALSE,"FCB"}</definedName>
    <definedName name="wrn.fcb2" localSheetId="12" hidden="1">{"FCB_ALL",#N/A,FALSE,"FCB"}</definedName>
    <definedName name="wrn.fcb2" localSheetId="4" hidden="1">{"FCB_ALL",#N/A,FALSE,"FCB"}</definedName>
    <definedName name="wrn.fcb2" localSheetId="6" hidden="1">{"FCB_ALL",#N/A,FALSE,"FCB"}</definedName>
    <definedName name="wrn.fcb2" localSheetId="11" hidden="1">{"FCB_ALL",#N/A,FALSE,"FCB"}</definedName>
    <definedName name="wrn.fcb2" localSheetId="3" hidden="1">{"FCB_ALL",#N/A,FALSE,"FCB"}</definedName>
    <definedName name="wrn.fcb2" hidden="1">{"FCB_ALL",#N/A,FALSE,"FCB"}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10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localSheetId="12" hidden="1">{"cap_structure",#N/A,FALSE,"Graph-Mkt Cap";"price",#N/A,FALSE,"Graph-Price";"ebit",#N/A,FALSE,"Graph-EBITDA";"ebitda",#N/A,FALSE,"Graph-EBITDA"}</definedName>
    <definedName name="wrn.print._.graphs." localSheetId="4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11" hidden="1">{"cap_structure",#N/A,FALSE,"Graph-Mkt Cap";"price",#N/A,FALSE,"Graph-Price";"ebit",#N/A,FALSE,"Graph-EBITDA";"ebitda",#N/A,FALSE,"Graph-EBITDA"}</definedName>
    <definedName name="wrn.print._.graphs." localSheetId="3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5" hidden="1">{"inputs raw data",#N/A,TRUE,"INPUT"}</definedName>
    <definedName name="wrn.print._.raw._.data._.entry." localSheetId="10" hidden="1">{"inputs raw data",#N/A,TRUE,"INPUT"}</definedName>
    <definedName name="wrn.print._.raw._.data._.entry." localSheetId="7" hidden="1">{"inputs raw data",#N/A,TRUE,"INPUT"}</definedName>
    <definedName name="wrn.print._.raw._.data._.entry." localSheetId="12" hidden="1">{"inputs raw data",#N/A,TRUE,"INPUT"}</definedName>
    <definedName name="wrn.print._.raw._.data._.entry." localSheetId="4" hidden="1">{"inputs raw data",#N/A,TRUE,"INPUT"}</definedName>
    <definedName name="wrn.print._.raw._.data._.entry." localSheetId="6" hidden="1">{"inputs raw data",#N/A,TRUE,"INPUT"}</definedName>
    <definedName name="wrn.print._.raw._.data._.entry." localSheetId="11" hidden="1">{"inputs raw data",#N/A,TRUE,"INPUT"}</definedName>
    <definedName name="wrn.print._.raw._.data._.entry." localSheetId="3" hidden="1">{"inputs raw data",#N/A,TRUE,"INPUT"}</definedName>
    <definedName name="wrn.print._.raw._.data._.entry." hidden="1">{"inputs raw data",#N/A,TRUE,"INPUT"}</definedName>
    <definedName name="wrn.print._.summary._.sheets." localSheetId="5" hidden="1">{"summary1",#N/A,TRUE,"Comps";"summary2",#N/A,TRUE,"Comps";"summary3",#N/A,TRUE,"Comps"}</definedName>
    <definedName name="wrn.print._.summary._.sheets." localSheetId="10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localSheetId="12" hidden="1">{"summary1",#N/A,TRUE,"Comps";"summary2",#N/A,TRUE,"Comps";"summary3",#N/A,TRUE,"Comps"}</definedName>
    <definedName name="wrn.print._.summary._.sheets." localSheetId="4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11" hidden="1">{"summary1",#N/A,TRUE,"Comps";"summary2",#N/A,TRUE,"Comps";"summary3",#N/A,TRUE,"Comps"}</definedName>
    <definedName name="wrn.print._.summary._.sheets." localSheetId="3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localSheetId="10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localSheetId="12" hidden="1">{"summary1",#N/A,TRUE,"Comps";"summary2",#N/A,TRUE,"Comps";"summary3",#N/A,TRUE,"Comps"}</definedName>
    <definedName name="wrn.print._.summary._.sheets.2" localSheetId="4" hidden="1">{"summary1",#N/A,TRUE,"Comps";"summary2",#N/A,TRUE,"Comps";"summary3",#N/A,TRUE,"Comps"}</definedName>
    <definedName name="wrn.print._.summary._.sheets.2" localSheetId="6" hidden="1">{"summary1",#N/A,TRUE,"Comps";"summary2",#N/A,TRUE,"Comps";"summary3",#N/A,TRUE,"Comps"}</definedName>
    <definedName name="wrn.print._.summary._.sheets.2" localSheetId="11" hidden="1">{"summary1",#N/A,TRUE,"Comps";"summary2",#N/A,TRUE,"Comps";"summary3",#N/A,TRUE,"Comps"}</definedName>
    <definedName name="wrn.print._.summary._.sheets.2" localSheetId="3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localSheetId="10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localSheetId="12" hidden="1">{#N/A,"DR",FALSE,"increm pf";#N/A,"MAMSI",FALSE,"increm pf";#N/A,"MAXI",FALSE,"increm pf";#N/A,"PCAM",FALSE,"increm pf";#N/A,"PHSV",FALSE,"increm pf";#N/A,"SIE",FALSE,"increm pf"}</definedName>
    <definedName name="wrn.Print_Buyer." localSheetId="4" hidden="1">{#N/A,"DR",FALSE,"increm pf";#N/A,"MAMSI",FALSE,"increm pf";#N/A,"MAXI",FALSE,"increm pf";#N/A,"PCAM",FALSE,"increm pf";#N/A,"PHSV",FALSE,"increm pf";#N/A,"SIE",FALSE,"increm pf"}</definedName>
    <definedName name="wrn.Print_Buyer." localSheetId="6" hidden="1">{#N/A,"DR",FALSE,"increm pf";#N/A,"MAMSI",FALSE,"increm pf";#N/A,"MAXI",FALSE,"increm pf";#N/A,"PCAM",FALSE,"increm pf";#N/A,"PHSV",FALSE,"increm pf";#N/A,"SIE",FALSE,"increm pf"}</definedName>
    <definedName name="wrn.Print_Buyer." localSheetId="11" hidden="1">{#N/A,"DR",FALSE,"increm pf";#N/A,"MAMSI",FALSE,"increm pf";#N/A,"MAXI",FALSE,"increm pf";#N/A,"PCAM",FALSE,"increm pf";#N/A,"PHSV",FALSE,"increm pf";#N/A,"SIE",FALSE,"increm pf"}</definedName>
    <definedName name="wrn.Print_Buyer." localSheetId="3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0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2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4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6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11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3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5" hidden="1">{"FCB_ALL",#N/A,FALSE,"FCB";"GREY_ALL",#N/A,FALSE,"GREY"}</definedName>
    <definedName name="wrn.STAND_ALONE_BOTH." localSheetId="10" hidden="1">{"FCB_ALL",#N/A,FALSE,"FCB";"GREY_ALL",#N/A,FALSE,"GREY"}</definedName>
    <definedName name="wrn.STAND_ALONE_BOTH." localSheetId="7" hidden="1">{"FCB_ALL",#N/A,FALSE,"FCB";"GREY_ALL",#N/A,FALSE,"GREY"}</definedName>
    <definedName name="wrn.STAND_ALONE_BOTH." localSheetId="12" hidden="1">{"FCB_ALL",#N/A,FALSE,"FCB";"GREY_ALL",#N/A,FALSE,"GREY"}</definedName>
    <definedName name="wrn.STAND_ALONE_BOTH." localSheetId="4" hidden="1">{"FCB_ALL",#N/A,FALSE,"FCB";"GREY_ALL",#N/A,FALSE,"GREY"}</definedName>
    <definedName name="wrn.STAND_ALONE_BOTH." localSheetId="6" hidden="1">{"FCB_ALL",#N/A,FALSE,"FCB";"GREY_ALL",#N/A,FALSE,"GREY"}</definedName>
    <definedName name="wrn.STAND_ALONE_BOTH." localSheetId="11" hidden="1">{"FCB_ALL",#N/A,FALSE,"FCB";"GREY_ALL",#N/A,FALSE,"GREY"}</definedName>
    <definedName name="wrn.STAND_ALONE_BOTH." localSheetId="3" hidden="1">{"FCB_ALL",#N/A,FALSE,"FCB";"GREY_ALL",#N/A,FALSE,"GREY"}</definedName>
    <definedName name="wrn.STAND_ALONE_BOTH." hidden="1">{"FCB_ALL",#N/A,FALSE,"FCB";"GREY_ALL",#N/A,FALSE,"GREY"}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0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2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4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11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3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4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11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3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2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4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11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3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2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4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11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3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2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4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1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3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localSheetId="5" hidden="1">{"detail305",#N/A,FALSE,"BI-305"}</definedName>
    <definedName name="xxx.detail" localSheetId="10" hidden="1">{"detail305",#N/A,FALSE,"BI-305"}</definedName>
    <definedName name="xxx.detail" localSheetId="7" hidden="1">{"detail305",#N/A,FALSE,"BI-305"}</definedName>
    <definedName name="xxx.detail" localSheetId="12" hidden="1">{"detail305",#N/A,FALSE,"BI-305"}</definedName>
    <definedName name="xxx.detail" localSheetId="4" hidden="1">{"detail305",#N/A,FALSE,"BI-305"}</definedName>
    <definedName name="xxx.detail" localSheetId="6" hidden="1">{"detail305",#N/A,FALSE,"BI-305"}</definedName>
    <definedName name="xxx.detail" localSheetId="11" hidden="1">{"detail305",#N/A,FALSE,"BI-305"}</definedName>
    <definedName name="xxx.detail" localSheetId="3" hidden="1">{"detail305",#N/A,FALSE,"BI-305"}</definedName>
    <definedName name="xxx.detail" hidden="1">{"detail305",#N/A,FALSE,"BI-305"}</definedName>
    <definedName name="xxx.directory" localSheetId="5" hidden="1">{"summary",#N/A,FALSE,"PCR DIRECTORY"}</definedName>
    <definedName name="xxx.directory" localSheetId="10" hidden="1">{"summary",#N/A,FALSE,"PCR DIRECTORY"}</definedName>
    <definedName name="xxx.directory" localSheetId="7" hidden="1">{"summary",#N/A,FALSE,"PCR DIRECTORY"}</definedName>
    <definedName name="xxx.directory" localSheetId="12" hidden="1">{"summary",#N/A,FALSE,"PCR DIRECTORY"}</definedName>
    <definedName name="xxx.directory" localSheetId="4" hidden="1">{"summary",#N/A,FALSE,"PCR DIRECTORY"}</definedName>
    <definedName name="xxx.directory" localSheetId="6" hidden="1">{"summary",#N/A,FALSE,"PCR DIRECTORY"}</definedName>
    <definedName name="xxx.directory" localSheetId="11" hidden="1">{"summary",#N/A,FALSE,"PCR DIRECTORY"}</definedName>
    <definedName name="xxx.directory" localSheetId="3" hidden="1">{"summary",#N/A,FALSE,"PCR DIRECTORY"}</definedName>
    <definedName name="xxx.directory" hidden="1">{"summary",#N/A,FALSE,"PCR DIRECTORY"}</definedName>
  </definedNames>
  <calcPr calcId="162913"/>
  <webPublishing codePage="0"/>
</workbook>
</file>

<file path=xl/calcChain.xml><?xml version="1.0" encoding="utf-8"?>
<calcChain xmlns="http://schemas.openxmlformats.org/spreadsheetml/2006/main">
  <c r="P51" i="15" l="1"/>
  <c r="N47" i="4"/>
  <c r="O51" i="15" l="1"/>
  <c r="I51" i="15"/>
  <c r="K51" i="15"/>
  <c r="J51" i="15" s="1"/>
  <c r="N51" i="15"/>
  <c r="I47" i="4"/>
  <c r="P47" i="4"/>
  <c r="K47" i="4"/>
  <c r="J47" i="4" s="1"/>
  <c r="V6" i="7"/>
  <c r="U6" i="7"/>
  <c r="S6" i="7"/>
  <c r="Q6" i="7"/>
  <c r="O6" i="7"/>
  <c r="T6" i="7" s="1"/>
  <c r="L6" i="7"/>
  <c r="J6" i="7"/>
  <c r="U6" i="6"/>
  <c r="S6" i="6"/>
  <c r="Q6" i="6"/>
  <c r="O6" i="6"/>
  <c r="T6" i="6" s="1"/>
  <c r="L6" i="6"/>
  <c r="V6" i="6" s="1"/>
  <c r="J6" i="6"/>
  <c r="U6" i="5"/>
  <c r="S6" i="5"/>
  <c r="Q6" i="5"/>
  <c r="V6" i="5" s="1"/>
  <c r="O6" i="5"/>
  <c r="L6" i="5"/>
  <c r="J6" i="5"/>
  <c r="U7" i="15"/>
  <c r="S7" i="15"/>
  <c r="Q7" i="15"/>
  <c r="V7" i="15" s="1"/>
  <c r="O7" i="15"/>
  <c r="L7" i="15"/>
  <c r="J7" i="15"/>
  <c r="U7" i="4"/>
  <c r="O7" i="4"/>
  <c r="T7" i="4" s="1"/>
  <c r="J7" i="4"/>
  <c r="S7" i="4"/>
  <c r="T6" i="5" l="1"/>
  <c r="T7" i="15"/>
  <c r="L51" i="15"/>
  <c r="S51" i="15"/>
  <c r="Q51" i="15"/>
  <c r="U51" i="15"/>
  <c r="T51" i="15"/>
  <c r="L47" i="4"/>
  <c r="U47" i="4"/>
  <c r="O47" i="4"/>
  <c r="S47" i="4"/>
  <c r="V51" i="15" l="1"/>
  <c r="T47" i="4"/>
  <c r="Q47" i="4"/>
  <c r="V47" i="4"/>
  <c r="F50" i="17"/>
  <c r="D42" i="17"/>
  <c r="F42" i="17"/>
  <c r="G42" i="17"/>
  <c r="H42" i="17"/>
  <c r="E48" i="17"/>
  <c r="F48" i="17"/>
  <c r="J44" i="17"/>
  <c r="F31" i="17"/>
  <c r="E31" i="17"/>
  <c r="K26" i="17"/>
  <c r="F26" i="17"/>
  <c r="E26" i="17"/>
  <c r="D26" i="17"/>
  <c r="C26" i="17"/>
  <c r="H17" i="17"/>
  <c r="G17" i="17"/>
  <c r="F17" i="17"/>
  <c r="D17" i="17"/>
  <c r="C17" i="17"/>
  <c r="L15" i="17"/>
  <c r="K12" i="17"/>
  <c r="H12" i="17"/>
  <c r="G12" i="17"/>
  <c r="F12" i="17"/>
  <c r="E12" i="17"/>
  <c r="D12" i="17"/>
  <c r="AM63" i="10"/>
  <c r="AM62" i="10"/>
  <c r="AN51" i="10"/>
  <c r="AN50" i="10"/>
  <c r="AN45" i="10"/>
  <c r="AN44" i="10"/>
  <c r="E59" i="10"/>
  <c r="R11" i="17" s="1"/>
  <c r="D59" i="10"/>
  <c r="Q11" i="17" s="1"/>
  <c r="E63" i="10"/>
  <c r="V62" i="10" s="1"/>
  <c r="AK62" i="10" s="1"/>
  <c r="E60" i="10"/>
  <c r="R12" i="17" s="1"/>
  <c r="R22" i="17" s="1"/>
  <c r="E57" i="10"/>
  <c r="R56" i="10" s="1"/>
  <c r="AG56" i="10" s="1"/>
  <c r="R13" i="17" l="1"/>
  <c r="H21" i="17"/>
  <c r="D21" i="17"/>
  <c r="F35" i="17"/>
  <c r="F37" i="17" s="1"/>
  <c r="F53" i="17" s="1"/>
  <c r="E35" i="17"/>
  <c r="F21" i="17"/>
  <c r="E61" i="10"/>
  <c r="E65" i="10" l="1"/>
  <c r="T59" i="10"/>
  <c r="G83" i="15" l="1"/>
  <c r="P83" i="15" s="1"/>
  <c r="O83" i="15" s="1"/>
  <c r="G82" i="15"/>
  <c r="I82" i="15" s="1"/>
  <c r="G69" i="15"/>
  <c r="P69" i="15" s="1"/>
  <c r="O69" i="15" s="1"/>
  <c r="G71" i="15"/>
  <c r="N71" i="15" s="1"/>
  <c r="G68" i="15"/>
  <c r="I68" i="15" s="1"/>
  <c r="Q7" i="4"/>
  <c r="L7" i="4"/>
  <c r="G54" i="15"/>
  <c r="N54" i="15" s="1"/>
  <c r="G48" i="15"/>
  <c r="N48" i="15" s="1"/>
  <c r="G14" i="15"/>
  <c r="N14" i="15" s="1"/>
  <c r="G13" i="15"/>
  <c r="K13" i="15" s="1"/>
  <c r="N152" i="15"/>
  <c r="K152" i="15"/>
  <c r="I152" i="15"/>
  <c r="S151" i="15"/>
  <c r="S152" i="15" s="1"/>
  <c r="P151" i="15"/>
  <c r="P152" i="15" s="1"/>
  <c r="J151" i="15"/>
  <c r="L151" i="15" s="1"/>
  <c r="L152" i="15" s="1"/>
  <c r="N146" i="15"/>
  <c r="I146" i="15"/>
  <c r="S145" i="15"/>
  <c r="S144" i="15"/>
  <c r="G144" i="15"/>
  <c r="K144" i="15" s="1"/>
  <c r="J144" i="15" s="1"/>
  <c r="L144" i="15" s="1"/>
  <c r="S143" i="15"/>
  <c r="S142" i="15"/>
  <c r="S141" i="15"/>
  <c r="S140" i="15"/>
  <c r="G126" i="15"/>
  <c r="G110" i="15"/>
  <c r="G106" i="15"/>
  <c r="G102" i="15"/>
  <c r="K102" i="15" s="1"/>
  <c r="J102" i="15" s="1"/>
  <c r="G92" i="15"/>
  <c r="P92" i="15" s="1"/>
  <c r="G88" i="15"/>
  <c r="I88" i="15" s="1"/>
  <c r="G84" i="15"/>
  <c r="P84" i="15" s="1"/>
  <c r="O84" i="15" s="1"/>
  <c r="G78" i="15"/>
  <c r="I78" i="15" s="1"/>
  <c r="G76" i="15"/>
  <c r="G75" i="15"/>
  <c r="P75" i="15" s="1"/>
  <c r="O75" i="15" s="1"/>
  <c r="G74" i="15"/>
  <c r="P74" i="15" s="1"/>
  <c r="O74" i="15" s="1"/>
  <c r="G67" i="15"/>
  <c r="N67" i="15" s="1"/>
  <c r="G66" i="15"/>
  <c r="G58" i="15"/>
  <c r="G53" i="15"/>
  <c r="K53" i="15" s="1"/>
  <c r="G43" i="15"/>
  <c r="I43" i="15" s="1"/>
  <c r="G34" i="15"/>
  <c r="I34" i="15" s="1"/>
  <c r="G30" i="15"/>
  <c r="N30" i="15" s="1"/>
  <c r="G26" i="15"/>
  <c r="I26" i="15" s="1"/>
  <c r="G22" i="15"/>
  <c r="I22" i="15" s="1"/>
  <c r="G18" i="15"/>
  <c r="P18" i="15" s="1"/>
  <c r="G12" i="15"/>
  <c r="I12" i="15" s="1"/>
  <c r="G12" i="7"/>
  <c r="G11" i="7"/>
  <c r="G12" i="6"/>
  <c r="G13" i="6"/>
  <c r="G11" i="6"/>
  <c r="G14" i="5"/>
  <c r="G13" i="5"/>
  <c r="G10" i="5"/>
  <c r="G9" i="5"/>
  <c r="M59" i="3"/>
  <c r="G142" i="15" s="1"/>
  <c r="K142" i="15" s="1"/>
  <c r="J142" i="15" s="1"/>
  <c r="L142" i="15" s="1"/>
  <c r="G120" i="4"/>
  <c r="G101" i="4"/>
  <c r="G92" i="4"/>
  <c r="G75" i="4"/>
  <c r="G52" i="4"/>
  <c r="G43" i="4"/>
  <c r="G29" i="4"/>
  <c r="G10" i="4"/>
  <c r="F230" i="2"/>
  <c r="F229" i="2"/>
  <c r="F245" i="2" s="1"/>
  <c r="F228" i="2"/>
  <c r="F244" i="2" s="1"/>
  <c r="F227" i="2"/>
  <c r="F243" i="2" s="1"/>
  <c r="F226" i="2"/>
  <c r="F225" i="2"/>
  <c r="F224" i="2"/>
  <c r="F242" i="2" s="1"/>
  <c r="F223" i="2"/>
  <c r="F241" i="2" s="1"/>
  <c r="F222" i="2"/>
  <c r="F240" i="2" s="1"/>
  <c r="F221" i="2"/>
  <c r="F239" i="2" s="1"/>
  <c r="F220" i="2"/>
  <c r="F238" i="2" s="1"/>
  <c r="F219" i="2"/>
  <c r="F237" i="2" s="1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236" i="2" s="1"/>
  <c r="F267" i="2" s="1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257" i="2" s="1"/>
  <c r="F46" i="2"/>
  <c r="F256" i="2" s="1"/>
  <c r="F45" i="2"/>
  <c r="F255" i="2" s="1"/>
  <c r="F44" i="2"/>
  <c r="F43" i="2"/>
  <c r="F42" i="2"/>
  <c r="F41" i="2"/>
  <c r="F40" i="2"/>
  <c r="F235" i="2" s="1"/>
  <c r="F266" i="2" s="1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M76" i="3" s="1"/>
  <c r="G141" i="15" s="1"/>
  <c r="P141" i="15" s="1"/>
  <c r="F75" i="3"/>
  <c r="F74" i="3"/>
  <c r="F73" i="3"/>
  <c r="F72" i="3"/>
  <c r="M72" i="3" s="1"/>
  <c r="F71" i="3"/>
  <c r="M71" i="3" s="1"/>
  <c r="G143" i="15" s="1"/>
  <c r="P143" i="15" s="1"/>
  <c r="O143" i="15" s="1"/>
  <c r="Q143" i="15" s="1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87" i="1"/>
  <c r="G20" i="4" s="1"/>
  <c r="F86" i="1"/>
  <c r="G21" i="15" s="1"/>
  <c r="I21" i="15" s="1"/>
  <c r="F85" i="1"/>
  <c r="G18" i="4" s="1"/>
  <c r="F84" i="1"/>
  <c r="G17" i="4" s="1"/>
  <c r="F83" i="1"/>
  <c r="G106" i="4" s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G81" i="15" s="1"/>
  <c r="P81" i="15" s="1"/>
  <c r="F66" i="1"/>
  <c r="G73" i="4" s="1"/>
  <c r="F65" i="1"/>
  <c r="G72" i="4" s="1"/>
  <c r="F64" i="1"/>
  <c r="G71" i="4" s="1"/>
  <c r="F63" i="1"/>
  <c r="G70" i="4" s="1"/>
  <c r="F62" i="1"/>
  <c r="F61" i="1"/>
  <c r="F60" i="1"/>
  <c r="F59" i="1"/>
  <c r="F58" i="1"/>
  <c r="F57" i="1"/>
  <c r="F56" i="1"/>
  <c r="F55" i="1"/>
  <c r="G67" i="4" s="1"/>
  <c r="F54" i="1"/>
  <c r="G66" i="4" s="1"/>
  <c r="F53" i="1"/>
  <c r="G65" i="4" s="1"/>
  <c r="F52" i="1"/>
  <c r="G70" i="15" s="1"/>
  <c r="P70" i="15" s="1"/>
  <c r="O70" i="15" s="1"/>
  <c r="F51" i="1"/>
  <c r="F50" i="1"/>
  <c r="F49" i="1"/>
  <c r="G16" i="4" s="1"/>
  <c r="F48" i="1"/>
  <c r="G17" i="15" s="1"/>
  <c r="K17" i="15" s="1"/>
  <c r="J17" i="15" s="1"/>
  <c r="F47" i="1"/>
  <c r="G14" i="4" s="1"/>
  <c r="F46" i="1"/>
  <c r="G105" i="4" s="1"/>
  <c r="F45" i="1"/>
  <c r="G104" i="4" s="1"/>
  <c r="F44" i="1"/>
  <c r="G103" i="4" s="1"/>
  <c r="F43" i="1"/>
  <c r="F42" i="1"/>
  <c r="G61" i="4" s="1"/>
  <c r="F41" i="1"/>
  <c r="G60" i="4" s="1"/>
  <c r="F40" i="1"/>
  <c r="F39" i="1"/>
  <c r="G13" i="4" s="1"/>
  <c r="F38" i="1"/>
  <c r="F37" i="1"/>
  <c r="G102" i="4" s="1"/>
  <c r="F36" i="1"/>
  <c r="F35" i="1"/>
  <c r="G109" i="15" s="1"/>
  <c r="P109" i="15" s="1"/>
  <c r="O109" i="15" s="1"/>
  <c r="F34" i="1"/>
  <c r="G108" i="15" s="1"/>
  <c r="N108" i="15" s="1"/>
  <c r="F33" i="1"/>
  <c r="F32" i="1"/>
  <c r="G98" i="4" s="1"/>
  <c r="F31" i="1"/>
  <c r="G97" i="4" s="1"/>
  <c r="F30" i="1"/>
  <c r="F29" i="1"/>
  <c r="G96" i="4" s="1"/>
  <c r="F28" i="1"/>
  <c r="G95" i="4" s="1"/>
  <c r="F27" i="1"/>
  <c r="G12" i="4" s="1"/>
  <c r="F26" i="1"/>
  <c r="G94" i="4" s="1"/>
  <c r="F25" i="1"/>
  <c r="G93" i="4" s="1"/>
  <c r="F24" i="1"/>
  <c r="G101" i="15" s="1"/>
  <c r="F23" i="1"/>
  <c r="F22" i="1"/>
  <c r="F21" i="1"/>
  <c r="G91" i="4" s="1"/>
  <c r="F20" i="1"/>
  <c r="G90" i="4" s="1"/>
  <c r="F19" i="1"/>
  <c r="G11" i="4" s="1"/>
  <c r="F18" i="1"/>
  <c r="G89" i="4" s="1"/>
  <c r="F17" i="1"/>
  <c r="G10" i="15" s="1"/>
  <c r="F16" i="1"/>
  <c r="F15" i="1"/>
  <c r="F14" i="1"/>
  <c r="F13" i="1"/>
  <c r="F12" i="1"/>
  <c r="F11" i="1"/>
  <c r="G97" i="15" s="1"/>
  <c r="N97" i="15" s="1"/>
  <c r="F10" i="1"/>
  <c r="G59" i="4" s="1"/>
  <c r="F9" i="1"/>
  <c r="F8" i="1"/>
  <c r="F196" i="1"/>
  <c r="G54" i="4" s="1"/>
  <c r="F195" i="1"/>
  <c r="F194" i="1"/>
  <c r="F193" i="1"/>
  <c r="G85" i="4" s="1"/>
  <c r="F192" i="1"/>
  <c r="F191" i="1"/>
  <c r="F190" i="1"/>
  <c r="G56" i="4" s="1"/>
  <c r="F189" i="1"/>
  <c r="G133" i="15" s="1"/>
  <c r="P133" i="15" s="1"/>
  <c r="O133" i="15" s="1"/>
  <c r="F188" i="1"/>
  <c r="G132" i="15" s="1"/>
  <c r="F187" i="1"/>
  <c r="F186" i="1"/>
  <c r="G53" i="4" s="1"/>
  <c r="F185" i="1"/>
  <c r="G122" i="4" s="1"/>
  <c r="F184" i="1"/>
  <c r="F183" i="1"/>
  <c r="F182" i="1"/>
  <c r="F181" i="1"/>
  <c r="G57" i="15" s="1"/>
  <c r="F180" i="1"/>
  <c r="G51" i="4" s="1"/>
  <c r="F179" i="1"/>
  <c r="F178" i="1"/>
  <c r="G84" i="4" s="1"/>
  <c r="F177" i="1"/>
  <c r="F176" i="1"/>
  <c r="G50" i="4" s="1"/>
  <c r="F175" i="1"/>
  <c r="F174" i="1"/>
  <c r="G83" i="4" s="1"/>
  <c r="F173" i="1"/>
  <c r="F172" i="1"/>
  <c r="F171" i="1"/>
  <c r="G121" i="4" s="1"/>
  <c r="F170" i="1"/>
  <c r="G82" i="4" s="1"/>
  <c r="F169" i="1"/>
  <c r="F168" i="1"/>
  <c r="F167" i="1"/>
  <c r="F166" i="1"/>
  <c r="F165" i="1"/>
  <c r="G49" i="4" s="1"/>
  <c r="F164" i="1"/>
  <c r="G48" i="4" s="1"/>
  <c r="F163" i="1"/>
  <c r="F162" i="1"/>
  <c r="F161" i="1"/>
  <c r="G45" i="4" s="1"/>
  <c r="F160" i="1"/>
  <c r="F159" i="1"/>
  <c r="G47" i="15" s="1"/>
  <c r="P47" i="15" s="1"/>
  <c r="O47" i="15" s="1"/>
  <c r="F158" i="1"/>
  <c r="F157" i="1"/>
  <c r="F156" i="1"/>
  <c r="F155" i="1"/>
  <c r="F154" i="1"/>
  <c r="F153" i="1"/>
  <c r="G46" i="15" s="1"/>
  <c r="I46" i="15" s="1"/>
  <c r="F152" i="1"/>
  <c r="F151" i="1"/>
  <c r="G42" i="4" s="1"/>
  <c r="F150" i="1"/>
  <c r="G41" i="4" s="1"/>
  <c r="F149" i="1"/>
  <c r="G40" i="4" s="1"/>
  <c r="F148" i="1"/>
  <c r="F147" i="1"/>
  <c r="G55" i="4" s="1"/>
  <c r="F146" i="1"/>
  <c r="F145" i="1"/>
  <c r="F144" i="1"/>
  <c r="G39" i="4" s="1"/>
  <c r="F143" i="1"/>
  <c r="F142" i="1"/>
  <c r="F141" i="1"/>
  <c r="G81" i="4" s="1"/>
  <c r="F140" i="1"/>
  <c r="G80" i="4" s="1"/>
  <c r="F139" i="1"/>
  <c r="G38" i="4" s="1"/>
  <c r="F138" i="1"/>
  <c r="G37" i="4" s="1"/>
  <c r="F137" i="1"/>
  <c r="F136" i="1"/>
  <c r="G129" i="15" s="1"/>
  <c r="I129" i="15" s="1"/>
  <c r="F135" i="1"/>
  <c r="G119" i="4" s="1"/>
  <c r="F134" i="1"/>
  <c r="F133" i="1"/>
  <c r="G118" i="4" s="1"/>
  <c r="F132" i="1"/>
  <c r="G79" i="4" s="1"/>
  <c r="F131" i="1"/>
  <c r="G36" i="4" s="1"/>
  <c r="F130" i="1"/>
  <c r="G117" i="4" s="1"/>
  <c r="F129" i="1"/>
  <c r="F128" i="1"/>
  <c r="F127" i="1"/>
  <c r="F126" i="1"/>
  <c r="G78" i="4" s="1"/>
  <c r="F125" i="1"/>
  <c r="G77" i="4" s="1"/>
  <c r="F124" i="1"/>
  <c r="G125" i="15" s="1"/>
  <c r="P125" i="15" s="1"/>
  <c r="F123" i="1"/>
  <c r="G37" i="15" s="1"/>
  <c r="I37" i="15" s="1"/>
  <c r="F122" i="1"/>
  <c r="G115" i="4" s="1"/>
  <c r="F121" i="1"/>
  <c r="G34" i="4" s="1"/>
  <c r="F120" i="1"/>
  <c r="G114" i="4" s="1"/>
  <c r="F119" i="1"/>
  <c r="G33" i="4" s="1"/>
  <c r="F118" i="1"/>
  <c r="G85" i="15" s="1"/>
  <c r="N85" i="15" s="1"/>
  <c r="F117" i="1"/>
  <c r="G32" i="4" s="1"/>
  <c r="F116" i="1"/>
  <c r="F115" i="1"/>
  <c r="G113" i="4" s="1"/>
  <c r="F114" i="1"/>
  <c r="G112" i="4" s="1"/>
  <c r="F113" i="1"/>
  <c r="G31" i="4" s="1"/>
  <c r="F112" i="1"/>
  <c r="G30" i="4" s="1"/>
  <c r="F111" i="1"/>
  <c r="F110" i="1"/>
  <c r="G111" i="4" s="1"/>
  <c r="F109" i="1"/>
  <c r="G31" i="15" s="1"/>
  <c r="K31" i="15" s="1"/>
  <c r="J31" i="15" s="1"/>
  <c r="F108" i="1"/>
  <c r="G110" i="4" s="1"/>
  <c r="F107" i="1"/>
  <c r="F106" i="1"/>
  <c r="F105" i="1"/>
  <c r="F104" i="1"/>
  <c r="F103" i="1"/>
  <c r="G109" i="4" s="1"/>
  <c r="F102" i="1"/>
  <c r="G117" i="15" s="1"/>
  <c r="K117" i="15" s="1"/>
  <c r="J117" i="15" s="1"/>
  <c r="F101" i="1"/>
  <c r="F100" i="1"/>
  <c r="G28" i="4" s="1"/>
  <c r="F99" i="1"/>
  <c r="G116" i="15" s="1"/>
  <c r="F98" i="1"/>
  <c r="G27" i="4" s="1"/>
  <c r="F97" i="1"/>
  <c r="F96" i="1"/>
  <c r="F95" i="1"/>
  <c r="F94" i="1"/>
  <c r="G26" i="4" s="1"/>
  <c r="F93" i="1"/>
  <c r="G25" i="4" s="1"/>
  <c r="F92" i="1"/>
  <c r="G24" i="4" s="1"/>
  <c r="F91" i="1"/>
  <c r="G23" i="4" s="1"/>
  <c r="F90" i="1"/>
  <c r="G22" i="4" s="1"/>
  <c r="F89" i="1"/>
  <c r="G21" i="4" s="1"/>
  <c r="F88" i="1"/>
  <c r="D255" i="2"/>
  <c r="E255" i="2"/>
  <c r="G255" i="2"/>
  <c r="H255" i="2"/>
  <c r="I255" i="2"/>
  <c r="J255" i="2"/>
  <c r="K255" i="2"/>
  <c r="D256" i="2"/>
  <c r="E256" i="2"/>
  <c r="G256" i="2"/>
  <c r="H256" i="2"/>
  <c r="I256" i="2"/>
  <c r="J256" i="2"/>
  <c r="K256" i="2"/>
  <c r="D257" i="2"/>
  <c r="E257" i="2"/>
  <c r="G257" i="2"/>
  <c r="H257" i="2"/>
  <c r="I257" i="2"/>
  <c r="J257" i="2"/>
  <c r="K257" i="2"/>
  <c r="C256" i="2"/>
  <c r="C257" i="2"/>
  <c r="C255" i="2"/>
  <c r="U150" i="4"/>
  <c r="T150" i="4"/>
  <c r="S150" i="4"/>
  <c r="D235" i="2"/>
  <c r="E235" i="2"/>
  <c r="G235" i="2"/>
  <c r="H235" i="2"/>
  <c r="I235" i="2"/>
  <c r="J235" i="2"/>
  <c r="K235" i="2"/>
  <c r="D236" i="2"/>
  <c r="E236" i="2"/>
  <c r="G236" i="2"/>
  <c r="H236" i="2"/>
  <c r="I236" i="2"/>
  <c r="J236" i="2"/>
  <c r="K236" i="2"/>
  <c r="D237" i="2"/>
  <c r="E237" i="2"/>
  <c r="G237" i="2"/>
  <c r="H237" i="2"/>
  <c r="I237" i="2"/>
  <c r="J237" i="2"/>
  <c r="K237" i="2"/>
  <c r="D238" i="2"/>
  <c r="E238" i="2"/>
  <c r="G238" i="2"/>
  <c r="H238" i="2"/>
  <c r="I238" i="2"/>
  <c r="J238" i="2"/>
  <c r="K238" i="2"/>
  <c r="D239" i="2"/>
  <c r="E239" i="2"/>
  <c r="G239" i="2"/>
  <c r="H239" i="2"/>
  <c r="I239" i="2"/>
  <c r="J239" i="2"/>
  <c r="K239" i="2"/>
  <c r="D240" i="2"/>
  <c r="E240" i="2"/>
  <c r="G240" i="2"/>
  <c r="H240" i="2"/>
  <c r="I240" i="2"/>
  <c r="J240" i="2"/>
  <c r="K240" i="2"/>
  <c r="D241" i="2"/>
  <c r="E241" i="2"/>
  <c r="G241" i="2"/>
  <c r="H241" i="2"/>
  <c r="I241" i="2"/>
  <c r="J241" i="2"/>
  <c r="K241" i="2"/>
  <c r="D242" i="2"/>
  <c r="E242" i="2"/>
  <c r="G242" i="2"/>
  <c r="H242" i="2"/>
  <c r="I242" i="2"/>
  <c r="J242" i="2"/>
  <c r="K242" i="2"/>
  <c r="D243" i="2"/>
  <c r="E243" i="2"/>
  <c r="G243" i="2"/>
  <c r="H243" i="2"/>
  <c r="I243" i="2"/>
  <c r="J243" i="2"/>
  <c r="K243" i="2"/>
  <c r="D244" i="2"/>
  <c r="E244" i="2"/>
  <c r="G244" i="2"/>
  <c r="H244" i="2"/>
  <c r="I244" i="2"/>
  <c r="J244" i="2"/>
  <c r="K244" i="2"/>
  <c r="D245" i="2"/>
  <c r="E245" i="2"/>
  <c r="G245" i="2"/>
  <c r="H245" i="2"/>
  <c r="I245" i="2"/>
  <c r="J245" i="2"/>
  <c r="K245" i="2"/>
  <c r="C245" i="2"/>
  <c r="C244" i="2"/>
  <c r="C243" i="2"/>
  <c r="C242" i="2"/>
  <c r="C241" i="2"/>
  <c r="C240" i="2"/>
  <c r="C239" i="2"/>
  <c r="C238" i="2"/>
  <c r="C237" i="2"/>
  <c r="C236" i="2"/>
  <c r="C235" i="2"/>
  <c r="G69" i="4"/>
  <c r="G63" i="4"/>
  <c r="G68" i="4"/>
  <c r="G62" i="4"/>
  <c r="G38" i="15" l="1"/>
  <c r="N38" i="15" s="1"/>
  <c r="G122" i="15"/>
  <c r="E258" i="2"/>
  <c r="H258" i="2"/>
  <c r="M51" i="3"/>
  <c r="G140" i="15" s="1"/>
  <c r="P140" i="15" s="1"/>
  <c r="O140" i="15" s="1"/>
  <c r="Q140" i="15" s="1"/>
  <c r="G44" i="4"/>
  <c r="G64" i="4"/>
  <c r="G76" i="4"/>
  <c r="G107" i="4"/>
  <c r="G123" i="4"/>
  <c r="G15" i="15"/>
  <c r="N15" i="15" s="1"/>
  <c r="G19" i="15"/>
  <c r="K19" i="15" s="1"/>
  <c r="J19" i="15" s="1"/>
  <c r="G23" i="15"/>
  <c r="N23" i="15" s="1"/>
  <c r="G27" i="15"/>
  <c r="G35" i="15"/>
  <c r="G39" i="15"/>
  <c r="P39" i="15" s="1"/>
  <c r="O39" i="15" s="1"/>
  <c r="G44" i="15"/>
  <c r="K44" i="15" s="1"/>
  <c r="J44" i="15" s="1"/>
  <c r="G49" i="15"/>
  <c r="I49" i="15" s="1"/>
  <c r="G55" i="15"/>
  <c r="I55" i="15" s="1"/>
  <c r="G60" i="15"/>
  <c r="K60" i="15" s="1"/>
  <c r="J60" i="15" s="1"/>
  <c r="G64" i="15"/>
  <c r="P64" i="15" s="1"/>
  <c r="O64" i="15" s="1"/>
  <c r="G79" i="15"/>
  <c r="G89" i="15"/>
  <c r="K89" i="15" s="1"/>
  <c r="J89" i="15" s="1"/>
  <c r="G93" i="15"/>
  <c r="K93" i="15" s="1"/>
  <c r="J93" i="15" s="1"/>
  <c r="G99" i="15"/>
  <c r="N99" i="15" s="1"/>
  <c r="G103" i="15"/>
  <c r="N103" i="15" s="1"/>
  <c r="G107" i="15"/>
  <c r="N107" i="15" s="1"/>
  <c r="G111" i="15"/>
  <c r="N111" i="15" s="1"/>
  <c r="G115" i="15"/>
  <c r="P115" i="15" s="1"/>
  <c r="G119" i="15"/>
  <c r="N119" i="15" s="1"/>
  <c r="G123" i="15"/>
  <c r="P123" i="15" s="1"/>
  <c r="G127" i="15"/>
  <c r="I127" i="15" s="1"/>
  <c r="G131" i="15"/>
  <c r="N131" i="15" s="1"/>
  <c r="V7" i="4"/>
  <c r="G19" i="4"/>
  <c r="G114" i="15"/>
  <c r="N114" i="15" s="1"/>
  <c r="G130" i="15"/>
  <c r="G258" i="2"/>
  <c r="F258" i="2"/>
  <c r="F268" i="2" s="1"/>
  <c r="G15" i="4"/>
  <c r="G35" i="4"/>
  <c r="G99" i="4"/>
  <c r="G108" i="4"/>
  <c r="G124" i="4"/>
  <c r="G16" i="15"/>
  <c r="P16" i="15" s="1"/>
  <c r="G20" i="15"/>
  <c r="N20" i="15" s="1"/>
  <c r="G24" i="15"/>
  <c r="K24" i="15" s="1"/>
  <c r="J24" i="15" s="1"/>
  <c r="G28" i="15"/>
  <c r="P28" i="15" s="1"/>
  <c r="G32" i="15"/>
  <c r="K32" i="15" s="1"/>
  <c r="J32" i="15" s="1"/>
  <c r="G36" i="15"/>
  <c r="P36" i="15" s="1"/>
  <c r="O36" i="15" s="1"/>
  <c r="G40" i="15"/>
  <c r="K40" i="15" s="1"/>
  <c r="J40" i="15" s="1"/>
  <c r="G45" i="15"/>
  <c r="K45" i="15" s="1"/>
  <c r="J45" i="15" s="1"/>
  <c r="G56" i="15"/>
  <c r="I56" i="15" s="1"/>
  <c r="G42" i="15"/>
  <c r="P42" i="15" s="1"/>
  <c r="O42" i="15" s="1"/>
  <c r="G65" i="15"/>
  <c r="G72" i="15"/>
  <c r="N72" i="15" s="1"/>
  <c r="G80" i="15"/>
  <c r="I80" i="15" s="1"/>
  <c r="G86" i="15"/>
  <c r="I86" i="15" s="1"/>
  <c r="G90" i="15"/>
  <c r="G94" i="15"/>
  <c r="N94" i="15" s="1"/>
  <c r="G100" i="15"/>
  <c r="K100" i="15" s="1"/>
  <c r="J100" i="15" s="1"/>
  <c r="G104" i="15"/>
  <c r="I104" i="15" s="1"/>
  <c r="G112" i="15"/>
  <c r="G120" i="15"/>
  <c r="I120" i="15" s="1"/>
  <c r="G124" i="15"/>
  <c r="P124" i="15" s="1"/>
  <c r="G128" i="15"/>
  <c r="K128" i="15" s="1"/>
  <c r="J128" i="15" s="1"/>
  <c r="G50" i="15"/>
  <c r="N50" i="15" s="1"/>
  <c r="G46" i="4"/>
  <c r="G63" i="15"/>
  <c r="P63" i="15" s="1"/>
  <c r="O63" i="15" s="1"/>
  <c r="G98" i="15"/>
  <c r="G118" i="15"/>
  <c r="M181" i="3"/>
  <c r="G145" i="15" s="1"/>
  <c r="P145" i="15" s="1"/>
  <c r="O145" i="15" s="1"/>
  <c r="Q145" i="15" s="1"/>
  <c r="G74" i="4"/>
  <c r="G88" i="4"/>
  <c r="G100" i="4"/>
  <c r="G116" i="4"/>
  <c r="G11" i="15"/>
  <c r="K11" i="15" s="1"/>
  <c r="J11" i="15" s="1"/>
  <c r="G25" i="15"/>
  <c r="P25" i="15" s="1"/>
  <c r="G29" i="15"/>
  <c r="P29" i="15" s="1"/>
  <c r="O29" i="15" s="1"/>
  <c r="G33" i="15"/>
  <c r="N33" i="15" s="1"/>
  <c r="G41" i="15"/>
  <c r="N41" i="15" s="1"/>
  <c r="G52" i="15"/>
  <c r="I52" i="15" s="1"/>
  <c r="G59" i="15"/>
  <c r="K59" i="15" s="1"/>
  <c r="J59" i="15" s="1"/>
  <c r="G73" i="15"/>
  <c r="K73" i="15" s="1"/>
  <c r="J73" i="15" s="1"/>
  <c r="G77" i="15"/>
  <c r="N77" i="15" s="1"/>
  <c r="G87" i="15"/>
  <c r="N87" i="15" s="1"/>
  <c r="G91" i="15"/>
  <c r="N91" i="15" s="1"/>
  <c r="G105" i="15"/>
  <c r="N105" i="15" s="1"/>
  <c r="G113" i="15"/>
  <c r="N113" i="15" s="1"/>
  <c r="G121" i="15"/>
  <c r="N121" i="15" s="1"/>
  <c r="K68" i="15"/>
  <c r="J68" i="15" s="1"/>
  <c r="U151" i="15"/>
  <c r="U152" i="15" s="1"/>
  <c r="I69" i="15"/>
  <c r="N82" i="15"/>
  <c r="S82" i="15" s="1"/>
  <c r="O151" i="15"/>
  <c r="N69" i="15"/>
  <c r="Q69" i="15" s="1"/>
  <c r="K82" i="15"/>
  <c r="J82" i="15" s="1"/>
  <c r="L82" i="15" s="1"/>
  <c r="I83" i="15"/>
  <c r="N68" i="15"/>
  <c r="K83" i="15"/>
  <c r="U83" i="15" s="1"/>
  <c r="S146" i="15"/>
  <c r="P68" i="15"/>
  <c r="O68" i="15" s="1"/>
  <c r="J152" i="15"/>
  <c r="P71" i="15"/>
  <c r="O71" i="15" s="1"/>
  <c r="K69" i="15"/>
  <c r="U69" i="15" s="1"/>
  <c r="P82" i="15"/>
  <c r="O82" i="15" s="1"/>
  <c r="N83" i="15"/>
  <c r="K71" i="15"/>
  <c r="J71" i="15" s="1"/>
  <c r="I71" i="15"/>
  <c r="I14" i="15"/>
  <c r="S14" i="15" s="1"/>
  <c r="N13" i="15"/>
  <c r="P103" i="15"/>
  <c r="O103" i="15" s="1"/>
  <c r="Q103" i="15" s="1"/>
  <c r="P14" i="15"/>
  <c r="O14" i="15" s="1"/>
  <c r="I48" i="15"/>
  <c r="S48" i="15" s="1"/>
  <c r="N89" i="15"/>
  <c r="P48" i="15"/>
  <c r="O48" i="15" s="1"/>
  <c r="Q48" i="15" s="1"/>
  <c r="P117" i="15"/>
  <c r="O117" i="15" s="1"/>
  <c r="T117" i="15" s="1"/>
  <c r="J13" i="15"/>
  <c r="I54" i="15"/>
  <c r="S54" i="15" s="1"/>
  <c r="P13" i="15"/>
  <c r="O13" i="15" s="1"/>
  <c r="K54" i="15"/>
  <c r="I13" i="15"/>
  <c r="K14" i="15"/>
  <c r="J14" i="15" s="1"/>
  <c r="K48" i="15"/>
  <c r="J48" i="15" s="1"/>
  <c r="P54" i="15"/>
  <c r="O54" i="15" s="1"/>
  <c r="Q54" i="15" s="1"/>
  <c r="P131" i="15"/>
  <c r="O131" i="15" s="1"/>
  <c r="Q131" i="15" s="1"/>
  <c r="I89" i="15"/>
  <c r="L89" i="15" s="1"/>
  <c r="K133" i="15"/>
  <c r="J133" i="15" s="1"/>
  <c r="T133" i="15" s="1"/>
  <c r="K123" i="15"/>
  <c r="J123" i="15" s="1"/>
  <c r="N64" i="15"/>
  <c r="Q64" i="15" s="1"/>
  <c r="N12" i="15"/>
  <c r="S12" i="15" s="1"/>
  <c r="P105" i="15"/>
  <c r="O105" i="15" s="1"/>
  <c r="P41" i="15"/>
  <c r="O41" i="15" s="1"/>
  <c r="Q41" i="15" s="1"/>
  <c r="P91" i="15"/>
  <c r="O91" i="15" s="1"/>
  <c r="N117" i="15"/>
  <c r="I123" i="15"/>
  <c r="P22" i="15"/>
  <c r="O22" i="15" s="1"/>
  <c r="K38" i="15"/>
  <c r="J38" i="15" s="1"/>
  <c r="I115" i="15"/>
  <c r="N129" i="15"/>
  <c r="P12" i="15"/>
  <c r="O12" i="15" s="1"/>
  <c r="P107" i="15"/>
  <c r="O107" i="15" s="1"/>
  <c r="P38" i="15"/>
  <c r="N60" i="15"/>
  <c r="I75" i="15"/>
  <c r="P119" i="15"/>
  <c r="O119" i="15" s="1"/>
  <c r="Q119" i="15" s="1"/>
  <c r="N29" i="15"/>
  <c r="Q29" i="15" s="1"/>
  <c r="K34" i="15"/>
  <c r="J34" i="15" s="1"/>
  <c r="L34" i="15" s="1"/>
  <c r="N43" i="15"/>
  <c r="S43" i="15" s="1"/>
  <c r="I47" i="15"/>
  <c r="N53" i="15"/>
  <c r="P85" i="15"/>
  <c r="O85" i="15" s="1"/>
  <c r="Q85" i="15" s="1"/>
  <c r="K129" i="15"/>
  <c r="J129" i="15" s="1"/>
  <c r="I133" i="15"/>
  <c r="K46" i="15"/>
  <c r="J46" i="15" s="1"/>
  <c r="L46" i="15" s="1"/>
  <c r="K26" i="15"/>
  <c r="J26" i="15" s="1"/>
  <c r="L26" i="15" s="1"/>
  <c r="N75" i="15"/>
  <c r="Q75" i="15" s="1"/>
  <c r="I97" i="15"/>
  <c r="S97" i="15" s="1"/>
  <c r="P121" i="15"/>
  <c r="O121" i="15" s="1"/>
  <c r="Q121" i="15" s="1"/>
  <c r="P129" i="15"/>
  <c r="O129" i="15" s="1"/>
  <c r="K75" i="15"/>
  <c r="J75" i="15" s="1"/>
  <c r="T75" i="15" s="1"/>
  <c r="N17" i="15"/>
  <c r="N26" i="15"/>
  <c r="S26" i="15" s="1"/>
  <c r="N31" i="15"/>
  <c r="P44" i="15"/>
  <c r="U44" i="15" s="1"/>
  <c r="P97" i="15"/>
  <c r="O97" i="15" s="1"/>
  <c r="K43" i="15"/>
  <c r="J43" i="15" s="1"/>
  <c r="L43" i="15" s="1"/>
  <c r="P43" i="15"/>
  <c r="K78" i="15"/>
  <c r="J78" i="15" s="1"/>
  <c r="L78" i="15" s="1"/>
  <c r="P17" i="15"/>
  <c r="U17" i="15" s="1"/>
  <c r="N22" i="15"/>
  <c r="S22" i="15" s="1"/>
  <c r="P26" i="15"/>
  <c r="O26" i="15" s="1"/>
  <c r="P49" i="15"/>
  <c r="O49" i="15" s="1"/>
  <c r="O81" i="15"/>
  <c r="J53" i="15"/>
  <c r="I70" i="15"/>
  <c r="I125" i="15"/>
  <c r="I30" i="15"/>
  <c r="S30" i="15" s="1"/>
  <c r="P31" i="15"/>
  <c r="I36" i="15"/>
  <c r="P53" i="15"/>
  <c r="O53" i="15" s="1"/>
  <c r="K70" i="15"/>
  <c r="J70" i="15" s="1"/>
  <c r="I81" i="15"/>
  <c r="K125" i="15"/>
  <c r="J125" i="15" s="1"/>
  <c r="P30" i="15"/>
  <c r="O30" i="15" s="1"/>
  <c r="N70" i="15"/>
  <c r="Q70" i="15" s="1"/>
  <c r="N125" i="15"/>
  <c r="I91" i="15"/>
  <c r="S91" i="15" s="1"/>
  <c r="I15" i="15"/>
  <c r="S15" i="15" s="1"/>
  <c r="N16" i="15"/>
  <c r="I23" i="15"/>
  <c r="S23" i="15" s="1"/>
  <c r="P24" i="15"/>
  <c r="I31" i="15"/>
  <c r="L31" i="15" s="1"/>
  <c r="N34" i="15"/>
  <c r="S34" i="15" s="1"/>
  <c r="N39" i="15"/>
  <c r="Q39" i="15" s="1"/>
  <c r="N46" i="15"/>
  <c r="S46" i="15" s="1"/>
  <c r="K49" i="15"/>
  <c r="J49" i="15" s="1"/>
  <c r="I53" i="15"/>
  <c r="K56" i="15"/>
  <c r="J56" i="15" s="1"/>
  <c r="L56" i="15" s="1"/>
  <c r="N78" i="15"/>
  <c r="S78" i="15" s="1"/>
  <c r="N81" i="15"/>
  <c r="K91" i="15"/>
  <c r="J91" i="15" s="1"/>
  <c r="K97" i="15"/>
  <c r="J97" i="15" s="1"/>
  <c r="P99" i="15"/>
  <c r="O99" i="15" s="1"/>
  <c r="Q99" i="15" s="1"/>
  <c r="I103" i="15"/>
  <c r="S103" i="15" s="1"/>
  <c r="K109" i="15"/>
  <c r="J109" i="15" s="1"/>
  <c r="T109" i="15" s="1"/>
  <c r="I119" i="15"/>
  <c r="N123" i="15"/>
  <c r="N133" i="15"/>
  <c r="Q133" i="15" s="1"/>
  <c r="K81" i="15"/>
  <c r="J81" i="15" s="1"/>
  <c r="N37" i="15"/>
  <c r="S37" i="15" s="1"/>
  <c r="I85" i="15"/>
  <c r="S85" i="15" s="1"/>
  <c r="K88" i="15"/>
  <c r="J88" i="15" s="1"/>
  <c r="L88" i="15" s="1"/>
  <c r="K12" i="15"/>
  <c r="I29" i="15"/>
  <c r="I38" i="15"/>
  <c r="S38" i="15" s="1"/>
  <c r="I44" i="15"/>
  <c r="L44" i="15" s="1"/>
  <c r="P46" i="15"/>
  <c r="O46" i="15" s="1"/>
  <c r="N49" i="15"/>
  <c r="S49" i="15" s="1"/>
  <c r="I42" i="15"/>
  <c r="K85" i="15"/>
  <c r="N88" i="15"/>
  <c r="S88" i="15" s="1"/>
  <c r="K103" i="15"/>
  <c r="K107" i="15"/>
  <c r="J107" i="15" s="1"/>
  <c r="N109" i="15"/>
  <c r="Q109" i="15" s="1"/>
  <c r="I117" i="15"/>
  <c r="L117" i="15" s="1"/>
  <c r="K119" i="15"/>
  <c r="J119" i="15" s="1"/>
  <c r="K121" i="15"/>
  <c r="J121" i="15" s="1"/>
  <c r="K131" i="15"/>
  <c r="J131" i="15" s="1"/>
  <c r="P142" i="15"/>
  <c r="P144" i="15"/>
  <c r="I24" i="15"/>
  <c r="L24" i="15" s="1"/>
  <c r="P40" i="15"/>
  <c r="U40" i="15" s="1"/>
  <c r="N24" i="15"/>
  <c r="I107" i="15"/>
  <c r="S107" i="15" s="1"/>
  <c r="I109" i="15"/>
  <c r="P15" i="15"/>
  <c r="O15" i="15" s="1"/>
  <c r="Q15" i="15" s="1"/>
  <c r="K22" i="15"/>
  <c r="J22" i="15" s="1"/>
  <c r="L22" i="15" s="1"/>
  <c r="P23" i="15"/>
  <c r="O23" i="15" s="1"/>
  <c r="Q23" i="15" s="1"/>
  <c r="K29" i="15"/>
  <c r="J29" i="15" s="1"/>
  <c r="T29" i="15" s="1"/>
  <c r="P34" i="15"/>
  <c r="O34" i="15" s="1"/>
  <c r="P56" i="15"/>
  <c r="O56" i="15" s="1"/>
  <c r="N27" i="15"/>
  <c r="P27" i="15"/>
  <c r="I11" i="15"/>
  <c r="L11" i="15" s="1"/>
  <c r="K18" i="15"/>
  <c r="J18" i="15" s="1"/>
  <c r="N18" i="15"/>
  <c r="I18" i="15"/>
  <c r="I27" i="15"/>
  <c r="N66" i="15"/>
  <c r="K66" i="15"/>
  <c r="J66" i="15" s="1"/>
  <c r="P66" i="15"/>
  <c r="I66" i="15"/>
  <c r="O125" i="15"/>
  <c r="K27" i="15"/>
  <c r="J27" i="15" s="1"/>
  <c r="I57" i="15"/>
  <c r="P57" i="15"/>
  <c r="N57" i="15"/>
  <c r="K57" i="15"/>
  <c r="J57" i="15" s="1"/>
  <c r="P90" i="15"/>
  <c r="N90" i="15"/>
  <c r="I90" i="15"/>
  <c r="K90" i="15"/>
  <c r="J90" i="15" s="1"/>
  <c r="O92" i="15"/>
  <c r="O16" i="15"/>
  <c r="O18" i="15"/>
  <c r="N52" i="15"/>
  <c r="K52" i="15"/>
  <c r="J52" i="15" s="1"/>
  <c r="P52" i="15"/>
  <c r="K58" i="15"/>
  <c r="J58" i="15" s="1"/>
  <c r="I58" i="15"/>
  <c r="N58" i="15"/>
  <c r="P58" i="15"/>
  <c r="P11" i="15"/>
  <c r="K10" i="15"/>
  <c r="I10" i="15"/>
  <c r="P10" i="15"/>
  <c r="N10" i="15"/>
  <c r="K25" i="15"/>
  <c r="J25" i="15" s="1"/>
  <c r="N25" i="15"/>
  <c r="K35" i="15"/>
  <c r="J35" i="15" s="1"/>
  <c r="P35" i="15"/>
  <c r="N35" i="15"/>
  <c r="I35" i="15"/>
  <c r="P21" i="15"/>
  <c r="N21" i="15"/>
  <c r="K21" i="15"/>
  <c r="J21" i="15" s="1"/>
  <c r="L21" i="15" s="1"/>
  <c r="I20" i="15"/>
  <c r="K20" i="15"/>
  <c r="J20" i="15" s="1"/>
  <c r="P20" i="15"/>
  <c r="K86" i="15"/>
  <c r="J86" i="15" s="1"/>
  <c r="N106" i="15"/>
  <c r="K106" i="15"/>
  <c r="J106" i="15" s="1"/>
  <c r="I106" i="15"/>
  <c r="P37" i="15"/>
  <c r="K50" i="15"/>
  <c r="J50" i="15" s="1"/>
  <c r="I50" i="15"/>
  <c r="N42" i="15"/>
  <c r="K65" i="15"/>
  <c r="J65" i="15" s="1"/>
  <c r="I65" i="15"/>
  <c r="P65" i="15"/>
  <c r="N65" i="15"/>
  <c r="P106" i="15"/>
  <c r="K79" i="15"/>
  <c r="J79" i="15" s="1"/>
  <c r="N79" i="15"/>
  <c r="I79" i="15"/>
  <c r="K15" i="15"/>
  <c r="J15" i="15" s="1"/>
  <c r="I17" i="15"/>
  <c r="L17" i="15" s="1"/>
  <c r="K23" i="15"/>
  <c r="J23" i="15" s="1"/>
  <c r="K30" i="15"/>
  <c r="J30" i="15" s="1"/>
  <c r="K36" i="15"/>
  <c r="I40" i="15"/>
  <c r="L40" i="15" s="1"/>
  <c r="N44" i="15"/>
  <c r="P59" i="15"/>
  <c r="N59" i="15"/>
  <c r="P79" i="15"/>
  <c r="K37" i="15"/>
  <c r="J37" i="15" s="1"/>
  <c r="L37" i="15" s="1"/>
  <c r="N47" i="15"/>
  <c r="K47" i="15"/>
  <c r="J47" i="15" s="1"/>
  <c r="P50" i="15"/>
  <c r="I59" i="15"/>
  <c r="L59" i="15" s="1"/>
  <c r="K87" i="15"/>
  <c r="J87" i="15" s="1"/>
  <c r="K55" i="15"/>
  <c r="J55" i="15" s="1"/>
  <c r="L55" i="15" s="1"/>
  <c r="N55" i="15"/>
  <c r="N36" i="15"/>
  <c r="N40" i="15"/>
  <c r="P55" i="15"/>
  <c r="P80" i="15"/>
  <c r="N92" i="15"/>
  <c r="K92" i="15"/>
  <c r="J92" i="15" s="1"/>
  <c r="I92" i="15"/>
  <c r="K76" i="15"/>
  <c r="J76" i="15" s="1"/>
  <c r="I76" i="15"/>
  <c r="K99" i="15"/>
  <c r="J99" i="15" s="1"/>
  <c r="I99" i="15"/>
  <c r="I102" i="15"/>
  <c r="L102" i="15" s="1"/>
  <c r="P102" i="15"/>
  <c r="N102" i="15"/>
  <c r="I110" i="15"/>
  <c r="P110" i="15"/>
  <c r="N110" i="15"/>
  <c r="K110" i="15"/>
  <c r="J110" i="15" s="1"/>
  <c r="I118" i="15"/>
  <c r="P118" i="15"/>
  <c r="N118" i="15"/>
  <c r="K118" i="15"/>
  <c r="J118" i="15" s="1"/>
  <c r="I126" i="15"/>
  <c r="P126" i="15"/>
  <c r="N126" i="15"/>
  <c r="K126" i="15"/>
  <c r="J126" i="15" s="1"/>
  <c r="N63" i="15"/>
  <c r="I67" i="15"/>
  <c r="S67" i="15" s="1"/>
  <c r="P67" i="15"/>
  <c r="N74" i="15"/>
  <c r="K74" i="15"/>
  <c r="J74" i="15" s="1"/>
  <c r="T74" i="15" s="1"/>
  <c r="N76" i="15"/>
  <c r="K98" i="15"/>
  <c r="I98" i="15"/>
  <c r="N98" i="15"/>
  <c r="P101" i="15"/>
  <c r="K101" i="15"/>
  <c r="J101" i="15" s="1"/>
  <c r="P114" i="15"/>
  <c r="O115" i="15"/>
  <c r="N122" i="15"/>
  <c r="K122" i="15"/>
  <c r="J122" i="15" s="1"/>
  <c r="I122" i="15"/>
  <c r="P122" i="15"/>
  <c r="O123" i="15"/>
  <c r="N130" i="15"/>
  <c r="K130" i="15"/>
  <c r="J130" i="15" s="1"/>
  <c r="I130" i="15"/>
  <c r="P130" i="15"/>
  <c r="I60" i="15"/>
  <c r="L60" i="15" s="1"/>
  <c r="P60" i="15"/>
  <c r="I74" i="15"/>
  <c r="P77" i="15"/>
  <c r="N84" i="15"/>
  <c r="K84" i="15"/>
  <c r="J84" i="15" s="1"/>
  <c r="T84" i="15" s="1"/>
  <c r="P89" i="15"/>
  <c r="I101" i="15"/>
  <c r="O141" i="15"/>
  <c r="K67" i="15"/>
  <c r="J67" i="15" s="1"/>
  <c r="P76" i="15"/>
  <c r="I84" i="15"/>
  <c r="P98" i="15"/>
  <c r="N101" i="15"/>
  <c r="K141" i="15"/>
  <c r="J141" i="15" s="1"/>
  <c r="L141" i="15" s="1"/>
  <c r="P104" i="15"/>
  <c r="N104" i="15"/>
  <c r="K104" i="15"/>
  <c r="J104" i="15" s="1"/>
  <c r="L104" i="15" s="1"/>
  <c r="P112" i="15"/>
  <c r="N112" i="15"/>
  <c r="K112" i="15"/>
  <c r="J112" i="15" s="1"/>
  <c r="I112" i="15"/>
  <c r="P128" i="15"/>
  <c r="N128" i="15"/>
  <c r="I128" i="15"/>
  <c r="P78" i="15"/>
  <c r="P88" i="15"/>
  <c r="K108" i="15"/>
  <c r="J108" i="15" s="1"/>
  <c r="I108" i="15"/>
  <c r="P108" i="15"/>
  <c r="K116" i="15"/>
  <c r="J116" i="15" s="1"/>
  <c r="I116" i="15"/>
  <c r="P116" i="15"/>
  <c r="N116" i="15"/>
  <c r="I124" i="15"/>
  <c r="K132" i="15"/>
  <c r="J132" i="15" s="1"/>
  <c r="I132" i="15"/>
  <c r="P132" i="15"/>
  <c r="N132" i="15"/>
  <c r="K143" i="15"/>
  <c r="J143" i="15" s="1"/>
  <c r="J258" i="2"/>
  <c r="K258" i="2"/>
  <c r="I258" i="2"/>
  <c r="D258" i="2"/>
  <c r="C258" i="2"/>
  <c r="F269" i="2"/>
  <c r="D246" i="2"/>
  <c r="D248" i="2" s="1"/>
  <c r="H246" i="2"/>
  <c r="H248" i="2" s="1"/>
  <c r="G246" i="2"/>
  <c r="G248" i="2" s="1"/>
  <c r="E246" i="2"/>
  <c r="K246" i="2"/>
  <c r="K248" i="2" s="1"/>
  <c r="J246" i="2"/>
  <c r="J248" i="2" s="1"/>
  <c r="C246" i="2"/>
  <c r="C248" i="2" s="1"/>
  <c r="I246" i="2"/>
  <c r="I248" i="2" s="1"/>
  <c r="F231" i="2"/>
  <c r="F203" i="3"/>
  <c r="F197" i="1"/>
  <c r="F207" i="3" s="1"/>
  <c r="F246" i="2"/>
  <c r="E248" i="2"/>
  <c r="E204" i="3"/>
  <c r="K120" i="15" l="1"/>
  <c r="J120" i="15" s="1"/>
  <c r="P87" i="15"/>
  <c r="O87" i="15" s="1"/>
  <c r="I41" i="15"/>
  <c r="N86" i="15"/>
  <c r="S86" i="15" s="1"/>
  <c r="P86" i="15"/>
  <c r="I25" i="15"/>
  <c r="I61" i="15" s="1"/>
  <c r="P72" i="15"/>
  <c r="K42" i="15"/>
  <c r="J42" i="15" s="1"/>
  <c r="L42" i="15" s="1"/>
  <c r="I121" i="15"/>
  <c r="S121" i="15" s="1"/>
  <c r="P73" i="15"/>
  <c r="O73" i="15" s="1"/>
  <c r="T73" i="15" s="1"/>
  <c r="N19" i="15"/>
  <c r="I114" i="15"/>
  <c r="K111" i="15"/>
  <c r="J111" i="15" s="1"/>
  <c r="K140" i="15"/>
  <c r="J140" i="15" s="1"/>
  <c r="K124" i="15"/>
  <c r="J124" i="15" s="1"/>
  <c r="N120" i="15"/>
  <c r="K77" i="15"/>
  <c r="J77" i="15" s="1"/>
  <c r="I87" i="15"/>
  <c r="S87" i="15" s="1"/>
  <c r="N28" i="15"/>
  <c r="K28" i="15"/>
  <c r="J28" i="15" s="1"/>
  <c r="K39" i="15"/>
  <c r="U39" i="15" s="1"/>
  <c r="P93" i="15"/>
  <c r="O93" i="15" s="1"/>
  <c r="T93" i="15" s="1"/>
  <c r="N93" i="15"/>
  <c r="G134" i="15"/>
  <c r="K72" i="15"/>
  <c r="J72" i="15" s="1"/>
  <c r="P45" i="15"/>
  <c r="O45" i="15" s="1"/>
  <c r="T45" i="15" s="1"/>
  <c r="K105" i="15"/>
  <c r="J105" i="15" s="1"/>
  <c r="I105" i="15"/>
  <c r="S105" i="15" s="1"/>
  <c r="I94" i="15"/>
  <c r="S94" i="15" s="1"/>
  <c r="N124" i="15"/>
  <c r="S124" i="15" s="1"/>
  <c r="P100" i="15"/>
  <c r="G146" i="15"/>
  <c r="P120" i="15"/>
  <c r="K114" i="15"/>
  <c r="J114" i="15" s="1"/>
  <c r="L114" i="15" s="1"/>
  <c r="K80" i="15"/>
  <c r="J80" i="15" s="1"/>
  <c r="L80" i="15" s="1"/>
  <c r="N32" i="15"/>
  <c r="Q32" i="15" s="1"/>
  <c r="I33" i="15"/>
  <c r="S33" i="15" s="1"/>
  <c r="G61" i="15"/>
  <c r="I72" i="15"/>
  <c r="I28" i="15"/>
  <c r="I45" i="15"/>
  <c r="I93" i="15"/>
  <c r="L93" i="15" s="1"/>
  <c r="K113" i="15"/>
  <c r="J113" i="15" s="1"/>
  <c r="I131" i="15"/>
  <c r="S131" i="15" s="1"/>
  <c r="P113" i="15"/>
  <c r="O113" i="15" s="1"/>
  <c r="Q113" i="15" s="1"/>
  <c r="I113" i="15"/>
  <c r="S113" i="15" s="1"/>
  <c r="P19" i="15"/>
  <c r="O19" i="15" s="1"/>
  <c r="I73" i="15"/>
  <c r="L73" i="15" s="1"/>
  <c r="I39" i="15"/>
  <c r="S39" i="15" s="1"/>
  <c r="N115" i="15"/>
  <c r="S115" i="15" s="1"/>
  <c r="K127" i="15"/>
  <c r="J127" i="15" s="1"/>
  <c r="L127" i="15" s="1"/>
  <c r="F208" i="3"/>
  <c r="I100" i="15"/>
  <c r="L100" i="15" s="1"/>
  <c r="I63" i="15"/>
  <c r="S63" i="15" s="1"/>
  <c r="K63" i="15"/>
  <c r="U63" i="15" s="1"/>
  <c r="N80" i="15"/>
  <c r="S80" i="15" s="1"/>
  <c r="N11" i="15"/>
  <c r="S11" i="15" s="1"/>
  <c r="N45" i="15"/>
  <c r="P32" i="15"/>
  <c r="O32" i="15" s="1"/>
  <c r="T32" i="15" s="1"/>
  <c r="K94" i="15"/>
  <c r="J94" i="15" s="1"/>
  <c r="N56" i="15"/>
  <c r="S56" i="15" s="1"/>
  <c r="P111" i="15"/>
  <c r="O111" i="15" s="1"/>
  <c r="I32" i="15"/>
  <c r="L32" i="15" s="1"/>
  <c r="I19" i="15"/>
  <c r="L19" i="15" s="1"/>
  <c r="K16" i="15"/>
  <c r="J16" i="15" s="1"/>
  <c r="T16" i="15" s="1"/>
  <c r="I111" i="15"/>
  <c r="S111" i="15" s="1"/>
  <c r="I16" i="15"/>
  <c r="K41" i="15"/>
  <c r="J41" i="15" s="1"/>
  <c r="T41" i="15" s="1"/>
  <c r="I77" i="15"/>
  <c r="S77" i="15" s="1"/>
  <c r="N73" i="15"/>
  <c r="S73" i="15" s="1"/>
  <c r="N100" i="15"/>
  <c r="K115" i="15"/>
  <c r="J115" i="15" s="1"/>
  <c r="I64" i="15"/>
  <c r="S64" i="15" s="1"/>
  <c r="K64" i="15"/>
  <c r="J64" i="15" s="1"/>
  <c r="T64" i="15" s="1"/>
  <c r="G95" i="15"/>
  <c r="K33" i="15"/>
  <c r="J33" i="15" s="1"/>
  <c r="P33" i="15"/>
  <c r="O33" i="15" s="1"/>
  <c r="T33" i="15" s="1"/>
  <c r="K145" i="15"/>
  <c r="J145" i="15" s="1"/>
  <c r="L145" i="15" s="1"/>
  <c r="P94" i="15"/>
  <c r="O94" i="15" s="1"/>
  <c r="Q94" i="15" s="1"/>
  <c r="P127" i="15"/>
  <c r="O127" i="15" s="1"/>
  <c r="N127" i="15"/>
  <c r="S127" i="15" s="1"/>
  <c r="J83" i="15"/>
  <c r="L83" i="15" s="1"/>
  <c r="T68" i="15"/>
  <c r="U103" i="15"/>
  <c r="T71" i="15"/>
  <c r="L71" i="15"/>
  <c r="Q68" i="15"/>
  <c r="S69" i="15"/>
  <c r="O152" i="15"/>
  <c r="T151" i="15"/>
  <c r="U68" i="15"/>
  <c r="Q151" i="15"/>
  <c r="Q152" i="15" s="1"/>
  <c r="J69" i="15"/>
  <c r="L69" i="15" s="1"/>
  <c r="T82" i="15"/>
  <c r="L14" i="15"/>
  <c r="S68" i="15"/>
  <c r="S71" i="15"/>
  <c r="Q71" i="15"/>
  <c r="U82" i="15"/>
  <c r="S83" i="15"/>
  <c r="U71" i="15"/>
  <c r="U73" i="15"/>
  <c r="Q82" i="15"/>
  <c r="Q83" i="15"/>
  <c r="L68" i="15"/>
  <c r="O17" i="15"/>
  <c r="T17" i="15" s="1"/>
  <c r="T91" i="15"/>
  <c r="S13" i="15"/>
  <c r="S89" i="15"/>
  <c r="L47" i="15"/>
  <c r="L48" i="15"/>
  <c r="Q13" i="15"/>
  <c r="Q127" i="15"/>
  <c r="T14" i="15"/>
  <c r="L38" i="15"/>
  <c r="J103" i="15"/>
  <c r="T103" i="15" s="1"/>
  <c r="U64" i="15"/>
  <c r="U117" i="15"/>
  <c r="L131" i="15"/>
  <c r="L15" i="15"/>
  <c r="U14" i="15"/>
  <c r="U48" i="15"/>
  <c r="Q19" i="15"/>
  <c r="L30" i="15"/>
  <c r="L13" i="15"/>
  <c r="Q117" i="15"/>
  <c r="U54" i="15"/>
  <c r="L79" i="15"/>
  <c r="T13" i="15"/>
  <c r="U32" i="15"/>
  <c r="U38" i="15"/>
  <c r="J54" i="15"/>
  <c r="L54" i="15" s="1"/>
  <c r="Q14" i="15"/>
  <c r="O44" i="15"/>
  <c r="T44" i="15" s="1"/>
  <c r="U13" i="15"/>
  <c r="Q49" i="15"/>
  <c r="Q91" i="15"/>
  <c r="Q22" i="15"/>
  <c r="T119" i="15"/>
  <c r="L133" i="15"/>
  <c r="S125" i="15"/>
  <c r="L115" i="15"/>
  <c r="S19" i="15"/>
  <c r="L123" i="15"/>
  <c r="T18" i="15"/>
  <c r="T48" i="15"/>
  <c r="L58" i="15"/>
  <c r="S123" i="15"/>
  <c r="T49" i="15"/>
  <c r="U123" i="15"/>
  <c r="L121" i="15"/>
  <c r="Q12" i="15"/>
  <c r="T123" i="15"/>
  <c r="S75" i="15"/>
  <c r="U133" i="15"/>
  <c r="S81" i="15"/>
  <c r="Q129" i="15"/>
  <c r="T127" i="15"/>
  <c r="L132" i="15"/>
  <c r="L116" i="15"/>
  <c r="L108" i="15"/>
  <c r="U26" i="15"/>
  <c r="O40" i="15"/>
  <c r="T40" i="15" s="1"/>
  <c r="L92" i="15"/>
  <c r="L97" i="15"/>
  <c r="U115" i="15"/>
  <c r="T115" i="15"/>
  <c r="S129" i="15"/>
  <c r="S109" i="15"/>
  <c r="U19" i="15"/>
  <c r="L53" i="15"/>
  <c r="L50" i="15"/>
  <c r="O38" i="15"/>
  <c r="Q38" i="15" s="1"/>
  <c r="L25" i="15"/>
  <c r="Q125" i="15"/>
  <c r="S70" i="15"/>
  <c r="L70" i="15"/>
  <c r="S53" i="15"/>
  <c r="T94" i="15"/>
  <c r="T19" i="15"/>
  <c r="U127" i="15"/>
  <c r="Q53" i="15"/>
  <c r="U43" i="15"/>
  <c r="T129" i="15"/>
  <c r="T26" i="15"/>
  <c r="Q26" i="15"/>
  <c r="T42" i="15"/>
  <c r="U129" i="15"/>
  <c r="L129" i="15"/>
  <c r="U42" i="15"/>
  <c r="L74" i="15"/>
  <c r="P146" i="15"/>
  <c r="U75" i="15"/>
  <c r="O43" i="15"/>
  <c r="U53" i="15"/>
  <c r="U22" i="15"/>
  <c r="U23" i="15"/>
  <c r="L57" i="15"/>
  <c r="T34" i="15"/>
  <c r="U49" i="15"/>
  <c r="Q34" i="15"/>
  <c r="T121" i="15"/>
  <c r="U131" i="15"/>
  <c r="U107" i="15"/>
  <c r="L29" i="15"/>
  <c r="L119" i="15"/>
  <c r="U97" i="15"/>
  <c r="U81" i="15"/>
  <c r="L75" i="15"/>
  <c r="U121" i="15"/>
  <c r="L120" i="15"/>
  <c r="T131" i="15"/>
  <c r="L106" i="15"/>
  <c r="L52" i="15"/>
  <c r="T107" i="15"/>
  <c r="U46" i="15"/>
  <c r="L81" i="15"/>
  <c r="Q81" i="15"/>
  <c r="T46" i="15"/>
  <c r="Q46" i="15"/>
  <c r="L107" i="15"/>
  <c r="U105" i="15"/>
  <c r="S16" i="15"/>
  <c r="O31" i="15"/>
  <c r="U31" i="15"/>
  <c r="L118" i="15"/>
  <c r="T105" i="15"/>
  <c r="S31" i="15"/>
  <c r="S29" i="15"/>
  <c r="U125" i="15"/>
  <c r="L49" i="15"/>
  <c r="J12" i="15"/>
  <c r="U12" i="15"/>
  <c r="L91" i="15"/>
  <c r="S119" i="15"/>
  <c r="L128" i="15"/>
  <c r="S117" i="15"/>
  <c r="L84" i="15"/>
  <c r="L23" i="15"/>
  <c r="U70" i="15"/>
  <c r="U29" i="15"/>
  <c r="U18" i="15"/>
  <c r="Q16" i="15"/>
  <c r="T125" i="15"/>
  <c r="L109" i="15"/>
  <c r="U91" i="15"/>
  <c r="U111" i="15"/>
  <c r="U109" i="15"/>
  <c r="L124" i="15"/>
  <c r="L112" i="15"/>
  <c r="U74" i="15"/>
  <c r="L65" i="15"/>
  <c r="L18" i="15"/>
  <c r="U34" i="15"/>
  <c r="U24" i="15"/>
  <c r="O24" i="15"/>
  <c r="T24" i="15" s="1"/>
  <c r="T53" i="15"/>
  <c r="T81" i="15"/>
  <c r="O142" i="15"/>
  <c r="U142" i="15"/>
  <c r="L105" i="15"/>
  <c r="Q123" i="15"/>
  <c r="S133" i="15"/>
  <c r="U56" i="15"/>
  <c r="S24" i="15"/>
  <c r="L125" i="15"/>
  <c r="T70" i="15"/>
  <c r="O144" i="15"/>
  <c r="U144" i="15"/>
  <c r="L130" i="15"/>
  <c r="S60" i="15"/>
  <c r="T47" i="15"/>
  <c r="U85" i="15"/>
  <c r="J85" i="15"/>
  <c r="U119" i="15"/>
  <c r="T22" i="15"/>
  <c r="S106" i="15"/>
  <c r="O102" i="15"/>
  <c r="T102" i="15" s="1"/>
  <c r="U102" i="15"/>
  <c r="U10" i="15"/>
  <c r="O10" i="15"/>
  <c r="Q10" i="15" s="1"/>
  <c r="S58" i="15"/>
  <c r="L90" i="15"/>
  <c r="S112" i="15"/>
  <c r="S98" i="15"/>
  <c r="Q63" i="15"/>
  <c r="U126" i="15"/>
  <c r="O126" i="15"/>
  <c r="T126" i="15" s="1"/>
  <c r="Q107" i="15"/>
  <c r="Q36" i="15"/>
  <c r="S36" i="15"/>
  <c r="J36" i="15"/>
  <c r="U36" i="15"/>
  <c r="U86" i="15"/>
  <c r="O86" i="15"/>
  <c r="T86" i="15" s="1"/>
  <c r="L20" i="15"/>
  <c r="S20" i="15"/>
  <c r="S90" i="15"/>
  <c r="S66" i="15"/>
  <c r="S18" i="15"/>
  <c r="Q18" i="15"/>
  <c r="T97" i="15"/>
  <c r="Q97" i="15"/>
  <c r="U112" i="15"/>
  <c r="O112" i="15"/>
  <c r="T112" i="15" s="1"/>
  <c r="U98" i="15"/>
  <c r="O98" i="15"/>
  <c r="L101" i="15"/>
  <c r="S130" i="15"/>
  <c r="S76" i="15"/>
  <c r="L126" i="15"/>
  <c r="L99" i="15"/>
  <c r="U55" i="15"/>
  <c r="O55" i="15"/>
  <c r="T55" i="15" s="1"/>
  <c r="S32" i="15"/>
  <c r="S108" i="15"/>
  <c r="U47" i="15"/>
  <c r="L86" i="15"/>
  <c r="T15" i="15"/>
  <c r="J10" i="15"/>
  <c r="L10" i="15" s="1"/>
  <c r="L72" i="15"/>
  <c r="O90" i="15"/>
  <c r="T90" i="15" s="1"/>
  <c r="U90" i="15"/>
  <c r="U30" i="15"/>
  <c r="O27" i="15"/>
  <c r="T27" i="15" s="1"/>
  <c r="U27" i="15"/>
  <c r="S84" i="15"/>
  <c r="Q84" i="15"/>
  <c r="U118" i="15"/>
  <c r="O118" i="15"/>
  <c r="T118" i="15" s="1"/>
  <c r="S42" i="15"/>
  <c r="Q42" i="15"/>
  <c r="U20" i="15"/>
  <c r="O20" i="15"/>
  <c r="O58" i="15"/>
  <c r="T58" i="15" s="1"/>
  <c r="U58" i="15"/>
  <c r="O66" i="15"/>
  <c r="T66" i="15" s="1"/>
  <c r="U66" i="15"/>
  <c r="U124" i="15"/>
  <c r="O124" i="15"/>
  <c r="T124" i="15" s="1"/>
  <c r="O77" i="15"/>
  <c r="S41" i="15"/>
  <c r="L41" i="15"/>
  <c r="S28" i="15"/>
  <c r="O57" i="15"/>
  <c r="T57" i="15" s="1"/>
  <c r="U57" i="15"/>
  <c r="U76" i="15"/>
  <c r="O76" i="15"/>
  <c r="T76" i="15" s="1"/>
  <c r="S132" i="15"/>
  <c r="O114" i="15"/>
  <c r="T114" i="15" s="1"/>
  <c r="J98" i="15"/>
  <c r="L98" i="15" s="1"/>
  <c r="U99" i="15"/>
  <c r="U106" i="15"/>
  <c r="O106" i="15"/>
  <c r="T106" i="15" s="1"/>
  <c r="U37" i="15"/>
  <c r="O37" i="15"/>
  <c r="G137" i="15"/>
  <c r="G138" i="15" s="1"/>
  <c r="U15" i="15"/>
  <c r="S74" i="15"/>
  <c r="Q74" i="15"/>
  <c r="S110" i="15"/>
  <c r="O80" i="15"/>
  <c r="T80" i="15" s="1"/>
  <c r="U80" i="15"/>
  <c r="S55" i="15"/>
  <c r="T99" i="15"/>
  <c r="U65" i="15"/>
  <c r="O65" i="15"/>
  <c r="Q65" i="15" s="1"/>
  <c r="L35" i="15"/>
  <c r="S25" i="15"/>
  <c r="O72" i="15"/>
  <c r="O52" i="15"/>
  <c r="T52" i="15" s="1"/>
  <c r="U52" i="15"/>
  <c r="L28" i="15"/>
  <c r="T23" i="15"/>
  <c r="U130" i="15"/>
  <c r="O130" i="15"/>
  <c r="T130" i="15" s="1"/>
  <c r="J63" i="15"/>
  <c r="S44" i="15"/>
  <c r="S17" i="15"/>
  <c r="U100" i="15"/>
  <c r="O100" i="15"/>
  <c r="S122" i="15"/>
  <c r="S116" i="15"/>
  <c r="O88" i="15"/>
  <c r="U88" i="15"/>
  <c r="S120" i="15"/>
  <c r="U50" i="15"/>
  <c r="O50" i="15"/>
  <c r="U79" i="15"/>
  <c r="O79" i="15"/>
  <c r="T79" i="15" s="1"/>
  <c r="S79" i="15"/>
  <c r="S65" i="15"/>
  <c r="N61" i="15"/>
  <c r="S10" i="15"/>
  <c r="S72" i="15"/>
  <c r="T30" i="15"/>
  <c r="Q30" i="15"/>
  <c r="S27" i="15"/>
  <c r="Q105" i="15"/>
  <c r="U132" i="15"/>
  <c r="O132" i="15"/>
  <c r="T132" i="15" s="1"/>
  <c r="U116" i="15"/>
  <c r="O116" i="15"/>
  <c r="T116" i="15" s="1"/>
  <c r="U108" i="15"/>
  <c r="O108" i="15"/>
  <c r="U78" i="15"/>
  <c r="O78" i="15"/>
  <c r="U120" i="15"/>
  <c r="O120" i="15"/>
  <c r="T120" i="15" s="1"/>
  <c r="S104" i="15"/>
  <c r="U143" i="15"/>
  <c r="S128" i="15"/>
  <c r="Q115" i="15"/>
  <c r="U104" i="15"/>
  <c r="O104" i="15"/>
  <c r="T104" i="15" s="1"/>
  <c r="T141" i="15"/>
  <c r="Q141" i="15"/>
  <c r="U89" i="15"/>
  <c r="O89" i="15"/>
  <c r="U122" i="15"/>
  <c r="O122" i="15"/>
  <c r="T122" i="15" s="1"/>
  <c r="U67" i="15"/>
  <c r="O67" i="15"/>
  <c r="U110" i="15"/>
  <c r="O110" i="15"/>
  <c r="T110" i="15" s="1"/>
  <c r="U84" i="15"/>
  <c r="S47" i="15"/>
  <c r="Q47" i="15"/>
  <c r="S59" i="15"/>
  <c r="S50" i="15"/>
  <c r="S21" i="15"/>
  <c r="S35" i="15"/>
  <c r="U28" i="15"/>
  <c r="O28" i="15"/>
  <c r="T28" i="15" s="1"/>
  <c r="T92" i="15"/>
  <c r="L27" i="15"/>
  <c r="S102" i="15"/>
  <c r="S92" i="15"/>
  <c r="Q92" i="15"/>
  <c r="S40" i="15"/>
  <c r="S57" i="15"/>
  <c r="L143" i="15"/>
  <c r="T143" i="15"/>
  <c r="U101" i="15"/>
  <c r="O101" i="15"/>
  <c r="T101" i="15" s="1"/>
  <c r="S126" i="15"/>
  <c r="U87" i="15"/>
  <c r="P95" i="15"/>
  <c r="O11" i="15"/>
  <c r="T11" i="15" s="1"/>
  <c r="U11" i="15"/>
  <c r="T56" i="15"/>
  <c r="S101" i="15"/>
  <c r="U60" i="15"/>
  <c r="O60" i="15"/>
  <c r="U128" i="15"/>
  <c r="O128" i="15"/>
  <c r="T128" i="15" s="1"/>
  <c r="U141" i="15"/>
  <c r="L122" i="15"/>
  <c r="S114" i="15"/>
  <c r="L67" i="15"/>
  <c r="S118" i="15"/>
  <c r="L110" i="15"/>
  <c r="L76" i="15"/>
  <c r="O59" i="15"/>
  <c r="T59" i="15" s="1"/>
  <c r="U59" i="15"/>
  <c r="O21" i="15"/>
  <c r="T21" i="15" s="1"/>
  <c r="U21" i="15"/>
  <c r="S99" i="15"/>
  <c r="U35" i="15"/>
  <c r="O35" i="15"/>
  <c r="T35" i="15" s="1"/>
  <c r="O25" i="15"/>
  <c r="T25" i="15" s="1"/>
  <c r="U25" i="15"/>
  <c r="Q33" i="15"/>
  <c r="S52" i="15"/>
  <c r="U92" i="15"/>
  <c r="L66" i="15"/>
  <c r="L45" i="15"/>
  <c r="F248" i="2"/>
  <c r="U140" i="15" l="1"/>
  <c r="L87" i="15"/>
  <c r="P61" i="15"/>
  <c r="P137" i="15" s="1"/>
  <c r="P148" i="15" s="1"/>
  <c r="P154" i="15" s="1"/>
  <c r="U93" i="15"/>
  <c r="U77" i="15"/>
  <c r="U94" i="15"/>
  <c r="V94" i="15" s="1"/>
  <c r="U41" i="15"/>
  <c r="V41" i="15" s="1"/>
  <c r="U145" i="15"/>
  <c r="U146" i="15" s="1"/>
  <c r="U114" i="15"/>
  <c r="S45" i="15"/>
  <c r="I95" i="15"/>
  <c r="L16" i="15"/>
  <c r="L94" i="15"/>
  <c r="J39" i="15"/>
  <c r="J61" i="15" s="1"/>
  <c r="L64" i="15"/>
  <c r="K95" i="15"/>
  <c r="U72" i="15"/>
  <c r="U45" i="15"/>
  <c r="P134" i="15"/>
  <c r="K134" i="15"/>
  <c r="T72" i="15"/>
  <c r="V72" i="15" s="1"/>
  <c r="K61" i="15"/>
  <c r="K137" i="15" s="1"/>
  <c r="N95" i="15"/>
  <c r="N134" i="15"/>
  <c r="L111" i="15"/>
  <c r="L113" i="15"/>
  <c r="Q93" i="15"/>
  <c r="Q56" i="15"/>
  <c r="L33" i="15"/>
  <c r="S93" i="15"/>
  <c r="V93" i="15" s="1"/>
  <c r="U16" i="15"/>
  <c r="V16" i="15" s="1"/>
  <c r="T145" i="15"/>
  <c r="V145" i="15" s="1"/>
  <c r="Q73" i="15"/>
  <c r="S100" i="15"/>
  <c r="S134" i="15" s="1"/>
  <c r="I134" i="15"/>
  <c r="I137" i="15" s="1"/>
  <c r="I148" i="15" s="1"/>
  <c r="I154" i="15" s="1"/>
  <c r="K146" i="15"/>
  <c r="U33" i="15"/>
  <c r="V33" i="15" s="1"/>
  <c r="L77" i="15"/>
  <c r="T83" i="15"/>
  <c r="V83" i="15" s="1"/>
  <c r="T113" i="15"/>
  <c r="U113" i="15"/>
  <c r="U134" i="15" s="1"/>
  <c r="V103" i="15"/>
  <c r="V68" i="15"/>
  <c r="V133" i="15"/>
  <c r="V71" i="15"/>
  <c r="V73" i="15"/>
  <c r="V117" i="15"/>
  <c r="T69" i="15"/>
  <c r="V69" i="15" s="1"/>
  <c r="V82" i="15"/>
  <c r="V91" i="15"/>
  <c r="T152" i="15"/>
  <c r="V151" i="15"/>
  <c r="V152" i="15" s="1"/>
  <c r="Q17" i="15"/>
  <c r="V17" i="15"/>
  <c r="V109" i="15"/>
  <c r="V40" i="15"/>
  <c r="L103" i="15"/>
  <c r="V64" i="15"/>
  <c r="Q40" i="15"/>
  <c r="V14" i="15"/>
  <c r="V32" i="15"/>
  <c r="V44" i="15"/>
  <c r="Q44" i="15"/>
  <c r="V48" i="15"/>
  <c r="Q104" i="15"/>
  <c r="V121" i="15"/>
  <c r="V115" i="15"/>
  <c r="V13" i="15"/>
  <c r="V75" i="15"/>
  <c r="V107" i="15"/>
  <c r="V127" i="15"/>
  <c r="V26" i="15"/>
  <c r="Q86" i="15"/>
  <c r="V34" i="15"/>
  <c r="T54" i="15"/>
  <c r="V54" i="15" s="1"/>
  <c r="T38" i="15"/>
  <c r="V38" i="15" s="1"/>
  <c r="V19" i="15"/>
  <c r="V123" i="15"/>
  <c r="V131" i="15"/>
  <c r="V29" i="15"/>
  <c r="V52" i="15"/>
  <c r="V53" i="15"/>
  <c r="Q128" i="15"/>
  <c r="V129" i="15"/>
  <c r="Q101" i="15"/>
  <c r="V49" i="15"/>
  <c r="V47" i="15"/>
  <c r="V125" i="15"/>
  <c r="V132" i="15"/>
  <c r="Q58" i="15"/>
  <c r="V22" i="15"/>
  <c r="L39" i="15"/>
  <c r="V104" i="15"/>
  <c r="V119" i="15"/>
  <c r="Q52" i="15"/>
  <c r="V18" i="15"/>
  <c r="V46" i="15"/>
  <c r="V99" i="15"/>
  <c r="V101" i="15"/>
  <c r="V35" i="15"/>
  <c r="V42" i="15"/>
  <c r="V97" i="15"/>
  <c r="V105" i="15"/>
  <c r="V56" i="15"/>
  <c r="V92" i="15"/>
  <c r="T43" i="15"/>
  <c r="V43" i="15" s="1"/>
  <c r="Q43" i="15"/>
  <c r="Q124" i="15"/>
  <c r="V25" i="15"/>
  <c r="Q55" i="15"/>
  <c r="Q80" i="15"/>
  <c r="V70" i="15"/>
  <c r="Q35" i="15"/>
  <c r="Q114" i="15"/>
  <c r="Q25" i="15"/>
  <c r="V55" i="15"/>
  <c r="V23" i="15"/>
  <c r="V81" i="15"/>
  <c r="L12" i="15"/>
  <c r="T12" i="15"/>
  <c r="V12" i="15" s="1"/>
  <c r="T31" i="15"/>
  <c r="V31" i="15" s="1"/>
  <c r="Q31" i="15"/>
  <c r="V118" i="15"/>
  <c r="Q116" i="15"/>
  <c r="V116" i="15"/>
  <c r="V24" i="15"/>
  <c r="Q24" i="15"/>
  <c r="V143" i="15"/>
  <c r="T98" i="15"/>
  <c r="V98" i="15" s="1"/>
  <c r="Q66" i="15"/>
  <c r="L85" i="15"/>
  <c r="T85" i="15"/>
  <c r="V85" i="15" s="1"/>
  <c r="Q111" i="15"/>
  <c r="T111" i="15"/>
  <c r="V111" i="15" s="1"/>
  <c r="Q28" i="15"/>
  <c r="Q76" i="15"/>
  <c r="V112" i="15"/>
  <c r="T144" i="15"/>
  <c r="V144" i="15" s="1"/>
  <c r="Q144" i="15"/>
  <c r="V124" i="15"/>
  <c r="T142" i="15"/>
  <c r="V142" i="15" s="1"/>
  <c r="Q142" i="15"/>
  <c r="O146" i="15"/>
  <c r="Q118" i="15"/>
  <c r="V86" i="15"/>
  <c r="U95" i="15"/>
  <c r="Q120" i="15"/>
  <c r="V74" i="15"/>
  <c r="Q132" i="15"/>
  <c r="V30" i="15"/>
  <c r="V76" i="15"/>
  <c r="T77" i="15"/>
  <c r="V77" i="15" s="1"/>
  <c r="Q77" i="15"/>
  <c r="G148" i="15"/>
  <c r="G149" i="15" s="1"/>
  <c r="Q126" i="15"/>
  <c r="Q11" i="15"/>
  <c r="V102" i="15"/>
  <c r="V21" i="15"/>
  <c r="V122" i="15"/>
  <c r="J95" i="15"/>
  <c r="T63" i="15"/>
  <c r="V63" i="15" s="1"/>
  <c r="V80" i="15"/>
  <c r="Q130" i="15"/>
  <c r="V66" i="15"/>
  <c r="O134" i="15"/>
  <c r="V27" i="15"/>
  <c r="V128" i="15"/>
  <c r="Q27" i="15"/>
  <c r="T50" i="15"/>
  <c r="V50" i="15" s="1"/>
  <c r="Q50" i="15"/>
  <c r="V28" i="15"/>
  <c r="S95" i="15"/>
  <c r="T67" i="15"/>
  <c r="V67" i="15" s="1"/>
  <c r="Q67" i="15"/>
  <c r="Q45" i="15"/>
  <c r="T65" i="15"/>
  <c r="V65" i="15" s="1"/>
  <c r="O95" i="15"/>
  <c r="J146" i="15"/>
  <c r="L140" i="15"/>
  <c r="L146" i="15" s="1"/>
  <c r="T140" i="15"/>
  <c r="V130" i="15"/>
  <c r="Q90" i="15"/>
  <c r="Q98" i="15"/>
  <c r="V58" i="15"/>
  <c r="Q106" i="15"/>
  <c r="T78" i="15"/>
  <c r="V78" i="15" s="1"/>
  <c r="Q78" i="15"/>
  <c r="T88" i="15"/>
  <c r="V88" i="15" s="1"/>
  <c r="Q88" i="15"/>
  <c r="T89" i="15"/>
  <c r="V89" i="15" s="1"/>
  <c r="Q89" i="15"/>
  <c r="S61" i="15"/>
  <c r="V57" i="15"/>
  <c r="Q122" i="15"/>
  <c r="L36" i="15"/>
  <c r="T36" i="15"/>
  <c r="V36" i="15" s="1"/>
  <c r="V11" i="15"/>
  <c r="Q110" i="15"/>
  <c r="V114" i="15"/>
  <c r="V59" i="15"/>
  <c r="V45" i="15"/>
  <c r="Q79" i="15"/>
  <c r="V120" i="15"/>
  <c r="T100" i="15"/>
  <c r="Q100" i="15"/>
  <c r="V110" i="15"/>
  <c r="T37" i="15"/>
  <c r="V37" i="15" s="1"/>
  <c r="Q37" i="15"/>
  <c r="J134" i="15"/>
  <c r="L63" i="15"/>
  <c r="V90" i="15"/>
  <c r="O61" i="15"/>
  <c r="T10" i="15"/>
  <c r="V10" i="15" s="1"/>
  <c r="V106" i="15"/>
  <c r="T60" i="15"/>
  <c r="V60" i="15" s="1"/>
  <c r="Q60" i="15"/>
  <c r="T20" i="15"/>
  <c r="V20" i="15" s="1"/>
  <c r="Q20" i="15"/>
  <c r="Q57" i="15"/>
  <c r="T108" i="15"/>
  <c r="V108" i="15" s="1"/>
  <c r="Q108" i="15"/>
  <c r="V15" i="15"/>
  <c r="T87" i="15"/>
  <c r="V87" i="15" s="1"/>
  <c r="Q87" i="15"/>
  <c r="Q102" i="15"/>
  <c r="Q21" i="15"/>
  <c r="V126" i="15"/>
  <c r="V141" i="15"/>
  <c r="Q59" i="15"/>
  <c r="Q72" i="15"/>
  <c r="V79" i="15"/>
  <c r="V84" i="15"/>
  <c r="Q112" i="15"/>
  <c r="U61" i="15" l="1"/>
  <c r="N137" i="15"/>
  <c r="N148" i="15" s="1"/>
  <c r="N154" i="15" s="1"/>
  <c r="T39" i="15"/>
  <c r="V39" i="15" s="1"/>
  <c r="V61" i="15" s="1"/>
  <c r="L134" i="15"/>
  <c r="K148" i="15"/>
  <c r="K154" i="15" s="1"/>
  <c r="V113" i="15"/>
  <c r="Q146" i="15"/>
  <c r="Q134" i="15"/>
  <c r="U137" i="15"/>
  <c r="U148" i="15" s="1"/>
  <c r="U154" i="15" s="1"/>
  <c r="Q95" i="15"/>
  <c r="Q61" i="15"/>
  <c r="T134" i="15"/>
  <c r="I162" i="15" s="1"/>
  <c r="L95" i="15"/>
  <c r="T146" i="15"/>
  <c r="V140" i="15"/>
  <c r="V146" i="15" s="1"/>
  <c r="V100" i="15"/>
  <c r="O137" i="15"/>
  <c r="O148" i="15" s="1"/>
  <c r="O154" i="15" s="1"/>
  <c r="L61" i="15"/>
  <c r="S137" i="15"/>
  <c r="S148" i="15" s="1"/>
  <c r="S154" i="15" s="1"/>
  <c r="V95" i="15"/>
  <c r="J137" i="15"/>
  <c r="J148" i="15" s="1"/>
  <c r="J154" i="15" s="1"/>
  <c r="T61" i="15"/>
  <c r="I160" i="15" s="1"/>
  <c r="T95" i="15"/>
  <c r="V134" i="15" l="1"/>
  <c r="V137" i="15" s="1"/>
  <c r="V148" i="15" s="1"/>
  <c r="V154" i="15" s="1"/>
  <c r="I161" i="15"/>
  <c r="I163" i="15" s="1"/>
  <c r="Q137" i="15"/>
  <c r="Q148" i="15" s="1"/>
  <c r="Q154" i="15" s="1"/>
  <c r="L137" i="15"/>
  <c r="L148" i="15" s="1"/>
  <c r="L154" i="15" s="1"/>
  <c r="T137" i="15"/>
  <c r="T148" i="15" s="1"/>
  <c r="T154" i="15" s="1"/>
  <c r="I165" i="15" l="1"/>
  <c r="M38" i="14" l="1"/>
  <c r="M25" i="8" s="1"/>
  <c r="P16" i="14" l="1"/>
  <c r="O16" i="14"/>
  <c r="D207" i="3"/>
  <c r="D208" i="3" s="1"/>
  <c r="E207" i="3"/>
  <c r="E208" i="3" s="1"/>
  <c r="G207" i="3"/>
  <c r="G208" i="3" s="1"/>
  <c r="H207" i="3"/>
  <c r="H208" i="3" s="1"/>
  <c r="I207" i="3"/>
  <c r="I208" i="3" s="1"/>
  <c r="J207" i="3"/>
  <c r="J208" i="3" s="1"/>
  <c r="K207" i="3"/>
  <c r="K208" i="3" s="1"/>
  <c r="C207" i="3"/>
  <c r="C208" i="3" s="1"/>
  <c r="G136" i="4"/>
  <c r="G132" i="4"/>
  <c r="G135" i="4"/>
  <c r="G131" i="4"/>
  <c r="G133" i="4"/>
  <c r="G134" i="4"/>
  <c r="M203" i="3" l="1"/>
  <c r="Q18" i="8"/>
  <c r="Q13" i="8"/>
  <c r="L43" i="7"/>
  <c r="L42" i="7"/>
  <c r="L44" i="5"/>
  <c r="L44" i="6"/>
  <c r="L42" i="6"/>
  <c r="B26" i="13" l="1"/>
  <c r="B27" i="13" s="1"/>
  <c r="B31" i="13" s="1"/>
  <c r="U15" i="13"/>
  <c r="C14" i="13"/>
  <c r="S12" i="13"/>
  <c r="S17" i="13" s="1"/>
  <c r="R32" i="13" s="1"/>
  <c r="R12" i="13"/>
  <c r="R17" i="13" s="1"/>
  <c r="T15" i="13"/>
  <c r="Z15" i="13" s="1"/>
  <c r="D11" i="13"/>
  <c r="Q9" i="13"/>
  <c r="Q38" i="13" l="1"/>
  <c r="O33" i="7" s="1"/>
  <c r="P33" i="7"/>
  <c r="P42" i="7" s="1"/>
  <c r="K11" i="13"/>
  <c r="U13" i="13" s="1"/>
  <c r="P28" i="13"/>
  <c r="N30" i="7" s="1"/>
  <c r="X15" i="13"/>
  <c r="W15" i="13"/>
  <c r="B29" i="13"/>
  <c r="D12" i="13"/>
  <c r="F11" i="13"/>
  <c r="H11" i="13" s="1"/>
  <c r="Z12" i="13"/>
  <c r="J11" i="13"/>
  <c r="Q30" i="7" l="1"/>
  <c r="N42" i="7"/>
  <c r="U42" i="7"/>
  <c r="L19" i="8"/>
  <c r="R19" i="8" s="1"/>
  <c r="O42" i="7"/>
  <c r="T42" i="7" s="1"/>
  <c r="Q33" i="7"/>
  <c r="X12" i="13"/>
  <c r="W12" i="13"/>
  <c r="K12" i="13"/>
  <c r="Q16" i="13" s="1"/>
  <c r="Q17" i="13" s="1"/>
  <c r="R31" i="13" s="1"/>
  <c r="J12" i="13"/>
  <c r="F12" i="13"/>
  <c r="H12" i="13" s="1"/>
  <c r="T13" i="13"/>
  <c r="Z13" i="13" s="1"/>
  <c r="L11" i="13"/>
  <c r="Q37" i="13" l="1"/>
  <c r="O32" i="7" s="1"/>
  <c r="Q32" i="7" s="1"/>
  <c r="P32" i="7"/>
  <c r="S42" i="7"/>
  <c r="V42" i="7" s="1"/>
  <c r="L14" i="8"/>
  <c r="R14" i="8" s="1"/>
  <c r="Q42" i="7"/>
  <c r="P16" i="13"/>
  <c r="L12" i="13"/>
  <c r="W13" i="13"/>
  <c r="X13" i="13"/>
  <c r="Z16" i="13" l="1"/>
  <c r="X16" i="13" l="1"/>
  <c r="W16" i="13"/>
  <c r="B22" i="12" l="1"/>
  <c r="B25" i="12" s="1"/>
  <c r="U15" i="12"/>
  <c r="C14" i="12"/>
  <c r="S12" i="12"/>
  <c r="S17" i="12" s="1"/>
  <c r="R32" i="12" s="1"/>
  <c r="T15" i="12"/>
  <c r="Z15" i="12" s="1"/>
  <c r="D10" i="12"/>
  <c r="Q9" i="12"/>
  <c r="P9" i="12"/>
  <c r="Z9" i="12" s="1"/>
  <c r="Q38" i="12" l="1"/>
  <c r="O34" i="6" s="1"/>
  <c r="Q34" i="6" s="1"/>
  <c r="P34" i="6"/>
  <c r="X15" i="12"/>
  <c r="W15" i="12"/>
  <c r="X9" i="12"/>
  <c r="W9" i="12"/>
  <c r="D12" i="12"/>
  <c r="B23" i="12"/>
  <c r="B27" i="12" s="1"/>
  <c r="F10" i="12" s="1"/>
  <c r="H10" i="12" l="1"/>
  <c r="K10" i="12"/>
  <c r="J12" i="12"/>
  <c r="K12" i="12"/>
  <c r="Q16" i="12" s="1"/>
  <c r="Q17" i="12" s="1"/>
  <c r="R31" i="12" s="1"/>
  <c r="F12" i="12"/>
  <c r="H12" i="12" s="1"/>
  <c r="J10" i="12"/>
  <c r="Q37" i="12" l="1"/>
  <c r="O33" i="6" s="1"/>
  <c r="P33" i="6"/>
  <c r="P42" i="6" s="1"/>
  <c r="U42" i="6" s="1"/>
  <c r="U10" i="12"/>
  <c r="T10" i="12"/>
  <c r="L10" i="12"/>
  <c r="P16" i="12"/>
  <c r="L12" i="12"/>
  <c r="Q33" i="6" l="1"/>
  <c r="O42" i="6"/>
  <c r="T42" i="6" s="1"/>
  <c r="Z10" i="12"/>
  <c r="Z16" i="12"/>
  <c r="P17" i="12"/>
  <c r="P27" i="12" s="1"/>
  <c r="N30" i="6" s="1"/>
  <c r="N42" i="6" l="1"/>
  <c r="Q30" i="6"/>
  <c r="W16" i="12"/>
  <c r="X16" i="12"/>
  <c r="X10" i="12"/>
  <c r="W10" i="12"/>
  <c r="S42" i="6" l="1"/>
  <c r="V42" i="6" s="1"/>
  <c r="Q42" i="6"/>
  <c r="B22" i="11"/>
  <c r="B23" i="11" s="1"/>
  <c r="B27" i="11" s="1"/>
  <c r="U15" i="11"/>
  <c r="C14" i="11"/>
  <c r="U13" i="11"/>
  <c r="T13" i="11"/>
  <c r="S12" i="11"/>
  <c r="S17" i="11" s="1"/>
  <c r="R32" i="11" s="1"/>
  <c r="D12" i="11"/>
  <c r="Q9" i="11"/>
  <c r="Q38" i="11" l="1"/>
  <c r="O34" i="5" s="1"/>
  <c r="P34" i="5"/>
  <c r="F12" i="11"/>
  <c r="H12" i="11" s="1"/>
  <c r="K12" i="11"/>
  <c r="Q16" i="11" s="1"/>
  <c r="T15" i="11"/>
  <c r="Z15" i="11" s="1"/>
  <c r="B25" i="11"/>
  <c r="Q34" i="5" l="1"/>
  <c r="J12" i="11"/>
  <c r="X15" i="11"/>
  <c r="W15" i="11"/>
  <c r="L12" i="11" l="1"/>
  <c r="P16" i="11"/>
  <c r="Z16" i="11" s="1"/>
  <c r="W16" i="11" l="1"/>
  <c r="X16" i="11"/>
  <c r="P149" i="4" l="1"/>
  <c r="P150" i="4" s="1"/>
  <c r="E106" i="9"/>
  <c r="J149" i="4" s="1"/>
  <c r="J150" i="4" s="1"/>
  <c r="E117" i="10"/>
  <c r="O149" i="4" s="1"/>
  <c r="O150" i="4" s="1"/>
  <c r="K149" i="4"/>
  <c r="K150" i="4" s="1"/>
  <c r="V105" i="10"/>
  <c r="E104" i="10"/>
  <c r="E108" i="10" s="1"/>
  <c r="T102" i="10"/>
  <c r="F102" i="10"/>
  <c r="R99" i="10"/>
  <c r="B95" i="10"/>
  <c r="E94" i="10"/>
  <c r="E93" i="10"/>
  <c r="E95" i="10" s="1"/>
  <c r="T93" i="10" s="1"/>
  <c r="B89" i="10"/>
  <c r="E88" i="10"/>
  <c r="E87" i="10"/>
  <c r="E83" i="10"/>
  <c r="R83" i="10" s="1"/>
  <c r="AD82" i="10"/>
  <c r="AD85" i="10" s="1"/>
  <c r="D88" i="10" s="1"/>
  <c r="B51" i="10"/>
  <c r="B50" i="10"/>
  <c r="B52" i="10" s="1"/>
  <c r="B45" i="10"/>
  <c r="B44" i="10"/>
  <c r="B40" i="10"/>
  <c r="F25" i="10"/>
  <c r="T21" i="10"/>
  <c r="S21" i="10"/>
  <c r="B21" i="10"/>
  <c r="E20" i="10"/>
  <c r="E51" i="10" s="1"/>
  <c r="E19" i="10"/>
  <c r="E50" i="10" s="1"/>
  <c r="B15" i="10"/>
  <c r="E14" i="10"/>
  <c r="E13" i="10"/>
  <c r="AD11" i="10"/>
  <c r="AD12" i="10" s="1"/>
  <c r="AD16" i="10" s="1"/>
  <c r="E9" i="10"/>
  <c r="E56" i="9"/>
  <c r="D56" i="9"/>
  <c r="B51" i="9"/>
  <c r="B50" i="9"/>
  <c r="B45" i="9"/>
  <c r="B44" i="9"/>
  <c r="B40" i="9"/>
  <c r="V94" i="9"/>
  <c r="E93" i="9"/>
  <c r="E97" i="9" s="1"/>
  <c r="F91" i="9"/>
  <c r="R88" i="9"/>
  <c r="Q88" i="9"/>
  <c r="AA88" i="9" s="1"/>
  <c r="B84" i="9"/>
  <c r="E83" i="9"/>
  <c r="E82" i="9"/>
  <c r="B78" i="9"/>
  <c r="E77" i="9"/>
  <c r="E76" i="9"/>
  <c r="E72" i="9"/>
  <c r="R72" i="9" s="1"/>
  <c r="AD71" i="9"/>
  <c r="AD72" i="9" s="1"/>
  <c r="AD76" i="9" s="1"/>
  <c r="M91" i="9" s="1"/>
  <c r="F25" i="9"/>
  <c r="T21" i="9"/>
  <c r="S21" i="9"/>
  <c r="B21" i="9"/>
  <c r="E20" i="9"/>
  <c r="E19" i="9"/>
  <c r="B15" i="9"/>
  <c r="E14" i="9"/>
  <c r="E13" i="9"/>
  <c r="AD11" i="9"/>
  <c r="AD14" i="9" s="1"/>
  <c r="D13" i="9" s="1"/>
  <c r="E9" i="9"/>
  <c r="S52" i="9" l="1"/>
  <c r="Q16" i="17"/>
  <c r="E52" i="10"/>
  <c r="T50" i="10" s="1"/>
  <c r="T52" i="9"/>
  <c r="AI59" i="10" s="1"/>
  <c r="R16" i="17"/>
  <c r="AD14" i="10"/>
  <c r="D9" i="10" s="1"/>
  <c r="B46" i="10"/>
  <c r="F59" i="10"/>
  <c r="S11" i="17" s="1"/>
  <c r="S21" i="17" s="1"/>
  <c r="D117" i="10"/>
  <c r="N148" i="4" s="1"/>
  <c r="N150" i="4" s="1"/>
  <c r="E21" i="10"/>
  <c r="T18" i="10" s="1"/>
  <c r="B46" i="9"/>
  <c r="D106" i="9"/>
  <c r="I148" i="4" s="1"/>
  <c r="I150" i="4" s="1"/>
  <c r="AD83" i="10"/>
  <c r="AD87" i="10" s="1"/>
  <c r="M102" i="10" s="1"/>
  <c r="F9" i="10"/>
  <c r="Q12" i="10"/>
  <c r="Y21" i="10"/>
  <c r="M25" i="10"/>
  <c r="R22" i="10" s="1"/>
  <c r="D94" i="10"/>
  <c r="D87" i="10"/>
  <c r="D93" i="10"/>
  <c r="D83" i="10"/>
  <c r="D40" i="10" s="1"/>
  <c r="D13" i="10"/>
  <c r="D19" i="10"/>
  <c r="D20" i="10"/>
  <c r="F20" i="10" s="1"/>
  <c r="F88" i="10"/>
  <c r="E44" i="10"/>
  <c r="E15" i="10"/>
  <c r="T15" i="10" s="1"/>
  <c r="T23" i="10" s="1"/>
  <c r="E45" i="10"/>
  <c r="R12" i="10"/>
  <c r="E40" i="10"/>
  <c r="D14" i="10"/>
  <c r="F14" i="10" s="1"/>
  <c r="L25" i="10"/>
  <c r="E89" i="10"/>
  <c r="T87" i="10" s="1"/>
  <c r="T111" i="10" s="1"/>
  <c r="H25" i="10"/>
  <c r="J25" i="10" s="1"/>
  <c r="H102" i="10"/>
  <c r="H59" i="10" s="1"/>
  <c r="U11" i="17" s="1"/>
  <c r="L102" i="10"/>
  <c r="L59" i="10" s="1"/>
  <c r="Y11" i="17" s="1"/>
  <c r="E21" i="9"/>
  <c r="T18" i="9" s="1"/>
  <c r="D93" i="9"/>
  <c r="S91" i="9" s="1"/>
  <c r="F92" i="9"/>
  <c r="M92" i="9" s="1"/>
  <c r="M93" i="9" s="1"/>
  <c r="R92" i="9" s="1"/>
  <c r="AD12" i="9"/>
  <c r="AD16" i="9" s="1"/>
  <c r="M25" i="9" s="1"/>
  <c r="Y21" i="9"/>
  <c r="AD74" i="9"/>
  <c r="D83" i="9" s="1"/>
  <c r="E51" i="9"/>
  <c r="T91" i="9"/>
  <c r="E15" i="9"/>
  <c r="T15" i="9" s="1"/>
  <c r="T23" i="9" s="1"/>
  <c r="H91" i="9"/>
  <c r="J91" i="9" s="1"/>
  <c r="U94" i="9"/>
  <c r="AA94" i="9" s="1"/>
  <c r="F95" i="9"/>
  <c r="F13" i="9"/>
  <c r="X88" i="9"/>
  <c r="Y88" i="9"/>
  <c r="D19" i="9"/>
  <c r="E44" i="9"/>
  <c r="E78" i="9"/>
  <c r="T76" i="9" s="1"/>
  <c r="D97" i="9"/>
  <c r="F89" i="9"/>
  <c r="E50" i="9"/>
  <c r="E84" i="9"/>
  <c r="T82" i="9" s="1"/>
  <c r="B52" i="9"/>
  <c r="R12" i="9"/>
  <c r="D14" i="9"/>
  <c r="F14" i="9" s="1"/>
  <c r="D9" i="9"/>
  <c r="D20" i="9"/>
  <c r="F20" i="9" s="1"/>
  <c r="E40" i="9"/>
  <c r="E45" i="9"/>
  <c r="F56" i="9"/>
  <c r="S16" i="17" s="1"/>
  <c r="S18" i="17" s="1"/>
  <c r="M59" i="10" l="1"/>
  <c r="Z11" i="17" s="1"/>
  <c r="R18" i="17"/>
  <c r="R21" i="17"/>
  <c r="R23" i="17" s="1"/>
  <c r="Q18" i="17"/>
  <c r="Q21" i="17"/>
  <c r="Y52" i="9"/>
  <c r="E111" i="10"/>
  <c r="P157" i="4"/>
  <c r="T117" i="10"/>
  <c r="O157" i="4" s="1"/>
  <c r="D45" i="10"/>
  <c r="E46" i="10"/>
  <c r="T44" i="10" s="1"/>
  <c r="L14" i="10"/>
  <c r="H14" i="10"/>
  <c r="J14" i="10" s="1"/>
  <c r="M14" i="10"/>
  <c r="F87" i="10"/>
  <c r="D44" i="10"/>
  <c r="D89" i="10"/>
  <c r="S87" i="10" s="1"/>
  <c r="D95" i="10"/>
  <c r="S93" i="10" s="1"/>
  <c r="AA93" i="10" s="1"/>
  <c r="F93" i="10"/>
  <c r="D50" i="10"/>
  <c r="F94" i="10"/>
  <c r="D51" i="10"/>
  <c r="R40" i="10"/>
  <c r="L88" i="10"/>
  <c r="H88" i="10"/>
  <c r="M88" i="10"/>
  <c r="M45" i="10" s="1"/>
  <c r="F45" i="10"/>
  <c r="M20" i="10"/>
  <c r="H20" i="10"/>
  <c r="J20" i="10" s="1"/>
  <c r="L20" i="10"/>
  <c r="N102" i="10"/>
  <c r="F19" i="10"/>
  <c r="D21" i="10"/>
  <c r="Y12" i="10"/>
  <c r="E27" i="10"/>
  <c r="D15" i="10"/>
  <c r="S15" i="10" s="1"/>
  <c r="F13" i="10"/>
  <c r="L9" i="10"/>
  <c r="H9" i="10"/>
  <c r="M9" i="10"/>
  <c r="N25" i="10"/>
  <c r="Q22" i="10"/>
  <c r="Y22" i="10" s="1"/>
  <c r="J102" i="10"/>
  <c r="J59" i="10" s="1"/>
  <c r="W11" i="17" s="1"/>
  <c r="Q83" i="10"/>
  <c r="F83" i="10"/>
  <c r="E27" i="9"/>
  <c r="F93" i="9"/>
  <c r="F97" i="9" s="1"/>
  <c r="H92" i="9"/>
  <c r="J92" i="9" s="1"/>
  <c r="J93" i="9" s="1"/>
  <c r="AA91" i="9"/>
  <c r="E52" i="9"/>
  <c r="T49" i="9" s="1"/>
  <c r="AI50" i="10" s="1"/>
  <c r="R22" i="9"/>
  <c r="M56" i="9"/>
  <c r="D77" i="9"/>
  <c r="D82" i="9"/>
  <c r="D50" i="9" s="1"/>
  <c r="D72" i="9"/>
  <c r="H25" i="9"/>
  <c r="J25" i="9" s="1"/>
  <c r="J56" i="9" s="1"/>
  <c r="W16" i="17" s="1"/>
  <c r="W18" i="17" s="1"/>
  <c r="L25" i="9"/>
  <c r="Q22" i="9" s="1"/>
  <c r="L91" i="9"/>
  <c r="D76" i="9"/>
  <c r="D44" i="9" s="1"/>
  <c r="L92" i="9"/>
  <c r="D51" i="9"/>
  <c r="F83" i="9"/>
  <c r="T100" i="9"/>
  <c r="R43" i="9"/>
  <c r="E46" i="9"/>
  <c r="T46" i="9" s="1"/>
  <c r="F9" i="9"/>
  <c r="Q12" i="9"/>
  <c r="H20" i="9"/>
  <c r="J20" i="9" s="1"/>
  <c r="M20" i="9"/>
  <c r="L20" i="9"/>
  <c r="M14" i="9"/>
  <c r="L14" i="9"/>
  <c r="H14" i="9"/>
  <c r="J14" i="9" s="1"/>
  <c r="D21" i="9"/>
  <c r="S18" i="9" s="1"/>
  <c r="X18" i="9" s="1"/>
  <c r="F19" i="9"/>
  <c r="D15" i="9"/>
  <c r="S15" i="9" s="1"/>
  <c r="L95" i="9"/>
  <c r="M95" i="9"/>
  <c r="R95" i="9" s="1"/>
  <c r="H95" i="9"/>
  <c r="J95" i="9" s="1"/>
  <c r="E100" i="9"/>
  <c r="M89" i="9"/>
  <c r="L89" i="9"/>
  <c r="H89" i="9"/>
  <c r="H13" i="9"/>
  <c r="L13" i="9"/>
  <c r="F15" i="9"/>
  <c r="M13" i="9"/>
  <c r="M15" i="9" s="1"/>
  <c r="V16" i="9" s="1"/>
  <c r="Y94" i="9"/>
  <c r="X94" i="9"/>
  <c r="AI68" i="10" l="1"/>
  <c r="L93" i="9"/>
  <c r="Q92" i="9" s="1"/>
  <c r="AA92" i="9" s="1"/>
  <c r="R53" i="9"/>
  <c r="Z16" i="17"/>
  <c r="Z18" i="17" s="1"/>
  <c r="D52" i="10"/>
  <c r="W21" i="17"/>
  <c r="K47" i="17" s="1"/>
  <c r="L47" i="17" s="1"/>
  <c r="AG40" i="10"/>
  <c r="T68" i="10"/>
  <c r="AI44" i="10"/>
  <c r="N59" i="10"/>
  <c r="AA11" i="17" s="1"/>
  <c r="E68" i="10"/>
  <c r="D46" i="10"/>
  <c r="S44" i="10" s="1"/>
  <c r="X44" i="10" s="1"/>
  <c r="N20" i="10"/>
  <c r="K157" i="4"/>
  <c r="T106" i="9"/>
  <c r="J157" i="4" s="1"/>
  <c r="F76" i="9"/>
  <c r="T54" i="9"/>
  <c r="S18" i="10"/>
  <c r="X18" i="10" s="1"/>
  <c r="D27" i="10"/>
  <c r="J9" i="10"/>
  <c r="AA87" i="10"/>
  <c r="L13" i="10"/>
  <c r="F15" i="10"/>
  <c r="M13" i="10"/>
  <c r="M15" i="10" s="1"/>
  <c r="V16" i="10" s="1"/>
  <c r="H13" i="10"/>
  <c r="H87" i="10"/>
  <c r="F44" i="10"/>
  <c r="F46" i="10" s="1"/>
  <c r="L87" i="10"/>
  <c r="F89" i="10"/>
  <c r="M87" i="10"/>
  <c r="J88" i="10"/>
  <c r="J45" i="10" s="1"/>
  <c r="H45" i="10"/>
  <c r="S50" i="10"/>
  <c r="N14" i="10"/>
  <c r="X15" i="10"/>
  <c r="M19" i="10"/>
  <c r="M21" i="10" s="1"/>
  <c r="V19" i="10" s="1"/>
  <c r="F21" i="10"/>
  <c r="H19" i="10"/>
  <c r="L19" i="10"/>
  <c r="F51" i="10"/>
  <c r="H94" i="10"/>
  <c r="L94" i="10"/>
  <c r="L51" i="10" s="1"/>
  <c r="M94" i="10"/>
  <c r="M51" i="10" s="1"/>
  <c r="AA83" i="10"/>
  <c r="M27" i="10"/>
  <c r="R13" i="10"/>
  <c r="R23" i="10" s="1"/>
  <c r="L45" i="10"/>
  <c r="N88" i="10"/>
  <c r="M93" i="10"/>
  <c r="F95" i="10"/>
  <c r="L93" i="10"/>
  <c r="L50" i="10" s="1"/>
  <c r="F50" i="10"/>
  <c r="H93" i="10"/>
  <c r="Q13" i="10"/>
  <c r="N9" i="10"/>
  <c r="M83" i="10"/>
  <c r="L83" i="10"/>
  <c r="L40" i="10" s="1"/>
  <c r="F40" i="10"/>
  <c r="H83" i="10"/>
  <c r="Q40" i="10"/>
  <c r="X93" i="10"/>
  <c r="Y93" i="10"/>
  <c r="D78" i="9"/>
  <c r="S76" i="9" s="1"/>
  <c r="H93" i="9"/>
  <c r="H97" i="9" s="1"/>
  <c r="Y22" i="9"/>
  <c r="D52" i="9"/>
  <c r="S49" i="9" s="1"/>
  <c r="X49" i="9" s="1"/>
  <c r="Y91" i="9"/>
  <c r="X91" i="9"/>
  <c r="N25" i="9"/>
  <c r="N92" i="9"/>
  <c r="N14" i="9"/>
  <c r="D45" i="9"/>
  <c r="D46" i="9" s="1"/>
  <c r="S46" i="9" s="1"/>
  <c r="F77" i="9"/>
  <c r="F78" i="9" s="1"/>
  <c r="F82" i="9"/>
  <c r="F84" i="9" s="1"/>
  <c r="D84" i="9"/>
  <c r="S82" i="9" s="1"/>
  <c r="AA82" i="9" s="1"/>
  <c r="F72" i="9"/>
  <c r="D40" i="9"/>
  <c r="Q72" i="9"/>
  <c r="AA72" i="9" s="1"/>
  <c r="X72" i="9" s="1"/>
  <c r="H56" i="9"/>
  <c r="U16" i="17" s="1"/>
  <c r="L56" i="9"/>
  <c r="N91" i="9"/>
  <c r="H19" i="9"/>
  <c r="F21" i="9"/>
  <c r="F27" i="9" s="1"/>
  <c r="M19" i="9"/>
  <c r="L19" i="9"/>
  <c r="N20" i="9"/>
  <c r="L15" i="9"/>
  <c r="U16" i="9" s="1"/>
  <c r="N13" i="9"/>
  <c r="N89" i="9"/>
  <c r="U89" i="9"/>
  <c r="L97" i="9"/>
  <c r="D27" i="9"/>
  <c r="Y92" i="9"/>
  <c r="X92" i="9"/>
  <c r="F51" i="9"/>
  <c r="H83" i="9"/>
  <c r="M83" i="9"/>
  <c r="L83" i="9"/>
  <c r="AA76" i="9"/>
  <c r="J89" i="9"/>
  <c r="J97" i="9" s="1"/>
  <c r="M9" i="9"/>
  <c r="H9" i="9"/>
  <c r="L9" i="9"/>
  <c r="E58" i="9"/>
  <c r="H15" i="9"/>
  <c r="J13" i="9"/>
  <c r="J15" i="9" s="1"/>
  <c r="F44" i="9"/>
  <c r="H76" i="9"/>
  <c r="M76" i="9"/>
  <c r="L76" i="9"/>
  <c r="Y12" i="9"/>
  <c r="V89" i="9"/>
  <c r="M97" i="9"/>
  <c r="Q95" i="9"/>
  <c r="AA95" i="9" s="1"/>
  <c r="N95" i="9"/>
  <c r="S23" i="9"/>
  <c r="X15" i="9"/>
  <c r="Q53" i="9" l="1"/>
  <c r="Y53" i="9" s="1"/>
  <c r="Y16" i="17"/>
  <c r="Z21" i="17"/>
  <c r="D47" i="17" s="1"/>
  <c r="U18" i="17"/>
  <c r="U21" i="17"/>
  <c r="AH44" i="10"/>
  <c r="E40" i="17" s="1"/>
  <c r="X50" i="10"/>
  <c r="AM50" i="10" s="1"/>
  <c r="J41" i="17" s="1"/>
  <c r="AH50" i="10"/>
  <c r="E41" i="17" s="1"/>
  <c r="F27" i="10"/>
  <c r="N45" i="10"/>
  <c r="V23" i="10"/>
  <c r="F52" i="10"/>
  <c r="L21" i="10"/>
  <c r="N19" i="10"/>
  <c r="N21" i="10" s="1"/>
  <c r="Y83" i="10"/>
  <c r="X83" i="10"/>
  <c r="M89" i="10"/>
  <c r="V88" i="10" s="1"/>
  <c r="M44" i="10"/>
  <c r="M46" i="10" s="1"/>
  <c r="V45" i="10" s="1"/>
  <c r="N13" i="10"/>
  <c r="N15" i="10" s="1"/>
  <c r="L15" i="10"/>
  <c r="U16" i="10" s="1"/>
  <c r="J27" i="10"/>
  <c r="J83" i="10"/>
  <c r="H40" i="10"/>
  <c r="Y13" i="10"/>
  <c r="Y23" i="10" s="1"/>
  <c r="Q23" i="10"/>
  <c r="N94" i="10"/>
  <c r="N51" i="10" s="1"/>
  <c r="S23" i="10"/>
  <c r="L89" i="10"/>
  <c r="U88" i="10" s="1"/>
  <c r="L44" i="10"/>
  <c r="N87" i="10"/>
  <c r="N83" i="10"/>
  <c r="Q84" i="10"/>
  <c r="R84" i="10"/>
  <c r="M40" i="10"/>
  <c r="H21" i="10"/>
  <c r="J19" i="10"/>
  <c r="J21" i="10" s="1"/>
  <c r="Y40" i="10"/>
  <c r="AN40" i="10" s="1"/>
  <c r="K39" i="17" s="1"/>
  <c r="H95" i="10"/>
  <c r="H50" i="10"/>
  <c r="J93" i="10"/>
  <c r="J50" i="10" s="1"/>
  <c r="J94" i="10"/>
  <c r="J51" i="10" s="1"/>
  <c r="H51" i="10"/>
  <c r="Y87" i="10"/>
  <c r="X87" i="10"/>
  <c r="N93" i="10"/>
  <c r="N50" i="10" s="1"/>
  <c r="L95" i="10"/>
  <c r="U94" i="10" s="1"/>
  <c r="H15" i="10"/>
  <c r="J13" i="10"/>
  <c r="J15" i="10" s="1"/>
  <c r="M95" i="10"/>
  <c r="V94" i="10" s="1"/>
  <c r="M50" i="10"/>
  <c r="M52" i="10" s="1"/>
  <c r="V51" i="10" s="1"/>
  <c r="H44" i="10"/>
  <c r="H46" i="10" s="1"/>
  <c r="J87" i="10"/>
  <c r="H89" i="10"/>
  <c r="S54" i="9"/>
  <c r="N56" i="9"/>
  <c r="AA16" i="17" s="1"/>
  <c r="AA18" i="17" s="1"/>
  <c r="N15" i="9"/>
  <c r="F50" i="9"/>
  <c r="F52" i="9" s="1"/>
  <c r="D58" i="9"/>
  <c r="Y72" i="9"/>
  <c r="S100" i="9"/>
  <c r="S106" i="9" s="1"/>
  <c r="I154" i="4" s="1"/>
  <c r="X46" i="9"/>
  <c r="AM44" i="10" s="1"/>
  <c r="J40" i="17" s="1"/>
  <c r="L40" i="17" s="1"/>
  <c r="H72" i="9"/>
  <c r="J72" i="9" s="1"/>
  <c r="M72" i="9"/>
  <c r="R73" i="9" s="1"/>
  <c r="R100" i="9" s="1"/>
  <c r="L72" i="9"/>
  <c r="L40" i="9" s="1"/>
  <c r="N93" i="9"/>
  <c r="N97" i="9" s="1"/>
  <c r="X82" i="9"/>
  <c r="Y82" i="9"/>
  <c r="M82" i="9"/>
  <c r="M50" i="9" s="1"/>
  <c r="L82" i="9"/>
  <c r="L84" i="9" s="1"/>
  <c r="H82" i="9"/>
  <c r="J82" i="9" s="1"/>
  <c r="M77" i="9"/>
  <c r="M45" i="9" s="1"/>
  <c r="H77" i="9"/>
  <c r="H78" i="9" s="1"/>
  <c r="L77" i="9"/>
  <c r="F45" i="9"/>
  <c r="F46" i="9" s="1"/>
  <c r="F40" i="9"/>
  <c r="D100" i="9"/>
  <c r="Q43" i="9"/>
  <c r="Y43" i="9" s="1"/>
  <c r="R13" i="9"/>
  <c r="R23" i="9" s="1"/>
  <c r="H51" i="9"/>
  <c r="J83" i="9"/>
  <c r="L44" i="9"/>
  <c r="N76" i="9"/>
  <c r="X16" i="9"/>
  <c r="AA89" i="9"/>
  <c r="Y95" i="9"/>
  <c r="X95" i="9"/>
  <c r="M21" i="9"/>
  <c r="V19" i="9" s="1"/>
  <c r="V23" i="9" s="1"/>
  <c r="N9" i="9"/>
  <c r="Q13" i="9"/>
  <c r="F100" i="9"/>
  <c r="J9" i="9"/>
  <c r="L51" i="9"/>
  <c r="N83" i="9"/>
  <c r="J19" i="9"/>
  <c r="H21" i="9"/>
  <c r="H27" i="9" s="1"/>
  <c r="M44" i="9"/>
  <c r="J76" i="9"/>
  <c r="H44" i="9"/>
  <c r="N19" i="9"/>
  <c r="L21" i="9"/>
  <c r="U19" i="9" s="1"/>
  <c r="U23" i="9" s="1"/>
  <c r="Y76" i="9"/>
  <c r="X76" i="9"/>
  <c r="M51" i="9"/>
  <c r="E42" i="17" l="1"/>
  <c r="E50" i="17" s="1"/>
  <c r="L46" i="10"/>
  <c r="U45" i="10" s="1"/>
  <c r="AA21" i="17"/>
  <c r="Y18" i="17"/>
  <c r="Y21" i="17"/>
  <c r="C47" i="17" s="1"/>
  <c r="AF40" i="10"/>
  <c r="C39" i="17" s="1"/>
  <c r="C42" i="17" s="1"/>
  <c r="L41" i="17"/>
  <c r="J42" i="17"/>
  <c r="L39" i="17"/>
  <c r="L42" i="17" s="1"/>
  <c r="K42" i="17"/>
  <c r="N27" i="10"/>
  <c r="L52" i="10"/>
  <c r="U51" i="10" s="1"/>
  <c r="H52" i="10"/>
  <c r="AA94" i="10"/>
  <c r="X94" i="10" s="1"/>
  <c r="M78" i="9"/>
  <c r="V77" i="9" s="1"/>
  <c r="M40" i="9"/>
  <c r="R106" i="9"/>
  <c r="J156" i="4" s="1"/>
  <c r="K156" i="4"/>
  <c r="N89" i="10"/>
  <c r="N44" i="10"/>
  <c r="N46" i="10" s="1"/>
  <c r="H27" i="10"/>
  <c r="J95" i="10"/>
  <c r="J52" i="10"/>
  <c r="R41" i="10"/>
  <c r="J89" i="10"/>
  <c r="J44" i="10"/>
  <c r="J46" i="10" s="1"/>
  <c r="AA84" i="10"/>
  <c r="X16" i="10"/>
  <c r="J40" i="10"/>
  <c r="N95" i="10"/>
  <c r="N52" i="10"/>
  <c r="AA88" i="10"/>
  <c r="Y94" i="10"/>
  <c r="Q41" i="10"/>
  <c r="N40" i="10"/>
  <c r="U19" i="10"/>
  <c r="X19" i="10" s="1"/>
  <c r="L27" i="10"/>
  <c r="M52" i="9"/>
  <c r="V50" i="9" s="1"/>
  <c r="AK51" i="10" s="1"/>
  <c r="H46" i="17" s="1"/>
  <c r="H84" i="9"/>
  <c r="H100" i="9" s="1"/>
  <c r="H50" i="9"/>
  <c r="H52" i="9" s="1"/>
  <c r="H40" i="9"/>
  <c r="L50" i="9"/>
  <c r="L52" i="9" s="1"/>
  <c r="U50" i="9" s="1"/>
  <c r="F58" i="9"/>
  <c r="M46" i="9"/>
  <c r="V47" i="9" s="1"/>
  <c r="AK45" i="10" s="1"/>
  <c r="H45" i="17" s="1"/>
  <c r="H48" i="17" s="1"/>
  <c r="H50" i="17" s="1"/>
  <c r="M84" i="9"/>
  <c r="V83" i="9" s="1"/>
  <c r="V100" i="9" s="1"/>
  <c r="Q73" i="9"/>
  <c r="N72" i="9"/>
  <c r="N40" i="9" s="1"/>
  <c r="L45" i="9"/>
  <c r="L46" i="9" s="1"/>
  <c r="U47" i="9" s="1"/>
  <c r="N77" i="9"/>
  <c r="N45" i="9" s="1"/>
  <c r="L27" i="9"/>
  <c r="L78" i="9"/>
  <c r="U77" i="9" s="1"/>
  <c r="AA77" i="9" s="1"/>
  <c r="J77" i="9"/>
  <c r="J45" i="9" s="1"/>
  <c r="H45" i="9"/>
  <c r="N82" i="9"/>
  <c r="N50" i="9" s="1"/>
  <c r="J44" i="9"/>
  <c r="Y13" i="9"/>
  <c r="Y23" i="9" s="1"/>
  <c r="Q23" i="9"/>
  <c r="N78" i="9"/>
  <c r="N44" i="9"/>
  <c r="R44" i="9"/>
  <c r="R54" i="9" s="1"/>
  <c r="J40" i="9"/>
  <c r="J51" i="9"/>
  <c r="J84" i="9"/>
  <c r="X19" i="9"/>
  <c r="X23" i="9" s="1"/>
  <c r="U83" i="9"/>
  <c r="Y89" i="9"/>
  <c r="X89" i="9"/>
  <c r="M27" i="9"/>
  <c r="J21" i="9"/>
  <c r="J27" i="9" s="1"/>
  <c r="J50" i="9"/>
  <c r="Q44" i="9"/>
  <c r="N51" i="9"/>
  <c r="N21" i="9"/>
  <c r="N27" i="9" s="1"/>
  <c r="AJ45" i="10" l="1"/>
  <c r="G45" i="17" s="1"/>
  <c r="X45" i="10"/>
  <c r="AF41" i="10"/>
  <c r="C44" i="17" s="1"/>
  <c r="C48" i="17" s="1"/>
  <c r="C50" i="17" s="1"/>
  <c r="AG41" i="10"/>
  <c r="D44" i="17" s="1"/>
  <c r="D48" i="17" s="1"/>
  <c r="D50" i="17" s="1"/>
  <c r="X51" i="10"/>
  <c r="AM51" i="10" s="1"/>
  <c r="J46" i="17" s="1"/>
  <c r="L46" i="17" s="1"/>
  <c r="AJ51" i="10"/>
  <c r="G46" i="17" s="1"/>
  <c r="X23" i="10"/>
  <c r="Y25" i="10" s="1"/>
  <c r="U23" i="10"/>
  <c r="X50" i="9"/>
  <c r="M100" i="9"/>
  <c r="X47" i="9"/>
  <c r="X54" i="9" s="1"/>
  <c r="V106" i="9"/>
  <c r="J158" i="4" s="1"/>
  <c r="K158" i="4"/>
  <c r="Y41" i="10"/>
  <c r="Y84" i="10"/>
  <c r="X84" i="10"/>
  <c r="X88" i="10"/>
  <c r="Y88" i="10"/>
  <c r="V54" i="9"/>
  <c r="M58" i="9"/>
  <c r="Y25" i="9"/>
  <c r="N46" i="9"/>
  <c r="N84" i="9"/>
  <c r="N100" i="9" s="1"/>
  <c r="U54" i="9"/>
  <c r="L100" i="9"/>
  <c r="AA73" i="9"/>
  <c r="Q100" i="9"/>
  <c r="Q106" i="9" s="1"/>
  <c r="I153" i="4" s="1"/>
  <c r="L58" i="9"/>
  <c r="H46" i="9"/>
  <c r="H58" i="9" s="1"/>
  <c r="J52" i="9"/>
  <c r="J46" i="9"/>
  <c r="J78" i="9"/>
  <c r="J100" i="9" s="1"/>
  <c r="N52" i="9"/>
  <c r="Y44" i="9"/>
  <c r="Y54" i="9" s="1"/>
  <c r="Q54" i="9"/>
  <c r="X77" i="9"/>
  <c r="Y77" i="9"/>
  <c r="AA83" i="9"/>
  <c r="U100" i="9"/>
  <c r="AN41" i="10" l="1"/>
  <c r="K44" i="17" s="1"/>
  <c r="L44" i="17" s="1"/>
  <c r="G48" i="17"/>
  <c r="G50" i="17" s="1"/>
  <c r="AM45" i="10"/>
  <c r="J45" i="17" s="1"/>
  <c r="K48" i="17"/>
  <c r="K50" i="17" s="1"/>
  <c r="N58" i="9"/>
  <c r="U106" i="9"/>
  <c r="I155" i="4" s="1"/>
  <c r="J58" i="9"/>
  <c r="Y73" i="9"/>
  <c r="X73" i="9"/>
  <c r="Y56" i="9"/>
  <c r="X83" i="9"/>
  <c r="Y83" i="9"/>
  <c r="Y100" i="9" s="1"/>
  <c r="L48" i="17" l="1"/>
  <c r="L50" i="17" s="1"/>
  <c r="X100" i="9"/>
  <c r="L45" i="17"/>
  <c r="J48" i="17"/>
  <c r="J50" i="17" s="1"/>
  <c r="Y102" i="9"/>
  <c r="G13" i="7" l="1"/>
  <c r="G16" i="7" s="1"/>
  <c r="P12" i="7"/>
  <c r="O12" i="7" s="1"/>
  <c r="N12" i="7"/>
  <c r="K12" i="7"/>
  <c r="J12" i="7" s="1"/>
  <c r="I12" i="7"/>
  <c r="P11" i="7"/>
  <c r="O11" i="7" s="1"/>
  <c r="N11" i="7"/>
  <c r="K11" i="7"/>
  <c r="J11" i="7" s="1"/>
  <c r="I11" i="7"/>
  <c r="G14" i="6"/>
  <c r="G17" i="6" s="1"/>
  <c r="P13" i="6"/>
  <c r="O13" i="6" s="1"/>
  <c r="N13" i="6"/>
  <c r="K13" i="6"/>
  <c r="J13" i="6" s="1"/>
  <c r="I13" i="6"/>
  <c r="P12" i="6"/>
  <c r="O12" i="6" s="1"/>
  <c r="N12" i="6"/>
  <c r="K12" i="6"/>
  <c r="J12" i="6" s="1"/>
  <c r="I12" i="6"/>
  <c r="P11" i="6"/>
  <c r="O11" i="6" s="1"/>
  <c r="N11" i="6"/>
  <c r="K11" i="6"/>
  <c r="J11" i="6" s="1"/>
  <c r="I11" i="6"/>
  <c r="G15" i="5"/>
  <c r="P14" i="5"/>
  <c r="O14" i="5" s="1"/>
  <c r="N14" i="5"/>
  <c r="K14" i="5"/>
  <c r="J14" i="5" s="1"/>
  <c r="I14" i="5"/>
  <c r="P13" i="5"/>
  <c r="O13" i="5" s="1"/>
  <c r="N13" i="5"/>
  <c r="K13" i="5"/>
  <c r="J13" i="5" s="1"/>
  <c r="I13" i="5"/>
  <c r="G11" i="5"/>
  <c r="P10" i="5"/>
  <c r="O10" i="5" s="1"/>
  <c r="N10" i="5"/>
  <c r="K10" i="5"/>
  <c r="J10" i="5" s="1"/>
  <c r="I10" i="5"/>
  <c r="P9" i="5"/>
  <c r="O9" i="5" s="1"/>
  <c r="N9" i="5"/>
  <c r="K9" i="5"/>
  <c r="J9" i="5" s="1"/>
  <c r="I9" i="5"/>
  <c r="Q13" i="5" l="1"/>
  <c r="I13" i="7"/>
  <c r="I41" i="7" s="1"/>
  <c r="N11" i="5"/>
  <c r="N13" i="7"/>
  <c r="N16" i="7" s="1"/>
  <c r="T12" i="7"/>
  <c r="I16" i="7"/>
  <c r="K13" i="7"/>
  <c r="L12" i="7"/>
  <c r="P13" i="7"/>
  <c r="P16" i="7" s="1"/>
  <c r="Q12" i="7"/>
  <c r="S11" i="6"/>
  <c r="G18" i="5"/>
  <c r="K14" i="6"/>
  <c r="K43" i="6" s="1"/>
  <c r="E19" i="8" s="1"/>
  <c r="E21" i="8" s="1"/>
  <c r="I14" i="6"/>
  <c r="T12" i="6"/>
  <c r="S12" i="6"/>
  <c r="U12" i="6"/>
  <c r="P14" i="6"/>
  <c r="P17" i="6" s="1"/>
  <c r="L12" i="6"/>
  <c r="J14" i="6"/>
  <c r="N14" i="6"/>
  <c r="N17" i="6" s="1"/>
  <c r="L13" i="6"/>
  <c r="L14" i="5"/>
  <c r="I11" i="5"/>
  <c r="I42" i="5" s="1"/>
  <c r="N15" i="5"/>
  <c r="L10" i="5"/>
  <c r="T14" i="5"/>
  <c r="S13" i="5"/>
  <c r="P11" i="5"/>
  <c r="L13" i="5"/>
  <c r="U14" i="5"/>
  <c r="J15" i="5"/>
  <c r="J43" i="5" s="1"/>
  <c r="K15" i="5"/>
  <c r="S14" i="5"/>
  <c r="T13" i="5"/>
  <c r="S10" i="5"/>
  <c r="S9" i="5"/>
  <c r="U13" i="5"/>
  <c r="J11" i="5"/>
  <c r="L9" i="5"/>
  <c r="Q11" i="6"/>
  <c r="O14" i="6"/>
  <c r="O17" i="6" s="1"/>
  <c r="T11" i="6"/>
  <c r="J13" i="7"/>
  <c r="Q11" i="7"/>
  <c r="O13" i="7"/>
  <c r="O16" i="7" s="1"/>
  <c r="T11" i="7"/>
  <c r="T10" i="5"/>
  <c r="Q10" i="5"/>
  <c r="T9" i="5"/>
  <c r="Q13" i="6"/>
  <c r="T13" i="6"/>
  <c r="S13" i="6"/>
  <c r="S11" i="7"/>
  <c r="S12" i="7"/>
  <c r="K11" i="5"/>
  <c r="O15" i="5"/>
  <c r="P15" i="5"/>
  <c r="U11" i="6"/>
  <c r="U13" i="6"/>
  <c r="U11" i="7"/>
  <c r="U12" i="7"/>
  <c r="U9" i="5"/>
  <c r="L11" i="6"/>
  <c r="Q12" i="6"/>
  <c r="L11" i="7"/>
  <c r="U10" i="5"/>
  <c r="Q9" i="5"/>
  <c r="O11" i="5"/>
  <c r="I15" i="5"/>
  <c r="Q14" i="5"/>
  <c r="Q15" i="5" s="1"/>
  <c r="P73" i="4"/>
  <c r="N73" i="4"/>
  <c r="K73" i="4"/>
  <c r="J73" i="4" s="1"/>
  <c r="I73" i="4"/>
  <c r="P69" i="4"/>
  <c r="N69" i="4"/>
  <c r="K69" i="4"/>
  <c r="J69" i="4" s="1"/>
  <c r="I69" i="4"/>
  <c r="P63" i="4"/>
  <c r="N63" i="4"/>
  <c r="K63" i="4"/>
  <c r="J63" i="4" s="1"/>
  <c r="I63" i="4"/>
  <c r="P61" i="4"/>
  <c r="N61" i="4"/>
  <c r="K61" i="4"/>
  <c r="J61" i="4" s="1"/>
  <c r="I61" i="4"/>
  <c r="P16" i="4"/>
  <c r="N16" i="4"/>
  <c r="K16" i="4"/>
  <c r="J16" i="4" s="1"/>
  <c r="I16" i="4"/>
  <c r="P10" i="4"/>
  <c r="N10" i="4"/>
  <c r="K10" i="4"/>
  <c r="I10" i="4"/>
  <c r="P11" i="4"/>
  <c r="N11" i="4"/>
  <c r="K11" i="4"/>
  <c r="J11" i="4" s="1"/>
  <c r="I11" i="4"/>
  <c r="I12" i="4"/>
  <c r="K12" i="4"/>
  <c r="N12" i="4"/>
  <c r="P12" i="4"/>
  <c r="O12" i="4" s="1"/>
  <c r="I13" i="4"/>
  <c r="K13" i="4"/>
  <c r="J13" i="4" s="1"/>
  <c r="N13" i="4"/>
  <c r="P13" i="4"/>
  <c r="I14" i="4"/>
  <c r="K14" i="4"/>
  <c r="N14" i="4"/>
  <c r="P14" i="4"/>
  <c r="O14" i="4" s="1"/>
  <c r="I15" i="4"/>
  <c r="K15" i="4"/>
  <c r="J15" i="4" s="1"/>
  <c r="N15" i="4"/>
  <c r="P15" i="4"/>
  <c r="I17" i="4"/>
  <c r="K17" i="4"/>
  <c r="N17" i="4"/>
  <c r="P17" i="4"/>
  <c r="O17" i="4" s="1"/>
  <c r="I18" i="4"/>
  <c r="K18" i="4"/>
  <c r="J18" i="4" s="1"/>
  <c r="N18" i="4"/>
  <c r="P18" i="4"/>
  <c r="O18" i="4" s="1"/>
  <c r="I19" i="4"/>
  <c r="K19" i="4"/>
  <c r="N19" i="4"/>
  <c r="P19" i="4"/>
  <c r="O19" i="4" s="1"/>
  <c r="I20" i="4"/>
  <c r="K20" i="4"/>
  <c r="J20" i="4" s="1"/>
  <c r="N20" i="4"/>
  <c r="P20" i="4"/>
  <c r="I21" i="4"/>
  <c r="K21" i="4"/>
  <c r="N21" i="4"/>
  <c r="P21" i="4"/>
  <c r="O21" i="4" s="1"/>
  <c r="I22" i="4"/>
  <c r="K22" i="4"/>
  <c r="J22" i="4" s="1"/>
  <c r="N22" i="4"/>
  <c r="P22" i="4"/>
  <c r="I23" i="4"/>
  <c r="K23" i="4"/>
  <c r="N23" i="4"/>
  <c r="P23" i="4"/>
  <c r="O23" i="4" s="1"/>
  <c r="I24" i="4"/>
  <c r="K24" i="4"/>
  <c r="J24" i="4" s="1"/>
  <c r="N24" i="4"/>
  <c r="P24" i="4"/>
  <c r="I25" i="4"/>
  <c r="K25" i="4"/>
  <c r="N25" i="4"/>
  <c r="P25" i="4"/>
  <c r="O25" i="4" s="1"/>
  <c r="I26" i="4"/>
  <c r="K26" i="4"/>
  <c r="J26" i="4" s="1"/>
  <c r="N26" i="4"/>
  <c r="P26" i="4"/>
  <c r="I27" i="4"/>
  <c r="K27" i="4"/>
  <c r="N27" i="4"/>
  <c r="P27" i="4"/>
  <c r="O27" i="4" s="1"/>
  <c r="I28" i="4"/>
  <c r="K28" i="4"/>
  <c r="J28" i="4" s="1"/>
  <c r="N28" i="4"/>
  <c r="P28" i="4"/>
  <c r="I29" i="4"/>
  <c r="K29" i="4"/>
  <c r="N29" i="4"/>
  <c r="P29" i="4"/>
  <c r="O29" i="4" s="1"/>
  <c r="I30" i="4"/>
  <c r="K30" i="4"/>
  <c r="J30" i="4" s="1"/>
  <c r="N30" i="4"/>
  <c r="P30" i="4"/>
  <c r="I31" i="4"/>
  <c r="K31" i="4"/>
  <c r="J31" i="4" s="1"/>
  <c r="N31" i="4"/>
  <c r="P31" i="4"/>
  <c r="I32" i="4"/>
  <c r="K32" i="4"/>
  <c r="J32" i="4" s="1"/>
  <c r="N32" i="4"/>
  <c r="P32" i="4"/>
  <c r="I33" i="4"/>
  <c r="K33" i="4"/>
  <c r="J33" i="4" s="1"/>
  <c r="N33" i="4"/>
  <c r="P33" i="4"/>
  <c r="O33" i="4" s="1"/>
  <c r="I34" i="4"/>
  <c r="K34" i="4"/>
  <c r="J34" i="4" s="1"/>
  <c r="N34" i="4"/>
  <c r="P34" i="4"/>
  <c r="I35" i="4"/>
  <c r="K35" i="4"/>
  <c r="N35" i="4"/>
  <c r="P35" i="4"/>
  <c r="O35" i="4" s="1"/>
  <c r="I36" i="4"/>
  <c r="K36" i="4"/>
  <c r="J36" i="4" s="1"/>
  <c r="N36" i="4"/>
  <c r="P36" i="4"/>
  <c r="I37" i="4"/>
  <c r="K37" i="4"/>
  <c r="J37" i="4" s="1"/>
  <c r="N37" i="4"/>
  <c r="P37" i="4"/>
  <c r="O37" i="4" s="1"/>
  <c r="I38" i="4"/>
  <c r="K38" i="4"/>
  <c r="J38" i="4" s="1"/>
  <c r="N38" i="4"/>
  <c r="P38" i="4"/>
  <c r="I39" i="4"/>
  <c r="K39" i="4"/>
  <c r="N39" i="4"/>
  <c r="P39" i="4"/>
  <c r="O39" i="4" s="1"/>
  <c r="I40" i="4"/>
  <c r="K40" i="4"/>
  <c r="J40" i="4" s="1"/>
  <c r="N40" i="4"/>
  <c r="P40" i="4"/>
  <c r="I41" i="4"/>
  <c r="K41" i="4"/>
  <c r="J41" i="4" s="1"/>
  <c r="N41" i="4"/>
  <c r="P41" i="4"/>
  <c r="O41" i="4" s="1"/>
  <c r="I42" i="4"/>
  <c r="K42" i="4"/>
  <c r="J42" i="4" s="1"/>
  <c r="N42" i="4"/>
  <c r="P42" i="4"/>
  <c r="I43" i="4"/>
  <c r="K43" i="4"/>
  <c r="N43" i="4"/>
  <c r="P43" i="4"/>
  <c r="O43" i="4" s="1"/>
  <c r="I44" i="4"/>
  <c r="K44" i="4"/>
  <c r="J44" i="4" s="1"/>
  <c r="N44" i="4"/>
  <c r="P44" i="4"/>
  <c r="O44" i="4" s="1"/>
  <c r="I45" i="4"/>
  <c r="K45" i="4"/>
  <c r="J45" i="4" s="1"/>
  <c r="N45" i="4"/>
  <c r="P45" i="4"/>
  <c r="O45" i="4" s="1"/>
  <c r="I46" i="4"/>
  <c r="K46" i="4"/>
  <c r="J46" i="4" s="1"/>
  <c r="N46" i="4"/>
  <c r="P46" i="4"/>
  <c r="I48" i="4"/>
  <c r="K48" i="4"/>
  <c r="J48" i="4" s="1"/>
  <c r="N48" i="4"/>
  <c r="P48" i="4"/>
  <c r="O48" i="4" s="1"/>
  <c r="I49" i="4"/>
  <c r="K49" i="4"/>
  <c r="J49" i="4" s="1"/>
  <c r="N49" i="4"/>
  <c r="P49" i="4"/>
  <c r="I50" i="4"/>
  <c r="K50" i="4"/>
  <c r="J50" i="4" s="1"/>
  <c r="N50" i="4"/>
  <c r="P50" i="4"/>
  <c r="O50" i="4" s="1"/>
  <c r="I51" i="4"/>
  <c r="K51" i="4"/>
  <c r="J51" i="4" s="1"/>
  <c r="N51" i="4"/>
  <c r="P51" i="4"/>
  <c r="I52" i="4"/>
  <c r="K52" i="4"/>
  <c r="J52" i="4" s="1"/>
  <c r="N52" i="4"/>
  <c r="P52" i="4"/>
  <c r="O52" i="4" s="1"/>
  <c r="I53" i="4"/>
  <c r="K53" i="4"/>
  <c r="J53" i="4" s="1"/>
  <c r="N53" i="4"/>
  <c r="P53" i="4"/>
  <c r="I54" i="4"/>
  <c r="K54" i="4"/>
  <c r="J54" i="4" s="1"/>
  <c r="N54" i="4"/>
  <c r="P54" i="4"/>
  <c r="O54" i="4" s="1"/>
  <c r="I55" i="4"/>
  <c r="K55" i="4"/>
  <c r="J55" i="4" s="1"/>
  <c r="N55" i="4"/>
  <c r="P55" i="4"/>
  <c r="I56" i="4"/>
  <c r="K56" i="4"/>
  <c r="J56" i="4" s="1"/>
  <c r="N56" i="4"/>
  <c r="P56" i="4"/>
  <c r="O56" i="4" s="1"/>
  <c r="G57" i="4"/>
  <c r="I59" i="4"/>
  <c r="K59" i="4"/>
  <c r="N59" i="4"/>
  <c r="P59" i="4"/>
  <c r="I60" i="4"/>
  <c r="K60" i="4"/>
  <c r="J60" i="4" s="1"/>
  <c r="N60" i="4"/>
  <c r="P60" i="4"/>
  <c r="O60" i="4" s="1"/>
  <c r="I62" i="4"/>
  <c r="K62" i="4"/>
  <c r="N62" i="4"/>
  <c r="P62" i="4"/>
  <c r="O62" i="4" s="1"/>
  <c r="I64" i="4"/>
  <c r="K64" i="4"/>
  <c r="J64" i="4" s="1"/>
  <c r="N64" i="4"/>
  <c r="P64" i="4"/>
  <c r="I65" i="4"/>
  <c r="K65" i="4"/>
  <c r="J65" i="4" s="1"/>
  <c r="N65" i="4"/>
  <c r="P65" i="4"/>
  <c r="I66" i="4"/>
  <c r="K66" i="4"/>
  <c r="J66" i="4" s="1"/>
  <c r="N66" i="4"/>
  <c r="P66" i="4"/>
  <c r="O66" i="4" s="1"/>
  <c r="I67" i="4"/>
  <c r="K67" i="4"/>
  <c r="J67" i="4" s="1"/>
  <c r="N67" i="4"/>
  <c r="P67" i="4"/>
  <c r="O67" i="4" s="1"/>
  <c r="I68" i="4"/>
  <c r="K68" i="4"/>
  <c r="J68" i="4" s="1"/>
  <c r="N68" i="4"/>
  <c r="P68" i="4"/>
  <c r="O68" i="4" s="1"/>
  <c r="I70" i="4"/>
  <c r="K70" i="4"/>
  <c r="J70" i="4" s="1"/>
  <c r="N70" i="4"/>
  <c r="P70" i="4"/>
  <c r="I71" i="4"/>
  <c r="K71" i="4"/>
  <c r="J71" i="4" s="1"/>
  <c r="N71" i="4"/>
  <c r="P71" i="4"/>
  <c r="O71" i="4" s="1"/>
  <c r="I72" i="4"/>
  <c r="K72" i="4"/>
  <c r="J72" i="4" s="1"/>
  <c r="N72" i="4"/>
  <c r="P72" i="4"/>
  <c r="I74" i="4"/>
  <c r="K74" i="4"/>
  <c r="N74" i="4"/>
  <c r="P74" i="4"/>
  <c r="O74" i="4" s="1"/>
  <c r="I75" i="4"/>
  <c r="K75" i="4"/>
  <c r="J75" i="4" s="1"/>
  <c r="N75" i="4"/>
  <c r="P75" i="4"/>
  <c r="I76" i="4"/>
  <c r="K76" i="4"/>
  <c r="J76" i="4" s="1"/>
  <c r="N76" i="4"/>
  <c r="P76" i="4"/>
  <c r="I77" i="4"/>
  <c r="K77" i="4"/>
  <c r="J77" i="4" s="1"/>
  <c r="N77" i="4"/>
  <c r="P77" i="4"/>
  <c r="O77" i="4" s="1"/>
  <c r="I78" i="4"/>
  <c r="K78" i="4"/>
  <c r="J78" i="4" s="1"/>
  <c r="N78" i="4"/>
  <c r="P78" i="4"/>
  <c r="I79" i="4"/>
  <c r="K79" i="4"/>
  <c r="J79" i="4" s="1"/>
  <c r="N79" i="4"/>
  <c r="P79" i="4"/>
  <c r="O79" i="4" s="1"/>
  <c r="I80" i="4"/>
  <c r="K80" i="4"/>
  <c r="J80" i="4" s="1"/>
  <c r="N80" i="4"/>
  <c r="P80" i="4"/>
  <c r="O80" i="4" s="1"/>
  <c r="I81" i="4"/>
  <c r="K81" i="4"/>
  <c r="J81" i="4" s="1"/>
  <c r="N81" i="4"/>
  <c r="P81" i="4"/>
  <c r="I82" i="4"/>
  <c r="K82" i="4"/>
  <c r="J82" i="4" s="1"/>
  <c r="N82" i="4"/>
  <c r="P82" i="4"/>
  <c r="I83" i="4"/>
  <c r="K83" i="4"/>
  <c r="J83" i="4" s="1"/>
  <c r="N83" i="4"/>
  <c r="P83" i="4"/>
  <c r="I84" i="4"/>
  <c r="K84" i="4"/>
  <c r="J84" i="4" s="1"/>
  <c r="N84" i="4"/>
  <c r="P84" i="4"/>
  <c r="I85" i="4"/>
  <c r="K85" i="4"/>
  <c r="J85" i="4" s="1"/>
  <c r="N85" i="4"/>
  <c r="P85" i="4"/>
  <c r="O85" i="4" s="1"/>
  <c r="G86" i="4"/>
  <c r="I88" i="4"/>
  <c r="K88" i="4"/>
  <c r="J88" i="4" s="1"/>
  <c r="N88" i="4"/>
  <c r="P88" i="4"/>
  <c r="I89" i="4"/>
  <c r="K89" i="4"/>
  <c r="J89" i="4" s="1"/>
  <c r="N89" i="4"/>
  <c r="P89" i="4"/>
  <c r="I90" i="4"/>
  <c r="K90" i="4"/>
  <c r="J90" i="4" s="1"/>
  <c r="N90" i="4"/>
  <c r="P90" i="4"/>
  <c r="I91" i="4"/>
  <c r="K91" i="4"/>
  <c r="J91" i="4" s="1"/>
  <c r="N91" i="4"/>
  <c r="P91" i="4"/>
  <c r="O91" i="4" s="1"/>
  <c r="I92" i="4"/>
  <c r="K92" i="4"/>
  <c r="J92" i="4" s="1"/>
  <c r="N92" i="4"/>
  <c r="P92" i="4"/>
  <c r="I93" i="4"/>
  <c r="K93" i="4"/>
  <c r="N93" i="4"/>
  <c r="P93" i="4"/>
  <c r="O93" i="4" s="1"/>
  <c r="I94" i="4"/>
  <c r="K94" i="4"/>
  <c r="J94" i="4" s="1"/>
  <c r="N94" i="4"/>
  <c r="P94" i="4"/>
  <c r="I95" i="4"/>
  <c r="K95" i="4"/>
  <c r="N95" i="4"/>
  <c r="P95" i="4"/>
  <c r="O95" i="4" s="1"/>
  <c r="I96" i="4"/>
  <c r="K96" i="4"/>
  <c r="J96" i="4" s="1"/>
  <c r="N96" i="4"/>
  <c r="P96" i="4"/>
  <c r="O96" i="4" s="1"/>
  <c r="I97" i="4"/>
  <c r="K97" i="4"/>
  <c r="J97" i="4" s="1"/>
  <c r="N97" i="4"/>
  <c r="P97" i="4"/>
  <c r="O97" i="4" s="1"/>
  <c r="I98" i="4"/>
  <c r="K98" i="4"/>
  <c r="J98" i="4" s="1"/>
  <c r="N98" i="4"/>
  <c r="P98" i="4"/>
  <c r="I99" i="4"/>
  <c r="K99" i="4"/>
  <c r="J99" i="4" s="1"/>
  <c r="N99" i="4"/>
  <c r="P99" i="4"/>
  <c r="O99" i="4" s="1"/>
  <c r="I100" i="4"/>
  <c r="K100" i="4"/>
  <c r="J100" i="4" s="1"/>
  <c r="N100" i="4"/>
  <c r="P100" i="4"/>
  <c r="O100" i="4" s="1"/>
  <c r="I101" i="4"/>
  <c r="K101" i="4"/>
  <c r="J101" i="4" s="1"/>
  <c r="N101" i="4"/>
  <c r="P101" i="4"/>
  <c r="O101" i="4" s="1"/>
  <c r="I102" i="4"/>
  <c r="K102" i="4"/>
  <c r="J102" i="4" s="1"/>
  <c r="N102" i="4"/>
  <c r="P102" i="4"/>
  <c r="O102" i="4" s="1"/>
  <c r="I103" i="4"/>
  <c r="K103" i="4"/>
  <c r="J103" i="4" s="1"/>
  <c r="N103" i="4"/>
  <c r="P103" i="4"/>
  <c r="I104" i="4"/>
  <c r="K104" i="4"/>
  <c r="J104" i="4" s="1"/>
  <c r="N104" i="4"/>
  <c r="P104" i="4"/>
  <c r="O104" i="4" s="1"/>
  <c r="I105" i="4"/>
  <c r="K105" i="4"/>
  <c r="J105" i="4" s="1"/>
  <c r="N105" i="4"/>
  <c r="P105" i="4"/>
  <c r="O105" i="4" s="1"/>
  <c r="I106" i="4"/>
  <c r="K106" i="4"/>
  <c r="J106" i="4" s="1"/>
  <c r="N106" i="4"/>
  <c r="P106" i="4"/>
  <c r="O106" i="4" s="1"/>
  <c r="I107" i="4"/>
  <c r="K107" i="4"/>
  <c r="J107" i="4" s="1"/>
  <c r="N107" i="4"/>
  <c r="P107" i="4"/>
  <c r="O107" i="4" s="1"/>
  <c r="I108" i="4"/>
  <c r="K108" i="4"/>
  <c r="J108" i="4" s="1"/>
  <c r="N108" i="4"/>
  <c r="P108" i="4"/>
  <c r="I109" i="4"/>
  <c r="K109" i="4"/>
  <c r="J109" i="4" s="1"/>
  <c r="N109" i="4"/>
  <c r="P109" i="4"/>
  <c r="O109" i="4" s="1"/>
  <c r="I110" i="4"/>
  <c r="K110" i="4"/>
  <c r="J110" i="4" s="1"/>
  <c r="N110" i="4"/>
  <c r="P110" i="4"/>
  <c r="O110" i="4" s="1"/>
  <c r="I111" i="4"/>
  <c r="K111" i="4"/>
  <c r="J111" i="4" s="1"/>
  <c r="N111" i="4"/>
  <c r="P111" i="4"/>
  <c r="O111" i="4" s="1"/>
  <c r="I112" i="4"/>
  <c r="K112" i="4"/>
  <c r="J112" i="4" s="1"/>
  <c r="N112" i="4"/>
  <c r="P112" i="4"/>
  <c r="O112" i="4" s="1"/>
  <c r="I113" i="4"/>
  <c r="K113" i="4"/>
  <c r="J113" i="4" s="1"/>
  <c r="N113" i="4"/>
  <c r="P113" i="4"/>
  <c r="O113" i="4" s="1"/>
  <c r="I114" i="4"/>
  <c r="K114" i="4"/>
  <c r="J114" i="4" s="1"/>
  <c r="N114" i="4"/>
  <c r="P114" i="4"/>
  <c r="O114" i="4" s="1"/>
  <c r="I115" i="4"/>
  <c r="K115" i="4"/>
  <c r="J115" i="4" s="1"/>
  <c r="N115" i="4"/>
  <c r="P115" i="4"/>
  <c r="O115" i="4" s="1"/>
  <c r="I116" i="4"/>
  <c r="K116" i="4"/>
  <c r="J116" i="4" s="1"/>
  <c r="N116" i="4"/>
  <c r="P116" i="4"/>
  <c r="O116" i="4" s="1"/>
  <c r="I117" i="4"/>
  <c r="K117" i="4"/>
  <c r="J117" i="4" s="1"/>
  <c r="N117" i="4"/>
  <c r="P117" i="4"/>
  <c r="O117" i="4" s="1"/>
  <c r="I118" i="4"/>
  <c r="K118" i="4"/>
  <c r="J118" i="4" s="1"/>
  <c r="N118" i="4"/>
  <c r="P118" i="4"/>
  <c r="I119" i="4"/>
  <c r="K119" i="4"/>
  <c r="J119" i="4" s="1"/>
  <c r="N119" i="4"/>
  <c r="P119" i="4"/>
  <c r="O119" i="4" s="1"/>
  <c r="I120" i="4"/>
  <c r="K120" i="4"/>
  <c r="J120" i="4" s="1"/>
  <c r="N120" i="4"/>
  <c r="P120" i="4"/>
  <c r="O120" i="4" s="1"/>
  <c r="I121" i="4"/>
  <c r="K121" i="4"/>
  <c r="J121" i="4" s="1"/>
  <c r="N121" i="4"/>
  <c r="P121" i="4"/>
  <c r="O121" i="4" s="1"/>
  <c r="I122" i="4"/>
  <c r="K122" i="4"/>
  <c r="J122" i="4" s="1"/>
  <c r="N122" i="4"/>
  <c r="P122" i="4"/>
  <c r="O122" i="4" s="1"/>
  <c r="I123" i="4"/>
  <c r="K123" i="4"/>
  <c r="J123" i="4" s="1"/>
  <c r="N123" i="4"/>
  <c r="P123" i="4"/>
  <c r="O123" i="4" s="1"/>
  <c r="I124" i="4"/>
  <c r="K124" i="4"/>
  <c r="N124" i="4"/>
  <c r="P124" i="4"/>
  <c r="O124" i="4" s="1"/>
  <c r="G125" i="4"/>
  <c r="K131" i="4"/>
  <c r="J131" i="4" s="1"/>
  <c r="L131" i="4" s="1"/>
  <c r="P131" i="4"/>
  <c r="S131" i="4"/>
  <c r="K132" i="4"/>
  <c r="J132" i="4" s="1"/>
  <c r="L132" i="4" s="1"/>
  <c r="P132" i="4"/>
  <c r="S132" i="4"/>
  <c r="K133" i="4"/>
  <c r="P133" i="4"/>
  <c r="O133" i="4" s="1"/>
  <c r="S133" i="4"/>
  <c r="K134" i="4"/>
  <c r="J134" i="4" s="1"/>
  <c r="P134" i="4"/>
  <c r="S134" i="4"/>
  <c r="K135" i="4"/>
  <c r="J135" i="4" s="1"/>
  <c r="L135" i="4" s="1"/>
  <c r="P135" i="4"/>
  <c r="S135" i="4"/>
  <c r="K136" i="4"/>
  <c r="J136" i="4" s="1"/>
  <c r="L136" i="4" s="1"/>
  <c r="P136" i="4"/>
  <c r="S136" i="4"/>
  <c r="G137" i="4"/>
  <c r="I137" i="4"/>
  <c r="N137" i="4"/>
  <c r="L148" i="4"/>
  <c r="Q148" i="4"/>
  <c r="V148" i="4"/>
  <c r="V149" i="4"/>
  <c r="J142" i="4"/>
  <c r="L142" i="4" s="1"/>
  <c r="P142" i="4"/>
  <c r="U142" i="4" s="1"/>
  <c r="U143" i="4" s="1"/>
  <c r="S142" i="4"/>
  <c r="I143" i="4"/>
  <c r="K143" i="4"/>
  <c r="L153" i="4"/>
  <c r="V153" i="4"/>
  <c r="L154" i="4"/>
  <c r="V154" i="4"/>
  <c r="L155" i="4"/>
  <c r="V155" i="4"/>
  <c r="V156" i="4"/>
  <c r="V157" i="4"/>
  <c r="V158" i="4"/>
  <c r="I159" i="4"/>
  <c r="K159" i="4"/>
  <c r="S159" i="4"/>
  <c r="T159" i="4"/>
  <c r="U159" i="4"/>
  <c r="N18" i="5" l="1"/>
  <c r="K17" i="6"/>
  <c r="L13" i="7"/>
  <c r="L16" i="7" s="1"/>
  <c r="I250" i="2" s="1"/>
  <c r="I251" i="2" s="1"/>
  <c r="V14" i="5"/>
  <c r="U13" i="7"/>
  <c r="U16" i="7" s="1"/>
  <c r="V12" i="7"/>
  <c r="J16" i="7"/>
  <c r="J41" i="7"/>
  <c r="K41" i="7"/>
  <c r="K16" i="7"/>
  <c r="I44" i="7"/>
  <c r="V11" i="6"/>
  <c r="U15" i="5"/>
  <c r="V150" i="4"/>
  <c r="I178" i="4"/>
  <c r="V12" i="6"/>
  <c r="L14" i="6"/>
  <c r="L17" i="6" s="1"/>
  <c r="H250" i="2" s="1"/>
  <c r="H251" i="2" s="1"/>
  <c r="I17" i="6"/>
  <c r="I43" i="6"/>
  <c r="T14" i="6"/>
  <c r="T17" i="6" s="1"/>
  <c r="S14" i="6"/>
  <c r="J17" i="6"/>
  <c r="J43" i="6"/>
  <c r="K45" i="6"/>
  <c r="P43" i="6"/>
  <c r="K19" i="8" s="1"/>
  <c r="V13" i="6"/>
  <c r="L15" i="5"/>
  <c r="S11" i="5"/>
  <c r="V13" i="5"/>
  <c r="S15" i="5"/>
  <c r="T15" i="5"/>
  <c r="K178" i="4"/>
  <c r="I177" i="4"/>
  <c r="I176" i="4"/>
  <c r="J10" i="4"/>
  <c r="L10" i="4" s="1"/>
  <c r="K176" i="4"/>
  <c r="J59" i="4"/>
  <c r="K177" i="4"/>
  <c r="P177" i="4" s="1"/>
  <c r="P18" i="5"/>
  <c r="L11" i="5"/>
  <c r="O43" i="5"/>
  <c r="T43" i="5" s="1"/>
  <c r="V10" i="5"/>
  <c r="U11" i="5"/>
  <c r="J18" i="5"/>
  <c r="J42" i="5"/>
  <c r="D13" i="8" s="1"/>
  <c r="I18" i="5"/>
  <c r="I43" i="5"/>
  <c r="K18" i="5"/>
  <c r="K42" i="5"/>
  <c r="D18" i="8" s="1"/>
  <c r="K43" i="5"/>
  <c r="D19" i="8" s="1"/>
  <c r="G128" i="4"/>
  <c r="G129" i="4" s="1"/>
  <c r="Q11" i="5"/>
  <c r="Q18" i="5" s="1"/>
  <c r="V11" i="7"/>
  <c r="S13" i="7"/>
  <c r="Q14" i="6"/>
  <c r="Q17" i="6" s="1"/>
  <c r="T13" i="7"/>
  <c r="T16" i="7" s="1"/>
  <c r="U14" i="6"/>
  <c r="U17" i="6" s="1"/>
  <c r="T11" i="5"/>
  <c r="Q13" i="7"/>
  <c r="Q16" i="7" s="1"/>
  <c r="O18" i="5"/>
  <c r="V9" i="5"/>
  <c r="U15" i="4"/>
  <c r="L79" i="4"/>
  <c r="L67" i="4"/>
  <c r="L11" i="4"/>
  <c r="L61" i="4"/>
  <c r="L69" i="4"/>
  <c r="L97" i="4"/>
  <c r="Q35" i="4"/>
  <c r="U11" i="4"/>
  <c r="U61" i="4"/>
  <c r="U69" i="4"/>
  <c r="Q85" i="4"/>
  <c r="Q67" i="4"/>
  <c r="L101" i="4"/>
  <c r="S101" i="4"/>
  <c r="U97" i="4"/>
  <c r="Q91" i="4"/>
  <c r="T41" i="4"/>
  <c r="U31" i="4"/>
  <c r="L80" i="4"/>
  <c r="S41" i="4"/>
  <c r="L16" i="4"/>
  <c r="L63" i="4"/>
  <c r="L73" i="4"/>
  <c r="L112" i="4"/>
  <c r="Q105" i="4"/>
  <c r="L117" i="4"/>
  <c r="S73" i="4"/>
  <c r="U112" i="4"/>
  <c r="L81" i="4"/>
  <c r="U10" i="4"/>
  <c r="U63" i="4"/>
  <c r="U73" i="4"/>
  <c r="T112" i="4"/>
  <c r="U108" i="4"/>
  <c r="T106" i="4"/>
  <c r="L116" i="4"/>
  <c r="L114" i="4"/>
  <c r="L104" i="4"/>
  <c r="Q107" i="4"/>
  <c r="L108" i="4"/>
  <c r="O73" i="4"/>
  <c r="O69" i="4"/>
  <c r="S69" i="4"/>
  <c r="O63" i="4"/>
  <c r="S63" i="4"/>
  <c r="O61" i="4"/>
  <c r="S61" i="4"/>
  <c r="T68" i="4"/>
  <c r="Q113" i="4"/>
  <c r="Q109" i="4"/>
  <c r="T101" i="4"/>
  <c r="Q68" i="4"/>
  <c r="S64" i="4"/>
  <c r="L158" i="4"/>
  <c r="L85" i="4"/>
  <c r="U55" i="4"/>
  <c r="U93" i="4"/>
  <c r="S53" i="4"/>
  <c r="S49" i="4"/>
  <c r="S16" i="4"/>
  <c r="L90" i="4"/>
  <c r="Q117" i="4"/>
  <c r="L55" i="4"/>
  <c r="U16" i="4"/>
  <c r="O16" i="4"/>
  <c r="O10" i="4"/>
  <c r="S10" i="4"/>
  <c r="O11" i="4"/>
  <c r="S11" i="4"/>
  <c r="L89" i="4"/>
  <c r="S122" i="4"/>
  <c r="U120" i="4"/>
  <c r="S93" i="4"/>
  <c r="U89" i="4"/>
  <c r="T54" i="4"/>
  <c r="T52" i="4"/>
  <c r="T50" i="4"/>
  <c r="S32" i="4"/>
  <c r="L122" i="4"/>
  <c r="S115" i="4"/>
  <c r="T113" i="4"/>
  <c r="Q111" i="4"/>
  <c r="L71" i="4"/>
  <c r="L46" i="4"/>
  <c r="L34" i="4"/>
  <c r="L120" i="4"/>
  <c r="T60" i="4"/>
  <c r="S77" i="4"/>
  <c r="S108" i="4"/>
  <c r="Q119" i="4"/>
  <c r="S106" i="4"/>
  <c r="U102" i="4"/>
  <c r="U38" i="4"/>
  <c r="U36" i="4"/>
  <c r="U133" i="4"/>
  <c r="Q121" i="4"/>
  <c r="L118" i="4"/>
  <c r="T104" i="4"/>
  <c r="Q124" i="4"/>
  <c r="L106" i="4"/>
  <c r="S80" i="4"/>
  <c r="U68" i="4"/>
  <c r="S137" i="4"/>
  <c r="U122" i="4"/>
  <c r="S118" i="4"/>
  <c r="T116" i="4"/>
  <c r="S103" i="4"/>
  <c r="U83" i="4"/>
  <c r="U76" i="4"/>
  <c r="T56" i="4"/>
  <c r="S50" i="4"/>
  <c r="U13" i="4"/>
  <c r="T122" i="4"/>
  <c r="T111" i="4"/>
  <c r="L110" i="4"/>
  <c r="O108" i="4"/>
  <c r="T108" i="4" s="1"/>
  <c r="L92" i="4"/>
  <c r="U88" i="4"/>
  <c r="S85" i="4"/>
  <c r="S81" i="4"/>
  <c r="L72" i="4"/>
  <c r="S70" i="4"/>
  <c r="U67" i="4"/>
  <c r="S56" i="4"/>
  <c r="Q48" i="4"/>
  <c r="L38" i="4"/>
  <c r="L76" i="4"/>
  <c r="Q123" i="4"/>
  <c r="Q96" i="4"/>
  <c r="O89" i="4"/>
  <c r="T89" i="4" s="1"/>
  <c r="Q39" i="4"/>
  <c r="U132" i="4"/>
  <c r="S121" i="4"/>
  <c r="Q115" i="4"/>
  <c r="L111" i="4"/>
  <c r="L91" i="4"/>
  <c r="S82" i="4"/>
  <c r="S79" i="4"/>
  <c r="Q77" i="4"/>
  <c r="S65" i="4"/>
  <c r="U39" i="4"/>
  <c r="U22" i="4"/>
  <c r="L157" i="4"/>
  <c r="N143" i="4"/>
  <c r="J143" i="4"/>
  <c r="T123" i="4"/>
  <c r="L119" i="4"/>
  <c r="U110" i="4"/>
  <c r="Q97" i="4"/>
  <c r="T96" i="4"/>
  <c r="L84" i="4"/>
  <c r="L82" i="4"/>
  <c r="U78" i="4"/>
  <c r="S68" i="4"/>
  <c r="S59" i="4"/>
  <c r="L51" i="4"/>
  <c r="Q33" i="4"/>
  <c r="L32" i="4"/>
  <c r="L30" i="4"/>
  <c r="L78" i="4"/>
  <c r="L121" i="4"/>
  <c r="Q114" i="4"/>
  <c r="S123" i="4"/>
  <c r="T121" i="4"/>
  <c r="S117" i="4"/>
  <c r="S98" i="4"/>
  <c r="L68" i="4"/>
  <c r="Q56" i="4"/>
  <c r="U48" i="4"/>
  <c r="Q43" i="4"/>
  <c r="L156" i="4"/>
  <c r="T107" i="4"/>
  <c r="L107" i="4"/>
  <c r="S116" i="4"/>
  <c r="Q116" i="4"/>
  <c r="U114" i="4"/>
  <c r="L105" i="4"/>
  <c r="U81" i="4"/>
  <c r="O81" i="4"/>
  <c r="Q81" i="4" s="1"/>
  <c r="Q52" i="4"/>
  <c r="L113" i="4"/>
  <c r="L98" i="4"/>
  <c r="L42" i="4"/>
  <c r="P143" i="4"/>
  <c r="O75" i="4"/>
  <c r="Q75" i="4" s="1"/>
  <c r="U75" i="4"/>
  <c r="Q99" i="4"/>
  <c r="S99" i="4"/>
  <c r="L83" i="4"/>
  <c r="S83" i="4"/>
  <c r="T120" i="4"/>
  <c r="Q120" i="4"/>
  <c r="T109" i="4"/>
  <c r="U118" i="4"/>
  <c r="O118" i="4"/>
  <c r="Q118" i="4" s="1"/>
  <c r="T110" i="4"/>
  <c r="Q110" i="4"/>
  <c r="Q100" i="4"/>
  <c r="S100" i="4"/>
  <c r="Q80" i="4"/>
  <c r="T80" i="4"/>
  <c r="S104" i="4"/>
  <c r="Q104" i="4"/>
  <c r="Q62" i="4"/>
  <c r="J124" i="4"/>
  <c r="L124" i="4" s="1"/>
  <c r="U124" i="4"/>
  <c r="T44" i="4"/>
  <c r="U56" i="4"/>
  <c r="U136" i="4"/>
  <c r="J133" i="4"/>
  <c r="L133" i="4" s="1"/>
  <c r="S96" i="4"/>
  <c r="L94" i="4"/>
  <c r="L53" i="4"/>
  <c r="U51" i="4"/>
  <c r="L49" i="4"/>
  <c r="U42" i="4"/>
  <c r="U26" i="4"/>
  <c r="U66" i="4"/>
  <c r="T48" i="4"/>
  <c r="O31" i="4"/>
  <c r="Q31" i="4" s="1"/>
  <c r="S105" i="4"/>
  <c r="N125" i="4"/>
  <c r="O142" i="4"/>
  <c r="U134" i="4"/>
  <c r="U116" i="4"/>
  <c r="T115" i="4"/>
  <c r="S110" i="4"/>
  <c r="L109" i="4"/>
  <c r="S107" i="4"/>
  <c r="U104" i="4"/>
  <c r="T102" i="4"/>
  <c r="U99" i="4"/>
  <c r="U96" i="4"/>
  <c r="T91" i="4"/>
  <c r="O83" i="4"/>
  <c r="T83" i="4" s="1"/>
  <c r="U79" i="4"/>
  <c r="O78" i="4"/>
  <c r="T78" i="4" s="1"/>
  <c r="L64" i="4"/>
  <c r="U46" i="4"/>
  <c r="U35" i="4"/>
  <c r="O26" i="4"/>
  <c r="T26" i="4" s="1"/>
  <c r="V159" i="4"/>
  <c r="L88" i="4"/>
  <c r="O22" i="4"/>
  <c r="T22" i="4" s="1"/>
  <c r="S113" i="4"/>
  <c r="O76" i="4"/>
  <c r="T76" i="4" s="1"/>
  <c r="S120" i="4"/>
  <c r="T119" i="4"/>
  <c r="S112" i="4"/>
  <c r="U106" i="4"/>
  <c r="T105" i="4"/>
  <c r="T97" i="4"/>
  <c r="S89" i="4"/>
  <c r="U65" i="4"/>
  <c r="S48" i="4"/>
  <c r="U18" i="4"/>
  <c r="S124" i="4"/>
  <c r="L123" i="4"/>
  <c r="Q101" i="4"/>
  <c r="S97" i="4"/>
  <c r="U90" i="4"/>
  <c r="L70" i="4"/>
  <c r="S62" i="4"/>
  <c r="U53" i="4"/>
  <c r="U40" i="4"/>
  <c r="U34" i="4"/>
  <c r="S33" i="4"/>
  <c r="U24" i="4"/>
  <c r="T18" i="4"/>
  <c r="K137" i="4"/>
  <c r="S114" i="4"/>
  <c r="S111" i="4"/>
  <c r="L103" i="4"/>
  <c r="U101" i="4"/>
  <c r="T100" i="4"/>
  <c r="U94" i="4"/>
  <c r="Q93" i="4"/>
  <c r="S90" i="4"/>
  <c r="U85" i="4"/>
  <c r="U80" i="4"/>
  <c r="T77" i="4"/>
  <c r="U71" i="4"/>
  <c r="L65" i="4"/>
  <c r="U60" i="4"/>
  <c r="O53" i="4"/>
  <c r="T53" i="4" s="1"/>
  <c r="U44" i="4"/>
  <c r="L36" i="4"/>
  <c r="U30" i="4"/>
  <c r="Q157" i="4"/>
  <c r="L134" i="4"/>
  <c r="O134" i="4"/>
  <c r="U98" i="4"/>
  <c r="O98" i="4"/>
  <c r="O94" i="4"/>
  <c r="T94" i="4" s="1"/>
  <c r="O88" i="4"/>
  <c r="Q88" i="4" s="1"/>
  <c r="O84" i="4"/>
  <c r="T84" i="4" s="1"/>
  <c r="U84" i="4"/>
  <c r="S51" i="4"/>
  <c r="J39" i="4"/>
  <c r="T39" i="4" s="1"/>
  <c r="L31" i="4"/>
  <c r="I57" i="4"/>
  <c r="O132" i="4"/>
  <c r="S109" i="4"/>
  <c r="S88" i="4"/>
  <c r="S84" i="4"/>
  <c r="Q79" i="4"/>
  <c r="T79" i="4"/>
  <c r="U70" i="4"/>
  <c r="O70" i="4"/>
  <c r="L40" i="4"/>
  <c r="S40" i="4"/>
  <c r="S37" i="4"/>
  <c r="Q37" i="4"/>
  <c r="S31" i="4"/>
  <c r="U17" i="4"/>
  <c r="J17" i="4"/>
  <c r="L17" i="4" s="1"/>
  <c r="L149" i="4"/>
  <c r="L143" i="4" s="1"/>
  <c r="P125" i="4"/>
  <c r="S119" i="4"/>
  <c r="Q95" i="4"/>
  <c r="S95" i="4"/>
  <c r="T66" i="4"/>
  <c r="L66" i="4"/>
  <c r="S45" i="4"/>
  <c r="Q45" i="4"/>
  <c r="L44" i="4"/>
  <c r="S44" i="4"/>
  <c r="J35" i="4"/>
  <c r="T35" i="4" s="1"/>
  <c r="U32" i="4"/>
  <c r="O32" i="4"/>
  <c r="T32" i="4" s="1"/>
  <c r="U25" i="4"/>
  <c r="J25" i="4"/>
  <c r="L25" i="4" s="1"/>
  <c r="P57" i="4"/>
  <c r="J159" i="4"/>
  <c r="O103" i="4"/>
  <c r="U103" i="4"/>
  <c r="S35" i="4"/>
  <c r="T117" i="4"/>
  <c r="L115" i="4"/>
  <c r="T114" i="4"/>
  <c r="J95" i="4"/>
  <c r="L95" i="4" s="1"/>
  <c r="U95" i="4"/>
  <c r="J93" i="4"/>
  <c r="T93" i="4" s="1"/>
  <c r="U91" i="4"/>
  <c r="I125" i="4"/>
  <c r="O82" i="4"/>
  <c r="U82" i="4"/>
  <c r="S72" i="4"/>
  <c r="U49" i="4"/>
  <c r="O49" i="4"/>
  <c r="T49" i="4" s="1"/>
  <c r="U28" i="4"/>
  <c r="O28" i="4"/>
  <c r="T28" i="4" s="1"/>
  <c r="U21" i="4"/>
  <c r="J21" i="4"/>
  <c r="T21" i="4" s="1"/>
  <c r="O15" i="4"/>
  <c r="T15" i="4" s="1"/>
  <c r="U14" i="4"/>
  <c r="J14" i="4"/>
  <c r="T14" i="4" s="1"/>
  <c r="U59" i="4"/>
  <c r="P86" i="4"/>
  <c r="O136" i="4"/>
  <c r="O59" i="4"/>
  <c r="S55" i="4"/>
  <c r="Q102" i="4"/>
  <c r="S102" i="4"/>
  <c r="S60" i="4"/>
  <c r="Q60" i="4"/>
  <c r="N86" i="4"/>
  <c r="S46" i="4"/>
  <c r="S38" i="4"/>
  <c r="Q27" i="4"/>
  <c r="S27" i="4"/>
  <c r="K125" i="4"/>
  <c r="Q112" i="4"/>
  <c r="L100" i="4"/>
  <c r="L99" i="4"/>
  <c r="S91" i="4"/>
  <c r="U77" i="4"/>
  <c r="I86" i="4"/>
  <c r="O64" i="4"/>
  <c r="U64" i="4"/>
  <c r="Q50" i="4"/>
  <c r="S36" i="4"/>
  <c r="Q19" i="4"/>
  <c r="S19" i="4"/>
  <c r="S92" i="4"/>
  <c r="J62" i="4"/>
  <c r="K86" i="4"/>
  <c r="U62" i="4"/>
  <c r="J43" i="4"/>
  <c r="T43" i="4" s="1"/>
  <c r="U43" i="4"/>
  <c r="O135" i="4"/>
  <c r="U135" i="4"/>
  <c r="S78" i="4"/>
  <c r="O131" i="4"/>
  <c r="P137" i="4"/>
  <c r="U131" i="4"/>
  <c r="L75" i="4"/>
  <c r="S75" i="4"/>
  <c r="Q14" i="4"/>
  <c r="S14" i="4"/>
  <c r="S143" i="4"/>
  <c r="Q133" i="4"/>
  <c r="Q122" i="4"/>
  <c r="Q106" i="4"/>
  <c r="L102" i="4"/>
  <c r="U100" i="4"/>
  <c r="L96" i="4"/>
  <c r="S94" i="4"/>
  <c r="U92" i="4"/>
  <c r="O92" i="4"/>
  <c r="T92" i="4" s="1"/>
  <c r="T85" i="4"/>
  <c r="L77" i="4"/>
  <c r="S67" i="4"/>
  <c r="O65" i="4"/>
  <c r="S54" i="4"/>
  <c r="Q54" i="4"/>
  <c r="L52" i="4"/>
  <c r="S52" i="4"/>
  <c r="Q25" i="4"/>
  <c r="S25" i="4"/>
  <c r="U20" i="4"/>
  <c r="O20" i="4"/>
  <c r="T20" i="4" s="1"/>
  <c r="U123" i="4"/>
  <c r="U121" i="4"/>
  <c r="U119" i="4"/>
  <c r="U117" i="4"/>
  <c r="U115" i="4"/>
  <c r="U113" i="4"/>
  <c r="U111" i="4"/>
  <c r="U109" i="4"/>
  <c r="U107" i="4"/>
  <c r="U105" i="4"/>
  <c r="J74" i="4"/>
  <c r="L74" i="4" s="1"/>
  <c r="U74" i="4"/>
  <c r="L56" i="4"/>
  <c r="T45" i="4"/>
  <c r="S42" i="4"/>
  <c r="U27" i="4"/>
  <c r="J27" i="4"/>
  <c r="L27" i="4" s="1"/>
  <c r="Q21" i="4"/>
  <c r="S21" i="4"/>
  <c r="Q18" i="4"/>
  <c r="T71" i="4"/>
  <c r="S66" i="4"/>
  <c r="Q66" i="4"/>
  <c r="L60" i="4"/>
  <c r="Q29" i="4"/>
  <c r="S29" i="4"/>
  <c r="U19" i="4"/>
  <c r="J19" i="4"/>
  <c r="L19" i="4" s="1"/>
  <c r="Q12" i="4"/>
  <c r="S12" i="4"/>
  <c r="N57" i="4"/>
  <c r="O90" i="4"/>
  <c r="U72" i="4"/>
  <c r="O72" i="4"/>
  <c r="S71" i="4"/>
  <c r="Q71" i="4"/>
  <c r="Q41" i="4"/>
  <c r="S39" i="4"/>
  <c r="O36" i="4"/>
  <c r="T36" i="4" s="1"/>
  <c r="T33" i="4"/>
  <c r="S30" i="4"/>
  <c r="U29" i="4"/>
  <c r="J29" i="4"/>
  <c r="T29" i="4" s="1"/>
  <c r="Q23" i="4"/>
  <c r="S23" i="4"/>
  <c r="O13" i="4"/>
  <c r="T13" i="4" s="1"/>
  <c r="U12" i="4"/>
  <c r="K57" i="4"/>
  <c r="J12" i="4"/>
  <c r="L12" i="4" s="1"/>
  <c r="T99" i="4"/>
  <c r="S76" i="4"/>
  <c r="S74" i="4"/>
  <c r="Q74" i="4"/>
  <c r="U52" i="4"/>
  <c r="L48" i="4"/>
  <c r="S43" i="4"/>
  <c r="O40" i="4"/>
  <c r="T40" i="4" s="1"/>
  <c r="T37" i="4"/>
  <c r="S34" i="4"/>
  <c r="O24" i="4"/>
  <c r="T24" i="4" s="1"/>
  <c r="U23" i="4"/>
  <c r="J23" i="4"/>
  <c r="T23" i="4" s="1"/>
  <c r="Q17" i="4"/>
  <c r="S17" i="4"/>
  <c r="Q44" i="4"/>
  <c r="U54" i="4"/>
  <c r="U50" i="4"/>
  <c r="U45" i="4"/>
  <c r="U41" i="4"/>
  <c r="U37" i="4"/>
  <c r="U33" i="4"/>
  <c r="L28" i="4"/>
  <c r="L26" i="4"/>
  <c r="L24" i="4"/>
  <c r="L22" i="4"/>
  <c r="L20" i="4"/>
  <c r="L18" i="4"/>
  <c r="L15" i="4"/>
  <c r="L13" i="4"/>
  <c r="T67" i="4"/>
  <c r="L54" i="4"/>
  <c r="L50" i="4"/>
  <c r="L45" i="4"/>
  <c r="L41" i="4"/>
  <c r="L37" i="4"/>
  <c r="L33" i="4"/>
  <c r="O55" i="4"/>
  <c r="T55" i="4" s="1"/>
  <c r="O51" i="4"/>
  <c r="T51" i="4" s="1"/>
  <c r="O46" i="4"/>
  <c r="T46" i="4" s="1"/>
  <c r="O42" i="4"/>
  <c r="T42" i="4" s="1"/>
  <c r="O38" i="4"/>
  <c r="T38" i="4" s="1"/>
  <c r="O34" i="4"/>
  <c r="T34" i="4" s="1"/>
  <c r="O30" i="4"/>
  <c r="T30" i="4" s="1"/>
  <c r="S28" i="4"/>
  <c r="S26" i="4"/>
  <c r="S24" i="4"/>
  <c r="S22" i="4"/>
  <c r="S20" i="4"/>
  <c r="S18" i="4"/>
  <c r="S15" i="4"/>
  <c r="S13" i="4"/>
  <c r="I23" i="6" l="1"/>
  <c r="I25" i="6" s="1"/>
  <c r="H260" i="2" s="1"/>
  <c r="H261" i="2" s="1"/>
  <c r="V15" i="5"/>
  <c r="B11" i="11" s="1"/>
  <c r="R12" i="11" s="1"/>
  <c r="E15" i="17" s="1"/>
  <c r="U18" i="5"/>
  <c r="I24" i="5"/>
  <c r="L41" i="7"/>
  <c r="L44" i="7" s="1"/>
  <c r="V13" i="7"/>
  <c r="V16" i="7" s="1"/>
  <c r="F13" i="8"/>
  <c r="F16" i="8" s="1"/>
  <c r="F18" i="8"/>
  <c r="F21" i="8" s="1"/>
  <c r="K44" i="7"/>
  <c r="P41" i="7"/>
  <c r="O41" i="7"/>
  <c r="J44" i="7"/>
  <c r="V14" i="6"/>
  <c r="V17" i="6" s="1"/>
  <c r="Q19" i="8"/>
  <c r="E14" i="8"/>
  <c r="E16" i="8" s="1"/>
  <c r="E23" i="8" s="1"/>
  <c r="L43" i="6"/>
  <c r="L45" i="6" s="1"/>
  <c r="S18" i="5"/>
  <c r="L150" i="4"/>
  <c r="F272" i="2" s="1"/>
  <c r="G139" i="4"/>
  <c r="G140" i="4" s="1"/>
  <c r="D14" i="8"/>
  <c r="D16" i="8" s="1"/>
  <c r="L43" i="5"/>
  <c r="L18" i="5"/>
  <c r="G250" i="2" s="1"/>
  <c r="G251" i="2" s="1"/>
  <c r="T18" i="5"/>
  <c r="L42" i="5"/>
  <c r="C20" i="8"/>
  <c r="G20" i="8" s="1"/>
  <c r="Z20" i="8" s="1"/>
  <c r="J177" i="4"/>
  <c r="S17" i="6"/>
  <c r="J45" i="6"/>
  <c r="O43" i="6"/>
  <c r="U43" i="6"/>
  <c r="I45" i="6"/>
  <c r="V15" i="4"/>
  <c r="N128" i="4"/>
  <c r="C19" i="8"/>
  <c r="G19" i="8" s="1"/>
  <c r="Z19" i="8" s="1"/>
  <c r="C18" i="8"/>
  <c r="K179" i="4"/>
  <c r="L59" i="4"/>
  <c r="I179" i="4"/>
  <c r="J178" i="4"/>
  <c r="J176" i="4"/>
  <c r="V11" i="5"/>
  <c r="V18" i="5" s="1"/>
  <c r="P43" i="5"/>
  <c r="K45" i="5"/>
  <c r="I45" i="5"/>
  <c r="J45" i="5"/>
  <c r="Z12" i="11"/>
  <c r="D21" i="8"/>
  <c r="Q149" i="4"/>
  <c r="Q150" i="4" s="1"/>
  <c r="K128" i="4"/>
  <c r="P128" i="4"/>
  <c r="P139" i="4" s="1"/>
  <c r="P145" i="4" s="1"/>
  <c r="I128" i="4"/>
  <c r="I22" i="7"/>
  <c r="I25" i="7" s="1"/>
  <c r="I260" i="2" s="1"/>
  <c r="I261" i="2" s="1"/>
  <c r="S16" i="7"/>
  <c r="I23" i="5"/>
  <c r="T81" i="4"/>
  <c r="V81" i="4" s="1"/>
  <c r="Q49" i="4"/>
  <c r="L14" i="4"/>
  <c r="V113" i="4"/>
  <c r="V67" i="4"/>
  <c r="V80" i="4"/>
  <c r="V41" i="4"/>
  <c r="V121" i="4"/>
  <c r="L159" i="4"/>
  <c r="V112" i="4"/>
  <c r="V48" i="4"/>
  <c r="V122" i="4"/>
  <c r="V111" i="4"/>
  <c r="Q73" i="4"/>
  <c r="T73" i="4"/>
  <c r="V73" i="4" s="1"/>
  <c r="T69" i="4"/>
  <c r="V69" i="4" s="1"/>
  <c r="Q69" i="4"/>
  <c r="Q63" i="4"/>
  <c r="T63" i="4"/>
  <c r="V63" i="4" s="1"/>
  <c r="Q61" i="4"/>
  <c r="T61" i="4"/>
  <c r="V61" i="4" s="1"/>
  <c r="V56" i="4"/>
  <c r="V50" i="4"/>
  <c r="V101" i="4"/>
  <c r="V89" i="4"/>
  <c r="V18" i="4"/>
  <c r="V115" i="4"/>
  <c r="V93" i="4"/>
  <c r="V110" i="4"/>
  <c r="L93" i="4"/>
  <c r="Q16" i="4"/>
  <c r="T16" i="4"/>
  <c r="V16" i="4" s="1"/>
  <c r="T10" i="4"/>
  <c r="V10" i="4" s="1"/>
  <c r="Q10" i="4"/>
  <c r="Q11" i="4"/>
  <c r="T11" i="4"/>
  <c r="V11" i="4" s="1"/>
  <c r="V108" i="4"/>
  <c r="O143" i="4"/>
  <c r="V107" i="4"/>
  <c r="V85" i="4"/>
  <c r="T124" i="4"/>
  <c r="V124" i="4" s="1"/>
  <c r="V106" i="4"/>
  <c r="Q78" i="4"/>
  <c r="V13" i="4"/>
  <c r="Q55" i="4"/>
  <c r="V53" i="4"/>
  <c r="V104" i="4"/>
  <c r="Q89" i="4"/>
  <c r="T133" i="4"/>
  <c r="V133" i="4" s="1"/>
  <c r="V68" i="4"/>
  <c r="Q108" i="4"/>
  <c r="V22" i="4"/>
  <c r="Q26" i="4"/>
  <c r="V102" i="4"/>
  <c r="Q84" i="4"/>
  <c r="V97" i="4"/>
  <c r="V83" i="4"/>
  <c r="V32" i="4"/>
  <c r="V84" i="4"/>
  <c r="V96" i="4"/>
  <c r="V123" i="4"/>
  <c r="Q22" i="4"/>
  <c r="V78" i="4"/>
  <c r="V79" i="4"/>
  <c r="V20" i="4"/>
  <c r="L23" i="4"/>
  <c r="V99" i="4"/>
  <c r="V94" i="4"/>
  <c r="T25" i="4"/>
  <c r="V25" i="4" s="1"/>
  <c r="V77" i="4"/>
  <c r="Q53" i="4"/>
  <c r="V38" i="4"/>
  <c r="V114" i="4"/>
  <c r="Q13" i="4"/>
  <c r="Q34" i="4"/>
  <c r="V33" i="4"/>
  <c r="L39" i="4"/>
  <c r="V105" i="4"/>
  <c r="Q83" i="4"/>
  <c r="Q38" i="4"/>
  <c r="V44" i="4"/>
  <c r="T31" i="4"/>
  <c r="V31" i="4" s="1"/>
  <c r="T27" i="4"/>
  <c r="V27" i="4" s="1"/>
  <c r="V34" i="4"/>
  <c r="V100" i="4"/>
  <c r="V24" i="4"/>
  <c r="J57" i="4"/>
  <c r="Q76" i="4"/>
  <c r="T17" i="4"/>
  <c r="V17" i="4" s="1"/>
  <c r="V39" i="4"/>
  <c r="T118" i="4"/>
  <c r="V118" i="4" s="1"/>
  <c r="Q28" i="4"/>
  <c r="V49" i="4"/>
  <c r="T95" i="4"/>
  <c r="V95" i="4" s="1"/>
  <c r="V120" i="4"/>
  <c r="Q142" i="4"/>
  <c r="T142" i="4"/>
  <c r="T75" i="4"/>
  <c r="V75" i="4" s="1"/>
  <c r="V117" i="4"/>
  <c r="Q94" i="4"/>
  <c r="L21" i="4"/>
  <c r="Q32" i="4"/>
  <c r="V43" i="4"/>
  <c r="V76" i="4"/>
  <c r="J86" i="4"/>
  <c r="V109" i="4"/>
  <c r="J137" i="4"/>
  <c r="V116" i="4"/>
  <c r="V26" i="4"/>
  <c r="Q36" i="4"/>
  <c r="L43" i="4"/>
  <c r="Q24" i="4"/>
  <c r="V40" i="4"/>
  <c r="L137" i="4"/>
  <c r="Q90" i="4"/>
  <c r="T90" i="4"/>
  <c r="V90" i="4" s="1"/>
  <c r="V29" i="4"/>
  <c r="T12" i="4"/>
  <c r="V12" i="4" s="1"/>
  <c r="Q82" i="4"/>
  <c r="T82" i="4"/>
  <c r="V82" i="4" s="1"/>
  <c r="V51" i="4"/>
  <c r="L29" i="4"/>
  <c r="Q20" i="4"/>
  <c r="V71" i="4"/>
  <c r="V66" i="4"/>
  <c r="V54" i="4"/>
  <c r="S125" i="4"/>
  <c r="S86" i="4"/>
  <c r="V60" i="4"/>
  <c r="V55" i="4"/>
  <c r="O57" i="4"/>
  <c r="V37" i="4"/>
  <c r="Q51" i="4"/>
  <c r="Q98" i="4"/>
  <c r="T98" i="4"/>
  <c r="V98" i="4" s="1"/>
  <c r="Q72" i="4"/>
  <c r="T72" i="4"/>
  <c r="V72" i="4" s="1"/>
  <c r="T64" i="4"/>
  <c r="V64" i="4" s="1"/>
  <c r="Q64" i="4"/>
  <c r="U57" i="4"/>
  <c r="T65" i="4"/>
  <c r="V65" i="4" s="1"/>
  <c r="Q65" i="4"/>
  <c r="Q136" i="4"/>
  <c r="T136" i="4"/>
  <c r="V136" i="4" s="1"/>
  <c r="V35" i="4"/>
  <c r="L62" i="4"/>
  <c r="Q42" i="4"/>
  <c r="U137" i="4"/>
  <c r="T135" i="4"/>
  <c r="V135" i="4" s="1"/>
  <c r="Q135" i="4"/>
  <c r="V92" i="4"/>
  <c r="V36" i="4"/>
  <c r="V46" i="4"/>
  <c r="J125" i="4"/>
  <c r="L35" i="4"/>
  <c r="V23" i="4"/>
  <c r="Q132" i="4"/>
  <c r="T132" i="4"/>
  <c r="V132" i="4" s="1"/>
  <c r="T74" i="4"/>
  <c r="V74" i="4" s="1"/>
  <c r="V28" i="4"/>
  <c r="T62" i="4"/>
  <c r="V62" i="4" s="1"/>
  <c r="Q40" i="4"/>
  <c r="V30" i="4"/>
  <c r="V52" i="4"/>
  <c r="Q92" i="4"/>
  <c r="Q46" i="4"/>
  <c r="U86" i="4"/>
  <c r="T59" i="4"/>
  <c r="O86" i="4"/>
  <c r="Q59" i="4"/>
  <c r="Q134" i="4"/>
  <c r="T134" i="4"/>
  <c r="V134" i="4" s="1"/>
  <c r="V42" i="4"/>
  <c r="U125" i="4"/>
  <c r="T19" i="4"/>
  <c r="V19" i="4" s="1"/>
  <c r="S57" i="4"/>
  <c r="Q30" i="4"/>
  <c r="V21" i="4"/>
  <c r="V14" i="4"/>
  <c r="T131" i="4"/>
  <c r="Q131" i="4"/>
  <c r="O137" i="4"/>
  <c r="Q15" i="4"/>
  <c r="V91" i="4"/>
  <c r="T103" i="4"/>
  <c r="V103" i="4" s="1"/>
  <c r="Q103" i="4"/>
  <c r="V45" i="4"/>
  <c r="V119" i="4"/>
  <c r="T70" i="4"/>
  <c r="V70" i="4" s="1"/>
  <c r="Q70" i="4"/>
  <c r="T88" i="4"/>
  <c r="V88" i="4" s="1"/>
  <c r="O125" i="4"/>
  <c r="D11" i="11" l="1"/>
  <c r="J11" i="11" s="1"/>
  <c r="F23" i="8"/>
  <c r="R17" i="11"/>
  <c r="P28" i="11" s="1"/>
  <c r="N31" i="5" s="1"/>
  <c r="Q31" i="5" s="1"/>
  <c r="I26" i="5"/>
  <c r="G260" i="2" s="1"/>
  <c r="G261" i="2" s="1"/>
  <c r="B10" i="13"/>
  <c r="B14" i="13" s="1"/>
  <c r="B11" i="12"/>
  <c r="D11" i="12" s="1"/>
  <c r="T41" i="7"/>
  <c r="D10" i="13"/>
  <c r="L18" i="8"/>
  <c r="U41" i="7"/>
  <c r="L45" i="5"/>
  <c r="L125" i="4"/>
  <c r="C21" i="8"/>
  <c r="K11" i="11"/>
  <c r="Q13" i="11" s="1"/>
  <c r="F11" i="11"/>
  <c r="H11" i="11" s="1"/>
  <c r="D23" i="8"/>
  <c r="C15" i="8"/>
  <c r="G15" i="8" s="1"/>
  <c r="Z15" i="8" s="1"/>
  <c r="O177" i="4"/>
  <c r="T177" i="4" s="1"/>
  <c r="L178" i="4"/>
  <c r="J179" i="4"/>
  <c r="C14" i="8"/>
  <c r="G14" i="8" s="1"/>
  <c r="Z14" i="8" s="1"/>
  <c r="T43" i="6"/>
  <c r="R12" i="12"/>
  <c r="E16" i="17" s="1"/>
  <c r="N43" i="5"/>
  <c r="J14" i="8" s="1"/>
  <c r="P14" i="8" s="1"/>
  <c r="B10" i="11"/>
  <c r="P9" i="11" s="1"/>
  <c r="C10" i="17" s="1"/>
  <c r="U43" i="5"/>
  <c r="J19" i="8"/>
  <c r="P19" i="8" s="1"/>
  <c r="L177" i="4"/>
  <c r="L176" i="4"/>
  <c r="Q143" i="4"/>
  <c r="C13" i="8"/>
  <c r="J128" i="4"/>
  <c r="L86" i="4"/>
  <c r="U177" i="4"/>
  <c r="I19" i="8"/>
  <c r="G18" i="8"/>
  <c r="P13" i="11"/>
  <c r="C29" i="17" s="1"/>
  <c r="X12" i="11"/>
  <c r="W12" i="11"/>
  <c r="S128" i="4"/>
  <c r="U128" i="4"/>
  <c r="O128" i="4"/>
  <c r="T57" i="4"/>
  <c r="Q57" i="4"/>
  <c r="Q125" i="4"/>
  <c r="L57" i="4"/>
  <c r="T143" i="4"/>
  <c r="V142" i="4"/>
  <c r="V143" i="4" s="1"/>
  <c r="T125" i="4"/>
  <c r="N139" i="4"/>
  <c r="N145" i="4" s="1"/>
  <c r="Q137" i="4"/>
  <c r="V57" i="4"/>
  <c r="Q86" i="4"/>
  <c r="T137" i="4"/>
  <c r="V131" i="4"/>
  <c r="V137" i="4" s="1"/>
  <c r="V125" i="4"/>
  <c r="K139" i="4"/>
  <c r="K145" i="4" s="1"/>
  <c r="K161" i="4" s="1"/>
  <c r="T86" i="4"/>
  <c r="V59" i="4"/>
  <c r="V86" i="4" s="1"/>
  <c r="I139" i="4"/>
  <c r="I145" i="4" s="1"/>
  <c r="I161" i="4" s="1"/>
  <c r="P9" i="13" l="1"/>
  <c r="C11" i="17" s="1"/>
  <c r="B14" i="12"/>
  <c r="L11" i="11"/>
  <c r="Q17" i="11"/>
  <c r="R31" i="11" s="1"/>
  <c r="P33" i="5" s="1"/>
  <c r="P42" i="5" s="1"/>
  <c r="U42" i="5" s="1"/>
  <c r="D29" i="17"/>
  <c r="G21" i="8"/>
  <c r="Z18" i="8"/>
  <c r="Z21" i="8" s="1"/>
  <c r="R18" i="8"/>
  <c r="Z9" i="13"/>
  <c r="P17" i="13"/>
  <c r="P27" i="13" s="1"/>
  <c r="N29" i="7" s="1"/>
  <c r="D14" i="13"/>
  <c r="J10" i="13"/>
  <c r="F10" i="13"/>
  <c r="K10" i="13"/>
  <c r="Z13" i="11"/>
  <c r="X13" i="11" s="1"/>
  <c r="K29" i="17" s="1"/>
  <c r="L29" i="17" s="1"/>
  <c r="Q43" i="5"/>
  <c r="S43" i="5"/>
  <c r="V43" i="5" s="1"/>
  <c r="I167" i="4"/>
  <c r="D103" i="10" s="1"/>
  <c r="L179" i="4"/>
  <c r="M19" i="8"/>
  <c r="Y19" i="8" s="1"/>
  <c r="O19" i="8"/>
  <c r="S19" i="8" s="1"/>
  <c r="D14" i="12"/>
  <c r="J11" i="12"/>
  <c r="F11" i="12"/>
  <c r="K11" i="12"/>
  <c r="Z12" i="12"/>
  <c r="R17" i="12"/>
  <c r="P28" i="12" s="1"/>
  <c r="N31" i="6" s="1"/>
  <c r="B14" i="11"/>
  <c r="D10" i="11"/>
  <c r="F10" i="11" s="1"/>
  <c r="C16" i="8"/>
  <c r="C23" i="8" s="1"/>
  <c r="G13" i="8"/>
  <c r="Z9" i="11"/>
  <c r="P17" i="11"/>
  <c r="Q128" i="4"/>
  <c r="V128" i="4"/>
  <c r="I166" i="4"/>
  <c r="T128" i="4"/>
  <c r="L128" i="4"/>
  <c r="L139" i="4" s="1"/>
  <c r="L145" i="4" s="1"/>
  <c r="F250" i="2" s="1"/>
  <c r="F251" i="2" s="1"/>
  <c r="J139" i="4"/>
  <c r="J145" i="4" s="1"/>
  <c r="J161" i="4" s="1"/>
  <c r="I168" i="4"/>
  <c r="O139" i="4"/>
  <c r="O145" i="4" s="1"/>
  <c r="U139" i="4"/>
  <c r="U145" i="4" s="1"/>
  <c r="U161" i="4" s="1"/>
  <c r="S139" i="4"/>
  <c r="S145" i="4" s="1"/>
  <c r="S161" i="4" s="1"/>
  <c r="Q37" i="11" l="1"/>
  <c r="O33" i="5" s="1"/>
  <c r="O42" i="5" s="1"/>
  <c r="T42" i="5" s="1"/>
  <c r="J18" i="8"/>
  <c r="P18" i="8" s="1"/>
  <c r="D106" i="10"/>
  <c r="D63" i="10" s="1"/>
  <c r="U62" i="10" s="1"/>
  <c r="AJ62" i="10" s="1"/>
  <c r="G19" i="17" s="1"/>
  <c r="G21" i="17" s="1"/>
  <c r="D100" i="10"/>
  <c r="F100" i="10" s="1"/>
  <c r="F57" i="10" s="1"/>
  <c r="F103" i="10"/>
  <c r="F60" i="10" s="1"/>
  <c r="F61" i="10" s="1"/>
  <c r="D60" i="10"/>
  <c r="D61" i="10" s="1"/>
  <c r="G16" i="8"/>
  <c r="G23" i="8" s="1"/>
  <c r="Z13" i="8"/>
  <c r="Z16" i="8" s="1"/>
  <c r="Z23" i="8" s="1"/>
  <c r="W13" i="11"/>
  <c r="L10" i="13"/>
  <c r="L14" i="13" s="1"/>
  <c r="T10" i="13"/>
  <c r="G25" i="17" s="1"/>
  <c r="J14" i="13"/>
  <c r="W9" i="13"/>
  <c r="J11" i="17" s="1"/>
  <c r="L11" i="17" s="1"/>
  <c r="X9" i="13"/>
  <c r="U10" i="13"/>
  <c r="K14" i="13"/>
  <c r="H10" i="13"/>
  <c r="H14" i="13" s="1"/>
  <c r="F14" i="13"/>
  <c r="Q29" i="7"/>
  <c r="N41" i="7"/>
  <c r="L161" i="4"/>
  <c r="D104" i="10"/>
  <c r="S102" i="10" s="1"/>
  <c r="AA102" i="10" s="1"/>
  <c r="U13" i="12"/>
  <c r="K14" i="12"/>
  <c r="Q31" i="6"/>
  <c r="N43" i="6"/>
  <c r="K14" i="8" s="1"/>
  <c r="L11" i="12"/>
  <c r="L14" i="12" s="1"/>
  <c r="J14" i="12"/>
  <c r="T13" i="12"/>
  <c r="G30" i="17" s="1"/>
  <c r="G31" i="17" s="1"/>
  <c r="W12" i="12"/>
  <c r="J16" i="17" s="1"/>
  <c r="X12" i="12"/>
  <c r="H11" i="12"/>
  <c r="H14" i="12" s="1"/>
  <c r="F14" i="12"/>
  <c r="J10" i="11"/>
  <c r="D14" i="11"/>
  <c r="K10" i="11"/>
  <c r="K14" i="11" s="1"/>
  <c r="Q139" i="4"/>
  <c r="Q145" i="4" s="1"/>
  <c r="W9" i="11"/>
  <c r="J10" i="17" s="1"/>
  <c r="L10" i="17" s="1"/>
  <c r="X9" i="11"/>
  <c r="H10" i="11"/>
  <c r="H14" i="11" s="1"/>
  <c r="F14" i="11"/>
  <c r="T139" i="4"/>
  <c r="T145" i="4" s="1"/>
  <c r="T161" i="4" s="1"/>
  <c r="I169" i="4"/>
  <c r="V139" i="4"/>
  <c r="V145" i="4" s="1"/>
  <c r="V161" i="4" s="1"/>
  <c r="Q33" i="5" l="1"/>
  <c r="F106" i="10"/>
  <c r="F63" i="10" s="1"/>
  <c r="F65" i="10" s="1"/>
  <c r="P27" i="11"/>
  <c r="N30" i="5" s="1"/>
  <c r="N42" i="5" s="1"/>
  <c r="U105" i="10"/>
  <c r="AA105" i="10" s="1"/>
  <c r="U17" i="13"/>
  <c r="R33" i="13" s="1"/>
  <c r="Q39" i="13" s="1"/>
  <c r="O34" i="7" s="1"/>
  <c r="H25" i="17"/>
  <c r="J17" i="17"/>
  <c r="L16" i="17"/>
  <c r="U17" i="12"/>
  <c r="R33" i="12" s="1"/>
  <c r="P35" i="6" s="1"/>
  <c r="H30" i="17"/>
  <c r="H31" i="17" s="1"/>
  <c r="Q99" i="10"/>
  <c r="AA99" i="10" s="1"/>
  <c r="D57" i="10"/>
  <c r="Q56" i="10" s="1"/>
  <c r="AF56" i="10" s="1"/>
  <c r="S59" i="10"/>
  <c r="AH59" i="10" s="1"/>
  <c r="Q12" i="17"/>
  <c r="S12" i="17"/>
  <c r="C9" i="17"/>
  <c r="C12" i="17" s="1"/>
  <c r="C21" i="17" s="1"/>
  <c r="L103" i="10"/>
  <c r="L60" i="10" s="1"/>
  <c r="M103" i="10"/>
  <c r="H103" i="10"/>
  <c r="H60" i="10" s="1"/>
  <c r="F104" i="10"/>
  <c r="Z10" i="13"/>
  <c r="T17" i="13"/>
  <c r="L13" i="8"/>
  <c r="S41" i="7"/>
  <c r="Q41" i="7"/>
  <c r="Q14" i="8"/>
  <c r="L10" i="11"/>
  <c r="L14" i="11" s="1"/>
  <c r="J14" i="11"/>
  <c r="F273" i="2"/>
  <c r="F274" i="2" s="1"/>
  <c r="F275" i="2" s="1"/>
  <c r="F260" i="2"/>
  <c r="F261" i="2" s="1"/>
  <c r="S111" i="10"/>
  <c r="S117" i="10" s="1"/>
  <c r="D108" i="10"/>
  <c r="D111" i="10" s="1"/>
  <c r="I171" i="4"/>
  <c r="T10" i="11"/>
  <c r="Q43" i="6"/>
  <c r="S43" i="6"/>
  <c r="V43" i="6" s="1"/>
  <c r="Z13" i="12"/>
  <c r="T17" i="12"/>
  <c r="U10" i="11"/>
  <c r="L100" i="10"/>
  <c r="L57" i="10" s="1"/>
  <c r="M100" i="10"/>
  <c r="M57" i="10" s="1"/>
  <c r="V57" i="10" s="1"/>
  <c r="H100" i="10"/>
  <c r="Y105" i="10"/>
  <c r="Y62" i="10" s="1"/>
  <c r="X105" i="10"/>
  <c r="X102" i="10"/>
  <c r="X59" i="10" s="1"/>
  <c r="AM59" i="10" s="1"/>
  <c r="Y102" i="10"/>
  <c r="Y59" i="10" s="1"/>
  <c r="L106" i="10"/>
  <c r="L63" i="10" s="1"/>
  <c r="Q63" i="10" s="1"/>
  <c r="AF63" i="10" s="1"/>
  <c r="C33" i="17" s="1"/>
  <c r="M106" i="10"/>
  <c r="F108" i="10" l="1"/>
  <c r="P34" i="7"/>
  <c r="P43" i="7" s="1"/>
  <c r="J13" i="8"/>
  <c r="P13" i="8" s="1"/>
  <c r="Q42" i="5"/>
  <c r="Q30" i="5"/>
  <c r="H106" i="10"/>
  <c r="H63" i="10" s="1"/>
  <c r="Q39" i="12"/>
  <c r="O35" i="6" s="1"/>
  <c r="Q35" i="6" s="1"/>
  <c r="S42" i="5"/>
  <c r="V42" i="5" s="1"/>
  <c r="D65" i="10"/>
  <c r="T17" i="11"/>
  <c r="G24" i="17"/>
  <c r="U17" i="11"/>
  <c r="R33" i="11" s="1"/>
  <c r="Q39" i="11" s="1"/>
  <c r="O35" i="5" s="1"/>
  <c r="O44" i="5" s="1"/>
  <c r="T44" i="5" s="1"/>
  <c r="T45" i="5" s="1"/>
  <c r="H24" i="17"/>
  <c r="L104" i="10"/>
  <c r="Q103" i="10" s="1"/>
  <c r="AN59" i="10"/>
  <c r="K14" i="17" s="1"/>
  <c r="L61" i="10"/>
  <c r="Q60" i="10" s="1"/>
  <c r="AF60" i="10" s="1"/>
  <c r="AF68" i="10" s="1"/>
  <c r="C28" i="17"/>
  <c r="C31" i="17" s="1"/>
  <c r="C35" i="17" s="1"/>
  <c r="C37" i="17" s="1"/>
  <c r="C53" i="17" s="1"/>
  <c r="Y12" i="17"/>
  <c r="V68" i="10"/>
  <c r="AK57" i="10"/>
  <c r="H61" i="10"/>
  <c r="U12" i="17"/>
  <c r="S22" i="17"/>
  <c r="S23" i="17" s="1"/>
  <c r="S13" i="17"/>
  <c r="Q22" i="17"/>
  <c r="Q23" i="17" s="1"/>
  <c r="Q13" i="17"/>
  <c r="N103" i="10"/>
  <c r="N104" i="10" s="1"/>
  <c r="E14" i="17"/>
  <c r="E17" i="17" s="1"/>
  <c r="E21" i="17" s="1"/>
  <c r="E37" i="17" s="1"/>
  <c r="E53" i="17" s="1"/>
  <c r="AH68" i="10"/>
  <c r="H104" i="10"/>
  <c r="H108" i="10" s="1"/>
  <c r="J103" i="10"/>
  <c r="J106" i="10"/>
  <c r="J63" i="10" s="1"/>
  <c r="R106" i="10"/>
  <c r="M63" i="10"/>
  <c r="R63" i="10" s="1"/>
  <c r="AG63" i="10" s="1"/>
  <c r="D33" i="17" s="1"/>
  <c r="M104" i="10"/>
  <c r="R103" i="10" s="1"/>
  <c r="M60" i="10"/>
  <c r="M61" i="10" s="1"/>
  <c r="J100" i="10"/>
  <c r="J57" i="10" s="1"/>
  <c r="H57" i="10"/>
  <c r="U57" i="10"/>
  <c r="N154" i="4"/>
  <c r="N177" i="4" s="1"/>
  <c r="S177" i="4" s="1"/>
  <c r="V177" i="4" s="1"/>
  <c r="R13" i="8"/>
  <c r="O43" i="7"/>
  <c r="Q34" i="7"/>
  <c r="O35" i="7"/>
  <c r="V41" i="7"/>
  <c r="P35" i="7"/>
  <c r="P29" i="13"/>
  <c r="N31" i="7" s="1"/>
  <c r="W10" i="13"/>
  <c r="X10" i="13"/>
  <c r="X17" i="13" s="1"/>
  <c r="F111" i="10"/>
  <c r="F68" i="10"/>
  <c r="Z10" i="11"/>
  <c r="X10" i="11" s="1"/>
  <c r="X17" i="11" s="1"/>
  <c r="X13" i="12"/>
  <c r="X17" i="12" s="1"/>
  <c r="W13" i="12"/>
  <c r="O44" i="6"/>
  <c r="O36" i="6"/>
  <c r="P29" i="12"/>
  <c r="N32" i="6" s="1"/>
  <c r="P44" i="6"/>
  <c r="K20" i="8" s="1"/>
  <c r="P36" i="6"/>
  <c r="U100" i="10"/>
  <c r="N100" i="10"/>
  <c r="N57" i="10" s="1"/>
  <c r="V100" i="10"/>
  <c r="V111" i="10" s="1"/>
  <c r="Q106" i="10"/>
  <c r="N106" i="10"/>
  <c r="N63" i="10" s="1"/>
  <c r="X99" i="10"/>
  <c r="X56" i="10" s="1"/>
  <c r="AM56" i="10" s="1"/>
  <c r="Y99" i="10"/>
  <c r="Y56" i="10" s="1"/>
  <c r="AN56" i="10" s="1"/>
  <c r="P35" i="5" l="1"/>
  <c r="P44" i="5" s="1"/>
  <c r="J20" i="8" s="1"/>
  <c r="J21" i="8" s="1"/>
  <c r="L65" i="10"/>
  <c r="AA103" i="10"/>
  <c r="X103" i="10" s="1"/>
  <c r="X60" i="10" s="1"/>
  <c r="AM60" i="10" s="1"/>
  <c r="L108" i="10"/>
  <c r="L111" i="10" s="1"/>
  <c r="W17" i="13"/>
  <c r="X19" i="13" s="1"/>
  <c r="J25" i="17"/>
  <c r="L25" i="17" s="1"/>
  <c r="W17" i="12"/>
  <c r="X19" i="12" s="1"/>
  <c r="J30" i="17"/>
  <c r="P29" i="11"/>
  <c r="N32" i="5" s="1"/>
  <c r="N44" i="5" s="1"/>
  <c r="J15" i="8" s="1"/>
  <c r="P15" i="8" s="1"/>
  <c r="P16" i="8" s="1"/>
  <c r="O36" i="5"/>
  <c r="O45" i="5"/>
  <c r="AN62" i="10"/>
  <c r="K19" i="17" s="1"/>
  <c r="L19" i="17" s="1"/>
  <c r="L14" i="17"/>
  <c r="L17" i="17" s="1"/>
  <c r="K17" i="17"/>
  <c r="N60" i="10"/>
  <c r="AA12" i="17" s="1"/>
  <c r="U68" i="10"/>
  <c r="AJ57" i="10"/>
  <c r="Y22" i="17"/>
  <c r="Y23" i="17" s="1"/>
  <c r="Y13" i="17"/>
  <c r="J9" i="17"/>
  <c r="U22" i="17"/>
  <c r="U23" i="17" s="1"/>
  <c r="U13" i="17"/>
  <c r="H23" i="17"/>
  <c r="H26" i="17" s="1"/>
  <c r="H35" i="17" s="1"/>
  <c r="H37" i="17" s="1"/>
  <c r="H53" i="17" s="1"/>
  <c r="AK68" i="10"/>
  <c r="R60" i="10"/>
  <c r="AG60" i="10" s="1"/>
  <c r="AG68" i="10" s="1"/>
  <c r="D28" i="17"/>
  <c r="D31" i="17" s="1"/>
  <c r="D35" i="17" s="1"/>
  <c r="D37" i="17" s="1"/>
  <c r="D53" i="17" s="1"/>
  <c r="Z12" i="17"/>
  <c r="Y103" i="10"/>
  <c r="R111" i="10"/>
  <c r="P156" i="4" s="1"/>
  <c r="P176" i="4" s="1"/>
  <c r="M108" i="10"/>
  <c r="M111" i="10" s="1"/>
  <c r="Q177" i="4"/>
  <c r="I14" i="8"/>
  <c r="M14" i="8" s="1"/>
  <c r="Y14" i="8" s="1"/>
  <c r="Q154" i="4"/>
  <c r="AA106" i="10"/>
  <c r="Y106" i="10" s="1"/>
  <c r="Y63" i="10" s="1"/>
  <c r="AN63" i="10" s="1"/>
  <c r="K33" i="17" s="1"/>
  <c r="L33" i="17" s="1"/>
  <c r="H65" i="10"/>
  <c r="H68" i="10" s="1"/>
  <c r="J104" i="10"/>
  <c r="J108" i="10" s="1"/>
  <c r="J111" i="10" s="1"/>
  <c r="J60" i="10"/>
  <c r="J61" i="10" s="1"/>
  <c r="M65" i="10"/>
  <c r="D68" i="10"/>
  <c r="T43" i="7"/>
  <c r="T44" i="7" s="1"/>
  <c r="O44" i="7"/>
  <c r="Q31" i="7"/>
  <c r="Q35" i="7" s="1"/>
  <c r="N43" i="7"/>
  <c r="N35" i="7"/>
  <c r="U43" i="7"/>
  <c r="U44" i="7" s="1"/>
  <c r="L20" i="8"/>
  <c r="P44" i="7"/>
  <c r="Q20" i="8"/>
  <c r="Q21" i="8" s="1"/>
  <c r="K21" i="8"/>
  <c r="W10" i="11"/>
  <c r="S68" i="10"/>
  <c r="H111" i="10"/>
  <c r="N108" i="10"/>
  <c r="Q32" i="6"/>
  <c r="Q36" i="6" s="1"/>
  <c r="N44" i="6"/>
  <c r="K15" i="8" s="1"/>
  <c r="N36" i="6"/>
  <c r="T44" i="6"/>
  <c r="T45" i="6" s="1"/>
  <c r="O45" i="6"/>
  <c r="U44" i="6"/>
  <c r="U45" i="6" s="1"/>
  <c r="P45" i="6"/>
  <c r="V117" i="10"/>
  <c r="P158" i="4"/>
  <c r="P178" i="4" s="1"/>
  <c r="AA100" i="10"/>
  <c r="U111" i="10"/>
  <c r="Q111" i="10"/>
  <c r="U44" i="5"/>
  <c r="U45" i="5" s="1"/>
  <c r="P45" i="5"/>
  <c r="P20" i="8" l="1"/>
  <c r="P21" i="8" s="1"/>
  <c r="P23" i="8" s="1"/>
  <c r="P36" i="5"/>
  <c r="N45" i="5"/>
  <c r="Q35" i="5"/>
  <c r="K21" i="17"/>
  <c r="N36" i="5"/>
  <c r="Q32" i="5"/>
  <c r="S44" i="5"/>
  <c r="S45" i="5" s="1"/>
  <c r="Q44" i="5"/>
  <c r="Q45" i="5" s="1"/>
  <c r="J16" i="8"/>
  <c r="J23" i="8" s="1"/>
  <c r="L30" i="17"/>
  <c r="J31" i="17"/>
  <c r="W17" i="11"/>
  <c r="X19" i="11" s="1"/>
  <c r="J24" i="17"/>
  <c r="L24" i="17" s="1"/>
  <c r="K28" i="17"/>
  <c r="K31" i="17" s="1"/>
  <c r="K35" i="17" s="1"/>
  <c r="N61" i="10"/>
  <c r="N65" i="10" s="1"/>
  <c r="N68" i="10" s="1"/>
  <c r="X106" i="10"/>
  <c r="R117" i="10"/>
  <c r="O156" i="4" s="1"/>
  <c r="O176" i="4" s="1"/>
  <c r="T176" i="4" s="1"/>
  <c r="Y60" i="10"/>
  <c r="AN60" i="10" s="1"/>
  <c r="L9" i="17"/>
  <c r="L12" i="17" s="1"/>
  <c r="L21" i="17" s="1"/>
  <c r="J12" i="17"/>
  <c r="J21" i="17" s="1"/>
  <c r="J65" i="10"/>
  <c r="J68" i="10" s="1"/>
  <c r="W12" i="17"/>
  <c r="AA22" i="17"/>
  <c r="AA23" i="17" s="1"/>
  <c r="AA13" i="17"/>
  <c r="G23" i="17"/>
  <c r="G26" i="17" s="1"/>
  <c r="G35" i="17" s="1"/>
  <c r="G37" i="17" s="1"/>
  <c r="G53" i="17" s="1"/>
  <c r="AJ68" i="10"/>
  <c r="Z22" i="17"/>
  <c r="Z23" i="17" s="1"/>
  <c r="Z13" i="17"/>
  <c r="O14" i="8"/>
  <c r="S14" i="8" s="1"/>
  <c r="O158" i="4"/>
  <c r="S43" i="7"/>
  <c r="L15" i="8"/>
  <c r="Q43" i="7"/>
  <c r="Q44" i="7" s="1"/>
  <c r="N44" i="7"/>
  <c r="R20" i="8"/>
  <c r="R21" i="8" s="1"/>
  <c r="L21" i="8"/>
  <c r="Q15" i="8"/>
  <c r="Q16" i="8" s="1"/>
  <c r="Q23" i="8" s="1"/>
  <c r="K16" i="8"/>
  <c r="K23" i="8" s="1"/>
  <c r="N111" i="10"/>
  <c r="R68" i="10"/>
  <c r="M68" i="10"/>
  <c r="L68" i="10"/>
  <c r="U117" i="10"/>
  <c r="N45" i="6"/>
  <c r="Q44" i="6"/>
  <c r="Q45" i="6" s="1"/>
  <c r="S44" i="6"/>
  <c r="V44" i="6" s="1"/>
  <c r="P159" i="4"/>
  <c r="I20" i="8"/>
  <c r="U178" i="4"/>
  <c r="X100" i="10"/>
  <c r="Y100" i="10"/>
  <c r="I18" i="8"/>
  <c r="O18" i="8" s="1"/>
  <c r="U176" i="4"/>
  <c r="P179" i="4"/>
  <c r="K37" i="17" l="1"/>
  <c r="K53" i="17" s="1"/>
  <c r="Q36" i="5"/>
  <c r="L28" i="17"/>
  <c r="L31" i="17" s="1"/>
  <c r="V44" i="5"/>
  <c r="V45" i="5" s="1"/>
  <c r="O159" i="4"/>
  <c r="Q156" i="4"/>
  <c r="Q117" i="10"/>
  <c r="N153" i="4" s="1"/>
  <c r="N176" i="4" s="1"/>
  <c r="S176" i="4" s="1"/>
  <c r="Q158" i="4"/>
  <c r="W22" i="17"/>
  <c r="W23" i="17" s="1"/>
  <c r="W13" i="17"/>
  <c r="X111" i="10"/>
  <c r="X57" i="10"/>
  <c r="Y111" i="10"/>
  <c r="Y57" i="10"/>
  <c r="AN57" i="10" s="1"/>
  <c r="AN68" i="10" s="1"/>
  <c r="O178" i="4"/>
  <c r="T178" i="4" s="1"/>
  <c r="T179" i="4" s="1"/>
  <c r="N155" i="4"/>
  <c r="N178" i="4" s="1"/>
  <c r="R15" i="8"/>
  <c r="R16" i="8" s="1"/>
  <c r="R23" i="8" s="1"/>
  <c r="L16" i="8"/>
  <c r="L23" i="8" s="1"/>
  <c r="V43" i="7"/>
  <c r="V44" i="7" s="1"/>
  <c r="S44" i="7"/>
  <c r="Q68" i="10"/>
  <c r="S18" i="8"/>
  <c r="M20" i="8"/>
  <c r="Y20" i="8" s="1"/>
  <c r="O20" i="8"/>
  <c r="S20" i="8" s="1"/>
  <c r="U179" i="4"/>
  <c r="V45" i="6"/>
  <c r="S45" i="6"/>
  <c r="I21" i="8"/>
  <c r="M18" i="8"/>
  <c r="Y18" i="8" s="1"/>
  <c r="N179" i="4" l="1"/>
  <c r="Q153" i="4"/>
  <c r="Y68" i="10"/>
  <c r="I13" i="8"/>
  <c r="O13" i="8" s="1"/>
  <c r="S13" i="8" s="1"/>
  <c r="Q176" i="4"/>
  <c r="Y113" i="10"/>
  <c r="X68" i="10"/>
  <c r="Y70" i="10" s="1"/>
  <c r="AA70" i="10" s="1"/>
  <c r="AM57" i="10"/>
  <c r="O179" i="4"/>
  <c r="Y21" i="8"/>
  <c r="S178" i="4"/>
  <c r="V178" i="4" s="1"/>
  <c r="Q155" i="4"/>
  <c r="Q159" i="4" s="1"/>
  <c r="I15" i="8"/>
  <c r="M15" i="8" s="1"/>
  <c r="Y15" i="8" s="1"/>
  <c r="Q178" i="4"/>
  <c r="N159" i="4"/>
  <c r="M21" i="8"/>
  <c r="O21" i="8"/>
  <c r="S21" i="8"/>
  <c r="V176" i="4"/>
  <c r="M13" i="8" l="1"/>
  <c r="Y13" i="8" s="1"/>
  <c r="Q179" i="4"/>
  <c r="S179" i="4"/>
  <c r="J23" i="17"/>
  <c r="AM68" i="10"/>
  <c r="AN70" i="10" s="1"/>
  <c r="Y16" i="8"/>
  <c r="Y23" i="8" s="1"/>
  <c r="V179" i="4"/>
  <c r="I16" i="8"/>
  <c r="I23" i="8" s="1"/>
  <c r="O15" i="8"/>
  <c r="S15" i="8" s="1"/>
  <c r="S16" i="8" s="1"/>
  <c r="S23" i="8" s="1"/>
  <c r="M16" i="8"/>
  <c r="M23" i="8" s="1"/>
  <c r="M26" i="8" s="1"/>
  <c r="L23" i="17" l="1"/>
  <c r="L26" i="17" s="1"/>
  <c r="L35" i="17" s="1"/>
  <c r="L37" i="17" s="1"/>
  <c r="L53" i="17" s="1"/>
  <c r="S25" i="8" s="1"/>
  <c r="S26" i="8" s="1"/>
  <c r="J26" i="17"/>
  <c r="J35" i="17" s="1"/>
  <c r="J37" i="17" s="1"/>
  <c r="J53" i="17" s="1"/>
  <c r="O16" i="8"/>
  <c r="O23" i="8" s="1"/>
</calcChain>
</file>

<file path=xl/comments1.xml><?xml version="1.0" encoding="utf-8"?>
<comments xmlns="http://schemas.openxmlformats.org/spreadsheetml/2006/main">
  <authors>
    <author>Author</author>
  </authors>
  <commentList>
    <comment ref="G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Sched M excluding $4,567,546 capitzalized tax costs to be included in tax depreciation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Capitzalized tax costs to be included in tax depreciation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4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Total Sched M excluding $4,567,546 capitzalized tax costs to be included in tax depreciation</t>
        </r>
      </text>
    </comment>
    <comment ref="G4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Capitzalized tax costs to be included in tax depreciation</t>
        </r>
      </text>
    </comment>
  </commentList>
</comments>
</file>

<file path=xl/sharedStrings.xml><?xml version="1.0" encoding="utf-8"?>
<sst xmlns="http://schemas.openxmlformats.org/spreadsheetml/2006/main" count="3444" uniqueCount="728">
  <si>
    <t>NextEra Energy</t>
  </si>
  <si>
    <t/>
  </si>
  <si>
    <t>Code</t>
  </si>
  <si>
    <t>ABN101</t>
  </si>
  <si>
    <t>ABN102</t>
  </si>
  <si>
    <t>AFD101</t>
  </si>
  <si>
    <t>AMO102</t>
  </si>
  <si>
    <t>AMO104</t>
  </si>
  <si>
    <t>AMO108</t>
  </si>
  <si>
    <t>AMO111</t>
  </si>
  <si>
    <t>AMO112</t>
  </si>
  <si>
    <t>AMO201</t>
  </si>
  <si>
    <t>AMO202</t>
  </si>
  <si>
    <t>AMO301</t>
  </si>
  <si>
    <t>AMO303</t>
  </si>
  <si>
    <t>AMO304</t>
  </si>
  <si>
    <t>AMO305</t>
  </si>
  <si>
    <t>AMO308</t>
  </si>
  <si>
    <t>AMO309</t>
  </si>
  <si>
    <t>AMO310</t>
  </si>
  <si>
    <t>AMO311</t>
  </si>
  <si>
    <t>AMO312</t>
  </si>
  <si>
    <t>AMO314</t>
  </si>
  <si>
    <t>AMO315</t>
  </si>
  <si>
    <t>AMO316</t>
  </si>
  <si>
    <t>AMO317</t>
  </si>
  <si>
    <t>AMO318</t>
  </si>
  <si>
    <t>AMO319</t>
  </si>
  <si>
    <t>AMO320</t>
  </si>
  <si>
    <t>AMO321</t>
  </si>
  <si>
    <t>AMO322</t>
  </si>
  <si>
    <t>AMO323</t>
  </si>
  <si>
    <t>AMO601</t>
  </si>
  <si>
    <t>BAD101</t>
  </si>
  <si>
    <t>BAD201</t>
  </si>
  <si>
    <t>CAC101</t>
  </si>
  <si>
    <t>CAC102</t>
  </si>
  <si>
    <t>CAC107</t>
  </si>
  <si>
    <t>CAP202</t>
  </si>
  <si>
    <t>CAP301</t>
  </si>
  <si>
    <t>DBT101</t>
  </si>
  <si>
    <t>DBT102</t>
  </si>
  <si>
    <t>DCM101</t>
  </si>
  <si>
    <t>DCM201</t>
  </si>
  <si>
    <t>DCM301</t>
  </si>
  <si>
    <t>DEP101</t>
  </si>
  <si>
    <t>DEP102</t>
  </si>
  <si>
    <t>DEP103</t>
  </si>
  <si>
    <t>DEP106</t>
  </si>
  <si>
    <t>DEP107</t>
  </si>
  <si>
    <t>DEP110</t>
  </si>
  <si>
    <t>DEP111</t>
  </si>
  <si>
    <t>DEP115</t>
  </si>
  <si>
    <t>DEP121</t>
  </si>
  <si>
    <t>DEP122</t>
  </si>
  <si>
    <t>DEP123</t>
  </si>
  <si>
    <t>DEP130</t>
  </si>
  <si>
    <t>DEP131</t>
  </si>
  <si>
    <t>DEP132</t>
  </si>
  <si>
    <t>DEP137</t>
  </si>
  <si>
    <t>DEP201</t>
  </si>
  <si>
    <t>DEP202</t>
  </si>
  <si>
    <t>DEP204</t>
  </si>
  <si>
    <t>DEP206</t>
  </si>
  <si>
    <t>DEP207</t>
  </si>
  <si>
    <t>DEP208</t>
  </si>
  <si>
    <t>DEP209</t>
  </si>
  <si>
    <t>DEP210</t>
  </si>
  <si>
    <t>DEP211</t>
  </si>
  <si>
    <t>DEP212</t>
  </si>
  <si>
    <t>DEP213</t>
  </si>
  <si>
    <t>DEP214</t>
  </si>
  <si>
    <t>DEP216</t>
  </si>
  <si>
    <t>DEP303</t>
  </si>
  <si>
    <t>ECA101</t>
  </si>
  <si>
    <t>EMP102</t>
  </si>
  <si>
    <t>EMP103</t>
  </si>
  <si>
    <t>EMP201</t>
  </si>
  <si>
    <t>EMP202</t>
  </si>
  <si>
    <t>EMP802</t>
  </si>
  <si>
    <t>EMP803</t>
  </si>
  <si>
    <t>EMP806</t>
  </si>
  <si>
    <t>EMP807</t>
  </si>
  <si>
    <t>EMP810</t>
  </si>
  <si>
    <t>EMP901</t>
  </si>
  <si>
    <t>EMP903</t>
  </si>
  <si>
    <t>EMP907</t>
  </si>
  <si>
    <t>EMP917</t>
  </si>
  <si>
    <t>FIN401</t>
  </si>
  <si>
    <t>FIN402</t>
  </si>
  <si>
    <t>FIN403</t>
  </si>
  <si>
    <t>FIN404</t>
  </si>
  <si>
    <t>FIN405</t>
  </si>
  <si>
    <t>FIN406</t>
  </si>
  <si>
    <t>FUL102</t>
  </si>
  <si>
    <t>FUL103</t>
  </si>
  <si>
    <t>FUL105</t>
  </si>
  <si>
    <t>FUL106</t>
  </si>
  <si>
    <t>FUL107</t>
  </si>
  <si>
    <t>FUL108</t>
  </si>
  <si>
    <t>FUL109</t>
  </si>
  <si>
    <t>FUL301</t>
  </si>
  <si>
    <t>FUL302</t>
  </si>
  <si>
    <t>INC601</t>
  </si>
  <si>
    <t>INC602</t>
  </si>
  <si>
    <t>INC605</t>
  </si>
  <si>
    <t>INC608</t>
  </si>
  <si>
    <t>INC609</t>
  </si>
  <si>
    <t>INC610</t>
  </si>
  <si>
    <t>INJ101</t>
  </si>
  <si>
    <t>INT101</t>
  </si>
  <si>
    <t>ITC101</t>
  </si>
  <si>
    <t>ITC102</t>
  </si>
  <si>
    <t>ITC103</t>
  </si>
  <si>
    <t>ITC104</t>
  </si>
  <si>
    <t>ITC105</t>
  </si>
  <si>
    <t>ITC106</t>
  </si>
  <si>
    <t>MEL103</t>
  </si>
  <si>
    <t>MIX101</t>
  </si>
  <si>
    <t>MTAX01</t>
  </si>
  <si>
    <t>NOL_FED_2012</t>
  </si>
  <si>
    <t>NOL_FED_2012_C</t>
  </si>
  <si>
    <t>NUC103</t>
  </si>
  <si>
    <t>NUC106</t>
  </si>
  <si>
    <t>NUC107</t>
  </si>
  <si>
    <t>PPD101</t>
  </si>
  <si>
    <t>PPD201</t>
  </si>
  <si>
    <t>PPD202</t>
  </si>
  <si>
    <t>PPD203</t>
  </si>
  <si>
    <t>PRP102</t>
  </si>
  <si>
    <t>PSP101</t>
  </si>
  <si>
    <t>PSP108</t>
  </si>
  <si>
    <t>REM101</t>
  </si>
  <si>
    <t>REP201</t>
  </si>
  <si>
    <t>REP301</t>
  </si>
  <si>
    <t>REP302</t>
  </si>
  <si>
    <t>REP501</t>
  </si>
  <si>
    <t>REP502</t>
  </si>
  <si>
    <t>REP503</t>
  </si>
  <si>
    <t>RES106</t>
  </si>
  <si>
    <t>RES107</t>
  </si>
  <si>
    <t>RES109</t>
  </si>
  <si>
    <t>RES113</t>
  </si>
  <si>
    <t>RES114</t>
  </si>
  <si>
    <t>RES122</t>
  </si>
  <si>
    <t>RES126</t>
  </si>
  <si>
    <t>RES128</t>
  </si>
  <si>
    <t>RES131</t>
  </si>
  <si>
    <t>RES132</t>
  </si>
  <si>
    <t>RES135</t>
  </si>
  <si>
    <t>RES136</t>
  </si>
  <si>
    <t>RES137</t>
  </si>
  <si>
    <t>RES138</t>
  </si>
  <si>
    <t>RES139</t>
  </si>
  <si>
    <t>RES141</t>
  </si>
  <si>
    <t>RES301</t>
  </si>
  <si>
    <t>RES401</t>
  </si>
  <si>
    <t>RES601</t>
  </si>
  <si>
    <t>RES801</t>
  </si>
  <si>
    <t>RES901</t>
  </si>
  <si>
    <t>REV103</t>
  </si>
  <si>
    <t>REV105</t>
  </si>
  <si>
    <t>RSH101</t>
  </si>
  <si>
    <t>RSH102</t>
  </si>
  <si>
    <t>RSH104</t>
  </si>
  <si>
    <t>RSH105</t>
  </si>
  <si>
    <t>SAL101</t>
  </si>
  <si>
    <t>SAL203</t>
  </si>
  <si>
    <t>SAL301</t>
  </si>
  <si>
    <t>SAL601</t>
  </si>
  <si>
    <t>SAL602</t>
  </si>
  <si>
    <t>SJR101</t>
  </si>
  <si>
    <t>SJR102</t>
  </si>
  <si>
    <t>STM201</t>
  </si>
  <si>
    <t>STM307</t>
  </si>
  <si>
    <t>STM308</t>
  </si>
  <si>
    <t>STM401</t>
  </si>
  <si>
    <t>STM402</t>
  </si>
  <si>
    <t>STM406</t>
  </si>
  <si>
    <t>STM407</t>
  </si>
  <si>
    <t>STM408</t>
  </si>
  <si>
    <t>STM409</t>
  </si>
  <si>
    <t>STM410</t>
  </si>
  <si>
    <t>STM411</t>
  </si>
  <si>
    <t>STM412</t>
  </si>
  <si>
    <t>STM413</t>
  </si>
  <si>
    <t>UBR102</t>
  </si>
  <si>
    <t>Total</t>
  </si>
  <si>
    <t>Name</t>
  </si>
  <si>
    <t>Abandonment of Glades County Coal Plant</t>
  </si>
  <si>
    <t>Abandonment Losses</t>
  </si>
  <si>
    <t>AFUDC Debt</t>
  </si>
  <si>
    <t>Amortization of Intangibles</t>
  </si>
  <si>
    <t>Debt Premium Amortization</t>
  </si>
  <si>
    <t>Nuclear Amortization - Reg Credit</t>
  </si>
  <si>
    <t>Deferred Gain-Aviation</t>
  </si>
  <si>
    <t>Deferred Gain - Coal Cars</t>
  </si>
  <si>
    <t>Tx Refund Int Below</t>
  </si>
  <si>
    <t>Int Tx Deficiency Above</t>
  </si>
  <si>
    <t>Gain Disp Prop Abv</t>
  </si>
  <si>
    <t>Loss Disp Prop Abv</t>
  </si>
  <si>
    <t>Reg Asset - Surplus Flowback</t>
  </si>
  <si>
    <t>Involuntary Conversion</t>
  </si>
  <si>
    <t>Regulatory Asset - Coal Cars</t>
  </si>
  <si>
    <t>Reg Asset - FAS90 Current</t>
  </si>
  <si>
    <t>Reg Asset - FAS90 L/T</t>
  </si>
  <si>
    <t>Reg Asset - Dism Resv - Surplus Flowback</t>
  </si>
  <si>
    <t>Reg Liab SWAPC - ECCR</t>
  </si>
  <si>
    <t>Reg Asset - CB PPA Loss - L/T</t>
  </si>
  <si>
    <t>Reg Asset - CB Tax GU - L/T</t>
  </si>
  <si>
    <t>Reg Liab - CB Bk/Tx Diff - L/T</t>
  </si>
  <si>
    <t>Reg Asset - CB PPA Loss - Current</t>
  </si>
  <si>
    <t>Reg Asset - CB Tax GU - Current</t>
  </si>
  <si>
    <t>Reg Liab - CB Bk/Tx Diff - Current</t>
  </si>
  <si>
    <t>Reg Asset - PTN Cooling Canals</t>
  </si>
  <si>
    <t>Reg Asset - ICL - PPA Loss</t>
  </si>
  <si>
    <t>Reg Asset - Environmental Remediation</t>
  </si>
  <si>
    <t>Reg Asset - Surplus Flowback - 2016 RC</t>
  </si>
  <si>
    <t>Silicone Amortization</t>
  </si>
  <si>
    <t>Bad Debt Expense</t>
  </si>
  <si>
    <t>Mark to Market</t>
  </si>
  <si>
    <t>Method Life CIAC</t>
  </si>
  <si>
    <t>Primeco CIAC Below</t>
  </si>
  <si>
    <t>CIAC Claim-Current-IRS Adj</t>
  </si>
  <si>
    <t>Nustart Energy</t>
  </si>
  <si>
    <t>Rate Case Expenses</t>
  </si>
  <si>
    <t>Loss on Reacq Debt</t>
  </si>
  <si>
    <t>Gain on Reacq Debt</t>
  </si>
  <si>
    <t>Decommissioning Accrual</t>
  </si>
  <si>
    <t>Decommissioning Below</t>
  </si>
  <si>
    <t>Nuclear D and D</t>
  </si>
  <si>
    <t>Tax Depreciation</t>
  </si>
  <si>
    <t>Fossil Dismantlement</t>
  </si>
  <si>
    <t>Reversal of Book Depreciation</t>
  </si>
  <si>
    <t>Reclass Book Depr to AFUDC Depr</t>
  </si>
  <si>
    <t>Def ITC Interest Synch</t>
  </si>
  <si>
    <t>Depreciation 91 Vintage</t>
  </si>
  <si>
    <t>Distribution Plant Depreciation</t>
  </si>
  <si>
    <t>Enersys-Tax Book Depr</t>
  </si>
  <si>
    <t>CITC Deferred Revenue</t>
  </si>
  <si>
    <t>Tax Audit - Repairs 92</t>
  </si>
  <si>
    <t>Tax Audit - LRIC</t>
  </si>
  <si>
    <t>Bonus Depreciation</t>
  </si>
  <si>
    <t>FAS90 Depr Reclass</t>
  </si>
  <si>
    <t>CITC Book Depr Reclass</t>
  </si>
  <si>
    <t>Solar ITC Book Depr Reclass</t>
  </si>
  <si>
    <t>ARO Accretion</t>
  </si>
  <si>
    <t>ARO Asset</t>
  </si>
  <si>
    <t>Asbestos Removal - Depn</t>
  </si>
  <si>
    <t>Nuc Repairs Depr-Current-IRS Adj</t>
  </si>
  <si>
    <t>Nuc Repairs Depr-L/T-IRS Adj</t>
  </si>
  <si>
    <t>Fossil Repairs Depr-Current-IRS Adj</t>
  </si>
  <si>
    <t>Fossil Repairs Depr-L/T-IRS Adj</t>
  </si>
  <si>
    <t>T&amp;D Repairs Depr-current-IRS Adj</t>
  </si>
  <si>
    <t>T&amp;D Repairs Depr-L/T-IRS Adj</t>
  </si>
  <si>
    <t>Storm Casualty Depr-Current-IRS Adj</t>
  </si>
  <si>
    <t>Transition Prop Depr-Current-IRS Adj</t>
  </si>
  <si>
    <t>Transition Prop Depr-L/T-IRS Adj</t>
  </si>
  <si>
    <t>Comp Soft Depr - IRS Adj</t>
  </si>
  <si>
    <t>Orimulsion</t>
  </si>
  <si>
    <t>Early Capacity Payments</t>
  </si>
  <si>
    <t>Pension SFAS 87</t>
  </si>
  <si>
    <t>Non Ded Medic Contr</t>
  </si>
  <si>
    <t>Employee Bonus Accrual</t>
  </si>
  <si>
    <t>Accrued FICA Taxes</t>
  </si>
  <si>
    <t>Post Retirement SFAS 112 - NC</t>
  </si>
  <si>
    <t>Welfare Capitalized</t>
  </si>
  <si>
    <t>Post Retirement Benefits - FAS106 Current</t>
  </si>
  <si>
    <t>Post Retirement Benefits - FAS106 NC</t>
  </si>
  <si>
    <t>Medicare Part D Subsidy</t>
  </si>
  <si>
    <t>Def Compensation</t>
  </si>
  <si>
    <t>SERP Current Portion</t>
  </si>
  <si>
    <t>SERP Fund Activity and Thrift, BOD Pension</t>
  </si>
  <si>
    <t>Deferred Severance - Current</t>
  </si>
  <si>
    <t>FIN 48 Interest Payable</t>
  </si>
  <si>
    <t>FIN 48 Interest Receivable</t>
  </si>
  <si>
    <t>FIN48 Interest Payable-State</t>
  </si>
  <si>
    <t>FIN48 Interest Receivable-State</t>
  </si>
  <si>
    <t>Int Accrued St Current - FIN48</t>
  </si>
  <si>
    <t>Int Receivable Current - FIN48</t>
  </si>
  <si>
    <t>Def Fuel Cost FERC</t>
  </si>
  <si>
    <t>Def Fuel Cost FPSC - Current</t>
  </si>
  <si>
    <t>Def CCR Costs</t>
  </si>
  <si>
    <t>Def Fuel Cost FPSC L/T</t>
  </si>
  <si>
    <t>Def CCR Revenue</t>
  </si>
  <si>
    <t>Def ECCR Costs</t>
  </si>
  <si>
    <t>EPU Asset Retirements</t>
  </si>
  <si>
    <t>Def Franchise Fee Rev</t>
  </si>
  <si>
    <t>Franchise Fee Costs</t>
  </si>
  <si>
    <t>Deferred Income</t>
  </si>
  <si>
    <t>Premium Lighting Prog Rev</t>
  </si>
  <si>
    <t>Deferred Income - NC</t>
  </si>
  <si>
    <t>Accrued Revenues - GPIF</t>
  </si>
  <si>
    <t>Accrued Revenues - Asset Optimization</t>
  </si>
  <si>
    <t xml:space="preserve">Reg Liab - Deferred Fuel Settlement </t>
  </si>
  <si>
    <t>Injuries and Damages</t>
  </si>
  <si>
    <t>Method Life CPI</t>
  </si>
  <si>
    <t>Conv ITC Amort &amp; GU</t>
  </si>
  <si>
    <t>Conv ITC Depr Loss</t>
  </si>
  <si>
    <t>Space Coast ITC GU</t>
  </si>
  <si>
    <t>Space Coast ITC Depr Loss</t>
  </si>
  <si>
    <t>Martin Solar ITC G/U</t>
  </si>
  <si>
    <t>Martin ITC Depr Loss</t>
  </si>
  <si>
    <t>Capitalized Business Meals</t>
  </si>
  <si>
    <t>Mixed Service Costs</t>
  </si>
  <si>
    <t>Nuclear License Payroll</t>
  </si>
  <si>
    <t>Federal NOL for 2012</t>
  </si>
  <si>
    <t>Federal NOL for 2012-Current</t>
  </si>
  <si>
    <t>Nuclear Cola Payroll</t>
  </si>
  <si>
    <t>Nuclear Rule Book/Tax Basis</t>
  </si>
  <si>
    <t>Nuclear Rule Book/Tax - Plant In Service</t>
  </si>
  <si>
    <t>Prepaid Insurance</t>
  </si>
  <si>
    <t>Prepaid Other</t>
  </si>
  <si>
    <t>Prepaid Franchise Fees</t>
  </si>
  <si>
    <t>Prepaid State Motor Vehicle Taxes</t>
  </si>
  <si>
    <t>Prepaid Property Taxes</t>
  </si>
  <si>
    <t>Reverse Partnership Book (Income) Loss</t>
  </si>
  <si>
    <t>Sangroup Partnership LLC</t>
  </si>
  <si>
    <t>Cost of Removal</t>
  </si>
  <si>
    <t>Repair Projects</t>
  </si>
  <si>
    <t>Cable Injection</t>
  </si>
  <si>
    <t>National Cable</t>
  </si>
  <si>
    <t>Nuc Maint Reserve</t>
  </si>
  <si>
    <t>Incremental SEC Dbt Costs</t>
  </si>
  <si>
    <t>Nuc Maint Res-Particip</t>
  </si>
  <si>
    <t>Legal Reserve</t>
  </si>
  <si>
    <t>Regulatory Impact</t>
  </si>
  <si>
    <t>Fuel Storage Reserve</t>
  </si>
  <si>
    <t>Nuc Last Core Expense</t>
  </si>
  <si>
    <t>Nuc M and S Inventory</t>
  </si>
  <si>
    <t>In Territory Contingency</t>
  </si>
  <si>
    <t>Nuclear Rad Waste</t>
  </si>
  <si>
    <t>Accrued Medical Expenses</t>
  </si>
  <si>
    <t>GRT Reserve</t>
  </si>
  <si>
    <t>Enersys-Warranty</t>
  </si>
  <si>
    <t>Rothenberg Obligation</t>
  </si>
  <si>
    <t>Other Accrued Liabilities</t>
  </si>
  <si>
    <t>Savings/Warrant Reserve</t>
  </si>
  <si>
    <t>Extended Warranty</t>
  </si>
  <si>
    <t>Scherer Supplemental Perf Fee</t>
  </si>
  <si>
    <t>Environmental Liability</t>
  </si>
  <si>
    <t>Vacation Pay Accrual</t>
  </si>
  <si>
    <t>Dormant Materials</t>
  </si>
  <si>
    <t>FMPA Settlement Agreement</t>
  </si>
  <si>
    <t>Substation Reduction Reserve</t>
  </si>
  <si>
    <t>Measurement And Verification Incom</t>
  </si>
  <si>
    <t>Gross Receipts</t>
  </si>
  <si>
    <t>Computer Software</t>
  </si>
  <si>
    <t>Research and Experimental Costs</t>
  </si>
  <si>
    <t>SAP/Oracle</t>
  </si>
  <si>
    <t>Nuclear R and E Costs</t>
  </si>
  <si>
    <t>Tax Gain/Loss</t>
  </si>
  <si>
    <t>Book Gain/Loss Sale of Assets</t>
  </si>
  <si>
    <t>Cap Gain Emiss Allow</t>
  </si>
  <si>
    <t>Mitigation Bank Gains</t>
  </si>
  <si>
    <t>Gain on Sale of MIT Credits</t>
  </si>
  <si>
    <t>SJRPP Decommissioning</t>
  </si>
  <si>
    <t>SJRPP Def Interest</t>
  </si>
  <si>
    <t>Storm Fund Below</t>
  </si>
  <si>
    <t>Storm Casualty Loss 2004</t>
  </si>
  <si>
    <t>Storm Restoration - IRS Adj</t>
  </si>
  <si>
    <t>Storm Recovery Property</t>
  </si>
  <si>
    <t>Over/Under Recovery - FREC</t>
  </si>
  <si>
    <t>Storm - Reg Asset - Non-Regulated</t>
  </si>
  <si>
    <t>Storm Recovery - Current</t>
  </si>
  <si>
    <t>Involuntary Conversion - Storm - Deferred Gain Reg Asset</t>
  </si>
  <si>
    <t>Storm-Reg Asset - Regulated</t>
  </si>
  <si>
    <t>Storm Recovery Property Offset</t>
  </si>
  <si>
    <t>Storm - Reg Asset - Regulated Offset</t>
  </si>
  <si>
    <t>Casualty Loss</t>
  </si>
  <si>
    <t>Storm Reserve Deficiency</t>
  </si>
  <si>
    <t>Unbilled Revenue FPSC</t>
  </si>
  <si>
    <t>TOTAL</t>
  </si>
  <si>
    <t>Ending Balance</t>
  </si>
  <si>
    <t>1500A:
Florida Power And Light Company-Above</t>
  </si>
  <si>
    <t>1500B:
Florida Power And Light Company-Below</t>
  </si>
  <si>
    <t>1504:
CBAS Power, LLC - Above</t>
  </si>
  <si>
    <t>1508:
Indiantown Cogeneration, L.P. - Above</t>
  </si>
  <si>
    <t>1511:
FPL Services LLC</t>
  </si>
  <si>
    <t>1520:
KPB Financial Corp.</t>
  </si>
  <si>
    <t>E1500:
FPL Utility - Elims</t>
  </si>
  <si>
    <t>FAS109 - 283</t>
  </si>
  <si>
    <t>TAXCR_ST_283</t>
  </si>
  <si>
    <t>FAS109 - 282</t>
  </si>
  <si>
    <t>TAXCR_ST_282</t>
  </si>
  <si>
    <t>FAS109 - 190</t>
  </si>
  <si>
    <t>TAXCR_ST_190</t>
  </si>
  <si>
    <t>IRS Investment Tax Credit</t>
  </si>
  <si>
    <t>TAXCR_ITCAMORT_IRS</t>
  </si>
  <si>
    <t>Amort ITC 30% Solar</t>
  </si>
  <si>
    <t>TAXCR_ITCAMORT_30%_SOLAR</t>
  </si>
  <si>
    <t>Reg Asset AFUDC Rev Req</t>
  </si>
  <si>
    <t>TAXCR_283</t>
  </si>
  <si>
    <t>EQ AFUDC Def TX &amp; SFAS 109</t>
  </si>
  <si>
    <t>TAXCR_282</t>
  </si>
  <si>
    <t>ITC &amp; Reg Liabilities</t>
  </si>
  <si>
    <t>TAXCR_190</t>
  </si>
  <si>
    <t>FIN48 - Non Current Def Tax Reclass</t>
  </si>
  <si>
    <t>SATTD_FIN504</t>
  </si>
  <si>
    <t>FIN48 - Current Def Tax Reclass</t>
  </si>
  <si>
    <t>SATTD_FIN503</t>
  </si>
  <si>
    <t>Excess Deferred Taxes - ARAM Rates</t>
  </si>
  <si>
    <t>SATTD_DEPRARAM</t>
  </si>
  <si>
    <t>State Capital Loss Carryforward 1997</t>
  </si>
  <si>
    <t>SAATD_CAPLOSS_CF_1997</t>
  </si>
  <si>
    <t>Adjust for tax rates &amp; apportionment</t>
  </si>
  <si>
    <t>RATE_ADJ_ST</t>
  </si>
  <si>
    <t>Florida Bonus Depreciation - 2016</t>
  </si>
  <si>
    <t>DEP135</t>
  </si>
  <si>
    <t>Florida Bonus Depreciation - 2015</t>
  </si>
  <si>
    <t>DEP134</t>
  </si>
  <si>
    <t>Florida Bonus Depreciation - 2014</t>
  </si>
  <si>
    <t>DEP133</t>
  </si>
  <si>
    <t>Florida Bonus Depreciation - 2013</t>
  </si>
  <si>
    <t>DEP129</t>
  </si>
  <si>
    <t>Florida Bonus Depreciation - 2012</t>
  </si>
  <si>
    <t>DEP128</t>
  </si>
  <si>
    <t>Florida Bonus Depreciation - 2011</t>
  </si>
  <si>
    <t>DEP127</t>
  </si>
  <si>
    <t>Florida Bonus Depreciation - 2010</t>
  </si>
  <si>
    <t>DEP126</t>
  </si>
  <si>
    <t>Florida Bonus Depreciation - 2009</t>
  </si>
  <si>
    <t>DEP119</t>
  </si>
  <si>
    <t>Florida Bonus Depreciation</t>
  </si>
  <si>
    <t>DEP118</t>
  </si>
  <si>
    <t>Federal NOL for 2012-Current-FIN48</t>
  </si>
  <si>
    <t>ATTD_NOL_FED_2012_C_FIN48</t>
  </si>
  <si>
    <t>General Business Tax Credits</t>
  </si>
  <si>
    <t>ATTD_GEN_BUS_TAX_CREDITS</t>
  </si>
  <si>
    <t>ATTD_FIN504</t>
  </si>
  <si>
    <t>ATTD_FIN503</t>
  </si>
  <si>
    <t>ATTD_DEPRARAM</t>
  </si>
  <si>
    <t>AMT_SYS</t>
  </si>
  <si>
    <t>check</t>
  </si>
  <si>
    <t>ATTD_TAX_REFORM_Excess Deferred Taxes - 283</t>
  </si>
  <si>
    <t>ATTD_TAX_REFORM_Excess Deferred Taxes - 282</t>
  </si>
  <si>
    <t>ATTD_TAX_REFORM_Excess Deferred Taxes - 190</t>
  </si>
  <si>
    <t>ATL SubTotal</t>
  </si>
  <si>
    <t>ATL</t>
  </si>
  <si>
    <t>(Deferred Only)</t>
  </si>
  <si>
    <t>TaxStream Input</t>
  </si>
  <si>
    <t>Grand Total Deferred Taxes</t>
  </si>
  <si>
    <t>Total FAS109</t>
  </si>
  <si>
    <t>FAS109</t>
  </si>
  <si>
    <t>1500</t>
  </si>
  <si>
    <t>Total Deferred Only</t>
  </si>
  <si>
    <t>Deferred Only</t>
  </si>
  <si>
    <t>B</t>
  </si>
  <si>
    <t>Total with State Modifications</t>
  </si>
  <si>
    <t>Total State Modifications</t>
  </si>
  <si>
    <t>State Modification</t>
  </si>
  <si>
    <t>State Modification - 3</t>
  </si>
  <si>
    <t>State Modification - 2</t>
  </si>
  <si>
    <t xml:space="preserve">Florida Bonus Depreciation </t>
  </si>
  <si>
    <t>State Modification - 6</t>
  </si>
  <si>
    <t>Tax/Book Depr Diff</t>
  </si>
  <si>
    <t>DEP144</t>
  </si>
  <si>
    <t>State Modifications</t>
  </si>
  <si>
    <t xml:space="preserve">Total Federal &amp; State </t>
  </si>
  <si>
    <t>Storm Reg Asset Non-Regulated - BTL</t>
  </si>
  <si>
    <t>Sub-Total Account 283</t>
  </si>
  <si>
    <t>Reversal of Book Depreciation - BTL</t>
  </si>
  <si>
    <t>DEP143</t>
  </si>
  <si>
    <t>Bonus Depreciation - BTL</t>
  </si>
  <si>
    <t>Tax Depreciation - BTL</t>
  </si>
  <si>
    <t>State</t>
  </si>
  <si>
    <t>FBOS</t>
  </si>
  <si>
    <t>Federal</t>
  </si>
  <si>
    <t>xxx</t>
  </si>
  <si>
    <t>xx</t>
  </si>
  <si>
    <t>x</t>
  </si>
  <si>
    <t>Pre-Tax
2017
End Balance</t>
  </si>
  <si>
    <t>Type</t>
  </si>
  <si>
    <t>Co</t>
  </si>
  <si>
    <t>Excess Deferred Tax Balance @ 12/31/2017</t>
  </si>
  <si>
    <t>2017 Calculated at New Rate of 21%</t>
  </si>
  <si>
    <t>2017 Calculated at Current Statutory Rate of 35%</t>
  </si>
  <si>
    <t>Year Ended December 2017</t>
  </si>
  <si>
    <t>Excess Deferred Tax Calculation</t>
  </si>
  <si>
    <t>Sub-Total Account 190</t>
  </si>
  <si>
    <t>Sub-Total Account 282</t>
  </si>
  <si>
    <t>Cedar Bay</t>
  </si>
  <si>
    <t>Company 1504</t>
  </si>
  <si>
    <t>1504</t>
  </si>
  <si>
    <t>CBAS</t>
  </si>
  <si>
    <t>Grand Total</t>
  </si>
  <si>
    <t>TaxStream Input:</t>
  </si>
  <si>
    <t>Indiantown Cogeneration</t>
  </si>
  <si>
    <t>Company 1508</t>
  </si>
  <si>
    <t>Depreciation Protected - ICL</t>
  </si>
  <si>
    <t>ICL</t>
  </si>
  <si>
    <t>FPL Services LLC</t>
  </si>
  <si>
    <t>Company 1511</t>
  </si>
  <si>
    <t>Enersys</t>
  </si>
  <si>
    <t>Account 190</t>
  </si>
  <si>
    <t>Account 282</t>
  </si>
  <si>
    <t>Account 283</t>
  </si>
  <si>
    <t>FERC</t>
  </si>
  <si>
    <t xml:space="preserve">TOTALS: </t>
  </si>
  <si>
    <t>FPL</t>
  </si>
  <si>
    <t>Total Federal</t>
  </si>
  <si>
    <t>Total State</t>
  </si>
  <si>
    <t>SFAS 109 Effective Tax Rate Adjustments</t>
  </si>
  <si>
    <t>As of September 2017</t>
  </si>
  <si>
    <r>
      <t>BALANCES -</t>
    </r>
    <r>
      <rPr>
        <b/>
        <sz val="9"/>
        <color rgb="FF0000FF"/>
        <rFont val="Calibri"/>
        <family val="2"/>
        <scheme val="minor"/>
      </rPr>
      <t xml:space="preserve"> Based on 35% Federal Rate</t>
    </r>
  </si>
  <si>
    <t>Description</t>
  </si>
  <si>
    <t>Amount</t>
  </si>
  <si>
    <t>Total Tax</t>
  </si>
  <si>
    <r>
      <t xml:space="preserve">Gross-up   </t>
    </r>
    <r>
      <rPr>
        <b/>
        <sz val="9"/>
        <color rgb="FFFF0000"/>
        <rFont val="Calibri"/>
        <family val="2"/>
        <scheme val="minor"/>
      </rPr>
      <t>[A]</t>
    </r>
  </si>
  <si>
    <t>Net of Tax</t>
  </si>
  <si>
    <t>Total Net Tax</t>
  </si>
  <si>
    <r>
      <t xml:space="preserve">FAS109 -  </t>
    </r>
    <r>
      <rPr>
        <b/>
        <sz val="9"/>
        <color rgb="FF0000FF"/>
        <rFont val="Calibri"/>
        <family val="2"/>
        <scheme val="minor"/>
      </rPr>
      <t>BALANCE BASED ON FEDERAL RATE OF 35%</t>
    </r>
  </si>
  <si>
    <t>Tax Rates</t>
  </si>
  <si>
    <t>Investment Tax Credits (ITC)</t>
  </si>
  <si>
    <t>Reg</t>
  </si>
  <si>
    <t>Federal Tax Rate</t>
  </si>
  <si>
    <t>2707025</t>
  </si>
  <si>
    <t>2707135</t>
  </si>
  <si>
    <t>3600007</t>
  </si>
  <si>
    <t>3600107</t>
  </si>
  <si>
    <t>3600008</t>
  </si>
  <si>
    <t>3600108</t>
  </si>
  <si>
    <t>2801017</t>
  </si>
  <si>
    <t>3602750</t>
  </si>
  <si>
    <t>State Tax Rate</t>
  </si>
  <si>
    <t>Acct 190</t>
  </si>
  <si>
    <t>Acct 282</t>
  </si>
  <si>
    <t>Acct 283</t>
  </si>
  <si>
    <t>Asset</t>
  </si>
  <si>
    <t>Liab</t>
  </si>
  <si>
    <t>Combined Tax Rate</t>
  </si>
  <si>
    <t>Solar ITC Basis Adjustment</t>
  </si>
  <si>
    <t>G/U of ITC</t>
  </si>
  <si>
    <t>Solar ITC Book Depr</t>
  </si>
  <si>
    <t>Fed/FBOS</t>
  </si>
  <si>
    <t>Total Solar ITC</t>
  </si>
  <si>
    <t>Gross Up Factor</t>
  </si>
  <si>
    <t>G/U Factor =  (1 minus total tax rate)</t>
  </si>
  <si>
    <t>AFUDC Book Depr (AFD102)</t>
  </si>
  <si>
    <r>
      <rPr>
        <b/>
        <sz val="9"/>
        <color rgb="FFFF0000"/>
        <rFont val="Calibri"/>
        <family val="2"/>
        <scheme val="minor"/>
      </rPr>
      <t>[A]</t>
    </r>
    <r>
      <rPr>
        <sz val="9"/>
        <color theme="1"/>
        <rFont val="Calibri"/>
        <family val="2"/>
        <scheme val="minor"/>
      </rPr>
      <t xml:space="preserve"> Grossed up amount calculated by dividing the "Total Tax" amount by .61425 (1 minus total tax rate)</t>
    </r>
  </si>
  <si>
    <t>AFUDC Equity (AFD103)</t>
  </si>
  <si>
    <t>Total AFUDC</t>
  </si>
  <si>
    <t>Excess Def Tax (ARAM)</t>
  </si>
  <si>
    <t>G/U of Excess Def Tax</t>
  </si>
  <si>
    <t>As of December 2017</t>
  </si>
  <si>
    <r>
      <t xml:space="preserve">FAS109 -  </t>
    </r>
    <r>
      <rPr>
        <b/>
        <sz val="9"/>
        <color rgb="FF0000FF"/>
        <rFont val="Calibri"/>
        <family val="2"/>
        <scheme val="minor"/>
      </rPr>
      <t>BALANCE BASED ON FEDERAL RATE OF 21%</t>
    </r>
  </si>
  <si>
    <r>
      <t xml:space="preserve">BALANCES - </t>
    </r>
    <r>
      <rPr>
        <b/>
        <sz val="9"/>
        <color rgb="FF0000FF"/>
        <rFont val="Calibri"/>
        <family val="2"/>
        <scheme val="minor"/>
      </rPr>
      <t>Based on 21% Federal Rate</t>
    </r>
  </si>
  <si>
    <t>Investment Tax Credit</t>
  </si>
  <si>
    <t>ITC Basis Adj &amp; Depr</t>
  </si>
  <si>
    <t>G/U of ITC Basis</t>
  </si>
  <si>
    <r>
      <rPr>
        <b/>
        <sz val="9"/>
        <color rgb="FFFF0000"/>
        <rFont val="Calibri"/>
        <family val="2"/>
        <scheme val="minor"/>
      </rPr>
      <t>[A]</t>
    </r>
    <r>
      <rPr>
        <sz val="9"/>
        <color theme="1"/>
        <rFont val="Calibri"/>
        <family val="2"/>
        <scheme val="minor"/>
      </rPr>
      <t xml:space="preserve"> Grossed up amount calculated by dividing the "Total Tax" amount by .74655 (1 minus total tax rate)</t>
    </r>
  </si>
  <si>
    <t>AFUDC Equity &amp; Depr</t>
  </si>
  <si>
    <t>G/U of AFUDC Equity</t>
  </si>
  <si>
    <t>Excess Deferred Taxes</t>
  </si>
  <si>
    <t>Excess Def Tax - Acct 190</t>
  </si>
  <si>
    <t>Account 282 - TR 1986</t>
  </si>
  <si>
    <t>Excess Def Tax - Acct 282</t>
  </si>
  <si>
    <t>Account 282 - TR 2017</t>
  </si>
  <si>
    <t>Account 282 - Total</t>
  </si>
  <si>
    <t>Excess Def Tax - Acct 283</t>
  </si>
  <si>
    <t>Total Excess Deferred Taxes</t>
  </si>
  <si>
    <r>
      <t xml:space="preserve">BALANCES - </t>
    </r>
    <r>
      <rPr>
        <b/>
        <sz val="9"/>
        <color rgb="FF0000FF"/>
        <rFont val="Calibri"/>
        <family val="2"/>
        <scheme val="minor"/>
      </rPr>
      <t>Based on 35% Federal Rate</t>
    </r>
  </si>
  <si>
    <r>
      <t xml:space="preserve">FAS109 -  </t>
    </r>
    <r>
      <rPr>
        <b/>
        <sz val="9"/>
        <color rgb="FF0000FF"/>
        <rFont val="Calibri"/>
        <family val="2"/>
        <scheme val="minor"/>
      </rPr>
      <t>Dec 2017 BALANCE @35% vs Sept 2017 BALANCE @ 35%</t>
    </r>
  </si>
  <si>
    <t>Florida Power &amp; Light</t>
  </si>
  <si>
    <t xml:space="preserve">Florida Power &amp; Light </t>
  </si>
  <si>
    <t>Balances without Tax Reform</t>
  </si>
  <si>
    <t>Balances per General Ledger (Post Tax Reform)</t>
  </si>
  <si>
    <t>Cedar Bay - CC # 1504</t>
  </si>
  <si>
    <r>
      <t xml:space="preserve">FAS109 -  </t>
    </r>
    <r>
      <rPr>
        <b/>
        <sz val="9"/>
        <color rgb="FF0000FF"/>
        <rFont val="Calibri"/>
        <family val="2"/>
        <scheme val="minor"/>
      </rPr>
      <t>ENTRY</t>
    </r>
  </si>
  <si>
    <t>Calculation</t>
  </si>
  <si>
    <t>Reg Asset</t>
  </si>
  <si>
    <t>Reg Liab</t>
  </si>
  <si>
    <r>
      <t xml:space="preserve">Grossed-up   </t>
    </r>
    <r>
      <rPr>
        <b/>
        <sz val="9"/>
        <color rgb="FFFF0000"/>
        <rFont val="Calibri"/>
        <family val="2"/>
        <scheme val="minor"/>
      </rPr>
      <t>[A]</t>
    </r>
  </si>
  <si>
    <t>Tax</t>
  </si>
  <si>
    <t>Acct 182.310</t>
  </si>
  <si>
    <t>Acct 254.100</t>
  </si>
  <si>
    <t>(Balance Sheet Only)</t>
  </si>
  <si>
    <t>Gross Up Factor (1 minus total tax rate)</t>
  </si>
  <si>
    <t xml:space="preserve">TAXCR_190 </t>
  </si>
  <si>
    <t xml:space="preserve">TAXCR_282 </t>
  </si>
  <si>
    <t xml:space="preserve">TAXCR_283 </t>
  </si>
  <si>
    <t>TaxStream Generated</t>
  </si>
  <si>
    <t>TAXCR_190_FBOS</t>
  </si>
  <si>
    <t>TAXCR_282 _FBOS</t>
  </si>
  <si>
    <t>TAXCR_283_FBOS</t>
  </si>
  <si>
    <t>Indiantown Cogeneration - CC# 1508</t>
  </si>
  <si>
    <t>FPL Services LLC - CC#1511</t>
  </si>
  <si>
    <t>Difference</t>
  </si>
  <si>
    <r>
      <t xml:space="preserve">Balances with Tax Reform </t>
    </r>
    <r>
      <rPr>
        <b/>
        <i/>
        <sz val="9"/>
        <color rgb="FFFF0000"/>
        <rFont val="Calibri"/>
        <family val="2"/>
        <scheme val="minor"/>
      </rPr>
      <t>[A]</t>
    </r>
  </si>
  <si>
    <t>AMO107</t>
  </si>
  <si>
    <t>Reversal of Book Amortization</t>
  </si>
  <si>
    <t>SIT201</t>
  </si>
  <si>
    <t>State Income Tax Deduction</t>
  </si>
  <si>
    <t>STM414</t>
  </si>
  <si>
    <t>2017.12 M12 FY Reporting Dataset, Z_FPL_Regulated</t>
  </si>
  <si>
    <t>ATTD_TAX_REFORM_190</t>
  </si>
  <si>
    <t>Excess Deferred Taxes - Tax Reform - 190</t>
  </si>
  <si>
    <t>ATTD_TAX_REFORM_282</t>
  </si>
  <si>
    <t>Excess Deferred Taxes - Tax Reform - 282</t>
  </si>
  <si>
    <t>ATTD_TAX_REFORM_283</t>
  </si>
  <si>
    <t>Excess Deferred Taxes - Tax Reform - 283</t>
  </si>
  <si>
    <t>TAXCR_FBOS_190</t>
  </si>
  <si>
    <t>TAXCR_FBOS_282</t>
  </si>
  <si>
    <t>TAXCR_FBOS_283</t>
  </si>
  <si>
    <t>2017.12 M12 FY Reporting Dataset, Z_FPL_RegulatedFlorida I/C</t>
  </si>
  <si>
    <t>FAS109 BB Adj</t>
  </si>
  <si>
    <r>
      <rPr>
        <b/>
        <sz val="9"/>
        <color rgb="FFFF0000"/>
        <rFont val="Calibri"/>
        <family val="2"/>
        <scheme val="minor"/>
      </rPr>
      <t>[A]</t>
    </r>
    <r>
      <rPr>
        <sz val="9"/>
        <rFont val="Calibri"/>
        <family val="2"/>
        <scheme val="minor"/>
      </rPr>
      <t xml:space="preserve">  Balances recorded at 35% + new FAS109 balances</t>
    </r>
  </si>
  <si>
    <t>State
Modification</t>
  </si>
  <si>
    <t>Federal Pre-Tax Timing Difference Total</t>
  </si>
  <si>
    <t>Excess Deferred Taxes - TR 1986</t>
  </si>
  <si>
    <t>diff</t>
  </si>
  <si>
    <t>Per G/L</t>
  </si>
  <si>
    <t>Excess ADIT</t>
  </si>
  <si>
    <t>TR1986</t>
  </si>
  <si>
    <t>1500:
Florida Power And Light Company</t>
  </si>
  <si>
    <r>
      <t xml:space="preserve">SubConsolidated Deferred Balances Report - </t>
    </r>
    <r>
      <rPr>
        <b/>
        <sz val="9"/>
        <color rgb="FFFF0000"/>
        <rFont val="Calibri"/>
        <family val="2"/>
        <scheme val="minor"/>
      </rPr>
      <t>Pre-Tax</t>
    </r>
    <r>
      <rPr>
        <sz val="9"/>
        <rFont val="Calibri"/>
        <family val="2"/>
        <scheme val="minor"/>
      </rPr>
      <t xml:space="preserve"> (USD)</t>
    </r>
  </si>
  <si>
    <r>
      <t xml:space="preserve">SubConsolidated Deferred Balances Report - </t>
    </r>
    <r>
      <rPr>
        <b/>
        <sz val="9"/>
        <color rgb="FFFF0000"/>
        <rFont val="Calibri"/>
        <family val="2"/>
        <scheme val="minor"/>
      </rPr>
      <t>Pre-Tax</t>
    </r>
    <r>
      <rPr>
        <sz val="9"/>
        <rFont val="Calibri"/>
        <family val="2"/>
        <scheme val="minor"/>
      </rPr>
      <t xml:space="preserve"> (Pre-App) (USD)</t>
    </r>
  </si>
  <si>
    <r>
      <t xml:space="preserve">SubConsolidated Deferred Balances Report - </t>
    </r>
    <r>
      <rPr>
        <b/>
        <sz val="9"/>
        <color rgb="FFFF0000"/>
        <rFont val="Calibri"/>
        <family val="2"/>
        <scheme val="minor"/>
      </rPr>
      <t>Fed/State/FBOS</t>
    </r>
    <r>
      <rPr>
        <sz val="9"/>
        <rFont val="Calibri"/>
        <family val="2"/>
        <scheme val="minor"/>
      </rPr>
      <t xml:space="preserve"> (USD)</t>
    </r>
  </si>
  <si>
    <t>FAS109 &amp; TR1986 Balances</t>
  </si>
  <si>
    <t>Amount per Excess ADIT worksheet</t>
  </si>
  <si>
    <t>difference</t>
  </si>
  <si>
    <t>Balance before 2017 Tax Reform Changes</t>
  </si>
  <si>
    <t>TR 1986 Excess Deferred Taxes</t>
  </si>
  <si>
    <t>TR 2017 Excess Deferred Taxes</t>
  </si>
  <si>
    <t>ATTD_TAX_REFORM_190/282/283</t>
  </si>
  <si>
    <t>Total Excess per OTP</t>
  </si>
  <si>
    <t>Expected Excess ADIT</t>
  </si>
  <si>
    <t>FAS109/1986 TR</t>
  </si>
  <si>
    <t>TR 2017 - Excess ADIT</t>
  </si>
  <si>
    <t>Deferred Taxes based on Pre-Tax Diffs</t>
  </si>
  <si>
    <t>Florida Power &amp; Light Co</t>
  </si>
  <si>
    <t>Company 1500</t>
  </si>
  <si>
    <t>FPL Consolidated</t>
  </si>
  <si>
    <t>ADIT Balances by FERC Acct/Jurisdiction</t>
  </si>
  <si>
    <t>Total ADIT by FERC Account</t>
  </si>
  <si>
    <t>Excess Deferred Tax Calculations:</t>
  </si>
  <si>
    <t>Total Excess ADIT</t>
  </si>
  <si>
    <t>FPL Excess ADIT</t>
  </si>
  <si>
    <t>CBAS Excess ADIT</t>
  </si>
  <si>
    <t>ICL Excess ADIT</t>
  </si>
  <si>
    <t>Enersys Excess ADIT</t>
  </si>
  <si>
    <t>TABLE OF CONTENTS</t>
  </si>
  <si>
    <t>FAS109 Calculation &amp; Entry Details</t>
  </si>
  <si>
    <t>FPL FAS109 - With Tax Reform</t>
  </si>
  <si>
    <t>FPL FAS109 - Without Tax Reform</t>
  </si>
  <si>
    <t>CBAS FAS109</t>
  </si>
  <si>
    <t>ICL FAS109</t>
  </si>
  <si>
    <t>Enersys FAS109</t>
  </si>
  <si>
    <t>Summary Balances</t>
  </si>
  <si>
    <t>OneSource(TaxStream) Reports</t>
  </si>
  <si>
    <t>Federal Pre-Tax Balances</t>
  </si>
  <si>
    <t>State Pre-Tax Balances</t>
  </si>
  <si>
    <t>Total Deferred Tax Balances</t>
  </si>
  <si>
    <t>SAP General Ledger Balances</t>
  </si>
  <si>
    <t>Q4 ACTIVITY</t>
  </si>
  <si>
    <r>
      <t xml:space="preserve">FAS109 -  </t>
    </r>
    <r>
      <rPr>
        <b/>
        <sz val="9"/>
        <color rgb="FF0000FF"/>
        <rFont val="Calibri"/>
        <family val="2"/>
        <scheme val="minor"/>
      </rPr>
      <t>Dec 2017 BALANCE @21% vs Sept 2017 BALANCE @ 35%</t>
    </r>
  </si>
  <si>
    <t>Florida Power &amp; Light Consolidated</t>
  </si>
  <si>
    <t>Accumulated Deferred Income Tax Balances</t>
  </si>
  <si>
    <t>FERC Account</t>
  </si>
  <si>
    <t>General
Ledger
Balances</t>
  </si>
  <si>
    <t>Balances
Excluding
Re-Measurement</t>
  </si>
  <si>
    <t>diff = tax reform</t>
  </si>
  <si>
    <r>
      <t xml:space="preserve">FAS109 -  </t>
    </r>
    <r>
      <rPr>
        <b/>
        <sz val="9"/>
        <color rgb="FF0000FF"/>
        <rFont val="Calibri"/>
        <family val="2"/>
        <scheme val="minor"/>
      </rPr>
      <t>TAX REFORM IMPACT - Difference between "B4 Tax Reform Q4" entry and Q4 entry "With Tax Reform"</t>
    </r>
  </si>
  <si>
    <t>Net Reg</t>
  </si>
  <si>
    <t>Company</t>
  </si>
  <si>
    <t>Asset/Liab</t>
  </si>
  <si>
    <t>Acct 190 Excess Def Taxes</t>
  </si>
  <si>
    <t>Acct 282 Excess Def Taxes</t>
  </si>
  <si>
    <t>Acct 190 -G/U of Excess Def Tax</t>
  </si>
  <si>
    <t>Acct 282 - G/U of Excess Def Tax</t>
  </si>
  <si>
    <t>Acct 283 - G/U of Excess Def Tax</t>
  </si>
  <si>
    <t>With Tax Reform:</t>
  </si>
  <si>
    <t>Before Tax Reform</t>
  </si>
  <si>
    <t>G/U of Investment Tax Credit</t>
  </si>
  <si>
    <t>G/U of ITC Basis Adj &amp; Depr</t>
  </si>
  <si>
    <t>G/U of AFUDC Equity &amp; Depr</t>
  </si>
  <si>
    <t>Acct 282 - G/U of Excess Def Tax (TR1986)</t>
  </si>
  <si>
    <r>
      <t>TOTAL G/U of (</t>
    </r>
    <r>
      <rPr>
        <b/>
        <i/>
        <sz val="9"/>
        <color theme="1"/>
        <rFont val="Calibri"/>
        <family val="2"/>
        <scheme val="minor"/>
      </rPr>
      <t>New</t>
    </r>
    <r>
      <rPr>
        <b/>
        <sz val="9"/>
        <color theme="1"/>
        <rFont val="Calibri"/>
        <family val="2"/>
        <scheme val="minor"/>
      </rPr>
      <t>) Excess Def Taxes</t>
    </r>
  </si>
  <si>
    <r>
      <t>TOTAL (</t>
    </r>
    <r>
      <rPr>
        <b/>
        <i/>
        <sz val="9"/>
        <color theme="1"/>
        <rFont val="Calibri"/>
        <family val="2"/>
        <scheme val="minor"/>
      </rPr>
      <t>New</t>
    </r>
    <r>
      <rPr>
        <b/>
        <sz val="9"/>
        <color theme="1"/>
        <rFont val="Calibri"/>
        <family val="2"/>
        <scheme val="minor"/>
      </rPr>
      <t>) Excess Deferred Taxes</t>
    </r>
  </si>
  <si>
    <r>
      <t>Total (</t>
    </r>
    <r>
      <rPr>
        <b/>
        <i/>
        <sz val="9"/>
        <color theme="1"/>
        <rFont val="Calibri"/>
        <family val="2"/>
        <scheme val="minor"/>
      </rPr>
      <t>New)</t>
    </r>
    <r>
      <rPr>
        <b/>
        <sz val="9"/>
        <color theme="1"/>
        <rFont val="Calibri"/>
        <family val="2"/>
        <scheme val="minor"/>
      </rPr>
      <t xml:space="preserve"> Excess Deferred Taxes</t>
    </r>
  </si>
  <si>
    <t>Remeasurement of Taxes - Other</t>
  </si>
  <si>
    <t>G/U on Other</t>
  </si>
  <si>
    <t>TOTAL TAX REFORM IMPACT</t>
  </si>
  <si>
    <t>Total on Other FAS109 Items</t>
  </si>
  <si>
    <t>Total Tax Reform Activity</t>
  </si>
  <si>
    <t>Detail by Company/Component/Account</t>
  </si>
  <si>
    <t>Tax Reform Summary</t>
  </si>
  <si>
    <t>SAP Journal Entries</t>
  </si>
  <si>
    <t>FPL - Company 1500</t>
  </si>
  <si>
    <t>Cedar Bay - Company 1504</t>
  </si>
  <si>
    <t>Indiantown - Company 1508</t>
  </si>
  <si>
    <t>Enersys - Company 1511</t>
  </si>
  <si>
    <t>Consolidated</t>
  </si>
  <si>
    <t>Florida Power &amp; Light Co &amp; Subs</t>
  </si>
  <si>
    <t>Turn
Period
(Years)</t>
  </si>
  <si>
    <t>Depreciation - PowerTax</t>
  </si>
  <si>
    <t>Per TR Summary</t>
  </si>
  <si>
    <t>Other Unprotected - 5</t>
  </si>
  <si>
    <t>Other Unprotected - 15</t>
  </si>
  <si>
    <t>Other Unprotected</t>
  </si>
  <si>
    <t>Other Unprotected - 1</t>
  </si>
  <si>
    <t>Other Unprotected - 30</t>
  </si>
  <si>
    <t>Other Unprotected - 10</t>
  </si>
  <si>
    <t>Other Unprotected - 21</t>
  </si>
  <si>
    <t>Other Unprotected - 22</t>
  </si>
  <si>
    <t>Other Unprotected - 2</t>
  </si>
  <si>
    <t>Other Unprotected - 3</t>
  </si>
  <si>
    <t>Other Unprotected - 20</t>
  </si>
  <si>
    <t>Other Unprotected - 6</t>
  </si>
  <si>
    <t>FPL 000001</t>
  </si>
  <si>
    <t>20180046-EI</t>
  </si>
  <si>
    <t>FPL 000002</t>
  </si>
  <si>
    <t>FPL 000003</t>
  </si>
  <si>
    <t>FPL 000004</t>
  </si>
  <si>
    <t>FPL 000005</t>
  </si>
  <si>
    <t>FPL 000006</t>
  </si>
  <si>
    <t>FPL 000007</t>
  </si>
  <si>
    <t>FPL 000008</t>
  </si>
  <si>
    <t>FPL 000009</t>
  </si>
  <si>
    <t>FPL 000010</t>
  </si>
  <si>
    <t>FPL 000011</t>
  </si>
  <si>
    <t>FPL 000012</t>
  </si>
  <si>
    <t>FPL 000013</t>
  </si>
  <si>
    <t>FPL 000014</t>
  </si>
  <si>
    <t>FPL 000015</t>
  </si>
  <si>
    <t>FPL 000016</t>
  </si>
  <si>
    <t>FPL 000017</t>
  </si>
  <si>
    <t>FPL 000018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</si>
</sst>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%"/>
    <numFmt numFmtId="165" formatCode="0.000000"/>
    <numFmt numFmtId="166" formatCode="0.0000"/>
    <numFmt numFmtId="167" formatCode="0.00000"/>
    <numFmt numFmtId="168" formatCode="0.0000%"/>
    <numFmt numFmtId="169" formatCode="#,##0.00000000_);\(#,##0.00000000\)"/>
  </numFmts>
  <fonts count="30" x14ac:knownFonts="1">
    <font>
      <sz val="10"/>
      <name val="Arial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b/>
      <sz val="9"/>
      <name val="Arial"/>
      <family val="2"/>
    </font>
    <font>
      <b/>
      <sz val="9"/>
      <color theme="0"/>
      <name val="Calibri"/>
      <family val="2"/>
      <scheme val="minor"/>
    </font>
    <font>
      <i/>
      <sz val="9"/>
      <color rgb="FF0000FF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10"/>
      <name val="Calibri"/>
      <family val="2"/>
      <scheme val="minor"/>
    </font>
    <font>
      <sz val="10"/>
      <name val="Book Antiqua"/>
      <family val="1"/>
    </font>
    <font>
      <b/>
      <sz val="8"/>
      <name val="Arial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auto="1"/>
      </top>
      <bottom style="double">
        <color auto="1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rgb="FFFF0000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456">
    <xf numFmtId="0" fontId="0" fillId="0" borderId="0" xfId="0"/>
    <xf numFmtId="37" fontId="4" fillId="2" borderId="14" xfId="0" applyNumberFormat="1" applyFont="1" applyFill="1" applyBorder="1"/>
    <xf numFmtId="0" fontId="24" fillId="0" borderId="0" xfId="0" applyFont="1"/>
    <xf numFmtId="0" fontId="24" fillId="0" borderId="12" xfId="0" applyFont="1" applyBorder="1"/>
    <xf numFmtId="0" fontId="24" fillId="0" borderId="0" xfId="0" applyFont="1" applyBorder="1"/>
    <xf numFmtId="0" fontId="24" fillId="0" borderId="6" xfId="0" applyFont="1" applyBorder="1"/>
    <xf numFmtId="37" fontId="2" fillId="0" borderId="5" xfId="0" applyNumberFormat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37" fontId="4" fillId="2" borderId="3" xfId="0" applyNumberFormat="1" applyFont="1" applyFill="1" applyBorder="1"/>
    <xf numFmtId="0" fontId="16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Fill="1"/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/>
    <xf numFmtId="0" fontId="2" fillId="0" borderId="6" xfId="0" applyFont="1" applyBorder="1"/>
    <xf numFmtId="0" fontId="3" fillId="0" borderId="6" xfId="0" applyFont="1" applyBorder="1" applyAlignment="1">
      <alignment horizontal="right"/>
    </xf>
    <xf numFmtId="0" fontId="2" fillId="0" borderId="7" xfId="0" applyFont="1" applyBorder="1"/>
    <xf numFmtId="0" fontId="2" fillId="0" borderId="8" xfId="0" applyFont="1" applyBorder="1"/>
    <xf numFmtId="37" fontId="2" fillId="0" borderId="9" xfId="0" applyNumberFormat="1" applyFont="1" applyBorder="1"/>
    <xf numFmtId="37" fontId="4" fillId="0" borderId="10" xfId="0" applyNumberFormat="1" applyFont="1" applyBorder="1"/>
    <xf numFmtId="0" fontId="3" fillId="0" borderId="8" xfId="0" applyFont="1" applyBorder="1" applyAlignment="1">
      <alignment horizontal="left" indent="2"/>
    </xf>
    <xf numFmtId="37" fontId="4" fillId="0" borderId="9" xfId="0" applyNumberFormat="1" applyFont="1" applyBorder="1"/>
    <xf numFmtId="0" fontId="2" fillId="0" borderId="9" xfId="0" applyFont="1" applyBorder="1"/>
    <xf numFmtId="0" fontId="5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5" fillId="0" borderId="13" xfId="0" applyFont="1" applyBorder="1"/>
    <xf numFmtId="37" fontId="4" fillId="0" borderId="14" xfId="0" applyNumberFormat="1" applyFont="1" applyBorder="1"/>
    <xf numFmtId="37" fontId="4" fillId="0" borderId="0" xfId="0" applyNumberFormat="1" applyFont="1" applyBorder="1"/>
    <xf numFmtId="0" fontId="4" fillId="0" borderId="0" xfId="0" applyFont="1"/>
    <xf numFmtId="37" fontId="2" fillId="0" borderId="0" xfId="0" applyNumberFormat="1" applyFont="1" applyBorder="1"/>
    <xf numFmtId="37" fontId="2" fillId="0" borderId="3" xfId="0" applyNumberFormat="1" applyFont="1" applyBorder="1"/>
    <xf numFmtId="0" fontId="2" fillId="0" borderId="0" xfId="0" quotePrefix="1" applyFont="1"/>
    <xf numFmtId="0" fontId="6" fillId="0" borderId="0" xfId="0" applyFont="1" applyBorder="1" applyAlignment="1">
      <alignment horizontal="left" vertical="center"/>
    </xf>
    <xf numFmtId="37" fontId="4" fillId="0" borderId="3" xfId="0" applyNumberFormat="1" applyFont="1" applyBorder="1"/>
    <xf numFmtId="0" fontId="2" fillId="0" borderId="0" xfId="0" applyFont="1" applyBorder="1"/>
    <xf numFmtId="37" fontId="2" fillId="0" borderId="0" xfId="0" applyNumberFormat="1" applyFont="1" applyFill="1" applyBorder="1"/>
    <xf numFmtId="0" fontId="2" fillId="0" borderId="0" xfId="0" quotePrefix="1" applyNumberFormat="1" applyFont="1" applyAlignment="1">
      <alignment horizontal="center"/>
    </xf>
    <xf numFmtId="37" fontId="2" fillId="0" borderId="4" xfId="0" applyNumberFormat="1" applyFont="1" applyBorder="1"/>
    <xf numFmtId="0" fontId="7" fillId="0" borderId="0" xfId="0" applyFont="1" applyFill="1" applyAlignment="1">
      <alignment horizontal="left" inden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Fill="1"/>
    <xf numFmtId="0" fontId="6" fillId="0" borderId="0" xfId="0" applyFont="1"/>
    <xf numFmtId="0" fontId="13" fillId="0" borderId="0" xfId="0" applyFont="1" applyFill="1"/>
    <xf numFmtId="0" fontId="2" fillId="0" borderId="0" xfId="0" applyFont="1"/>
    <xf numFmtId="0" fontId="4" fillId="0" borderId="0" xfId="0" applyFont="1"/>
    <xf numFmtId="0" fontId="2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37" fontId="2" fillId="0" borderId="0" xfId="0" applyNumberFormat="1" applyFont="1"/>
    <xf numFmtId="37" fontId="4" fillId="0" borderId="0" xfId="0" applyNumberFormat="1" applyFont="1"/>
    <xf numFmtId="0" fontId="3" fillId="0" borderId="0" xfId="0" applyFont="1" applyFill="1" applyAlignment="1">
      <alignment horizontal="left" indent="1"/>
    </xf>
    <xf numFmtId="0" fontId="2" fillId="0" borderId="5" xfId="0" applyFont="1" applyBorder="1"/>
    <xf numFmtId="0" fontId="2" fillId="0" borderId="0" xfId="0" quotePrefix="1" applyFont="1" applyAlignment="1">
      <alignment horizontal="center"/>
    </xf>
    <xf numFmtId="0" fontId="10" fillId="0" borderId="0" xfId="0" applyFont="1" applyAlignment="1">
      <alignment horizontal="right"/>
    </xf>
    <xf numFmtId="164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/>
    <xf numFmtId="37" fontId="2" fillId="0" borderId="15" xfId="0" applyNumberFormat="1" applyFont="1" applyBorder="1"/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4" fillId="0" borderId="0" xfId="0" applyFont="1"/>
    <xf numFmtId="37" fontId="4" fillId="0" borderId="15" xfId="0" applyNumberFormat="1" applyFont="1" applyBorder="1"/>
    <xf numFmtId="0" fontId="4" fillId="3" borderId="2" xfId="0" applyFont="1" applyFill="1" applyBorder="1"/>
    <xf numFmtId="37" fontId="4" fillId="3" borderId="2" xfId="0" applyNumberFormat="1" applyFont="1" applyFill="1" applyBorder="1"/>
    <xf numFmtId="0" fontId="17" fillId="0" borderId="0" xfId="0" applyFont="1"/>
    <xf numFmtId="0" fontId="18" fillId="0" borderId="0" xfId="0" applyFont="1"/>
    <xf numFmtId="0" fontId="6" fillId="0" borderId="0" xfId="0" quotePrefix="1" applyFont="1"/>
    <xf numFmtId="0" fontId="17" fillId="0" borderId="2" xfId="0" applyFont="1" applyBorder="1" applyAlignment="1">
      <alignment horizontal="center"/>
    </xf>
    <xf numFmtId="37" fontId="18" fillId="0" borderId="0" xfId="0" applyNumberFormat="1" applyFont="1"/>
    <xf numFmtId="0" fontId="19" fillId="0" borderId="0" xfId="0" applyFont="1" applyAlignment="1">
      <alignment horizontal="center"/>
    </xf>
    <xf numFmtId="37" fontId="18" fillId="0" borderId="0" xfId="0" applyNumberFormat="1" applyFont="1" applyBorder="1"/>
    <xf numFmtId="0" fontId="17" fillId="0" borderId="17" xfId="0" applyFont="1" applyBorder="1" applyAlignment="1">
      <alignment horizontal="center"/>
    </xf>
    <xf numFmtId="37" fontId="17" fillId="0" borderId="18" xfId="0" applyNumberFormat="1" applyFont="1" applyBorder="1" applyAlignment="1">
      <alignment horizontal="center"/>
    </xf>
    <xf numFmtId="37" fontId="17" fillId="0" borderId="19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2" fontId="18" fillId="0" borderId="0" xfId="0" applyNumberFormat="1" applyFont="1"/>
    <xf numFmtId="0" fontId="18" fillId="0" borderId="20" xfId="0" applyFont="1" applyBorder="1"/>
    <xf numFmtId="0" fontId="17" fillId="0" borderId="21" xfId="0" quotePrefix="1" applyFont="1" applyBorder="1" applyAlignment="1">
      <alignment horizontal="center"/>
    </xf>
    <xf numFmtId="0" fontId="17" fillId="0" borderId="22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4" borderId="0" xfId="0" applyFont="1" applyFill="1"/>
    <xf numFmtId="37" fontId="18" fillId="4" borderId="0" xfId="0" applyNumberFormat="1" applyFont="1" applyFill="1"/>
    <xf numFmtId="0" fontId="17" fillId="0" borderId="23" xfId="0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25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166" fontId="18" fillId="0" borderId="0" xfId="0" applyNumberFormat="1" applyFont="1"/>
    <xf numFmtId="0" fontId="18" fillId="0" borderId="17" xfId="0" applyFont="1" applyBorder="1"/>
    <xf numFmtId="0" fontId="18" fillId="0" borderId="19" xfId="0" applyFont="1" applyBorder="1"/>
    <xf numFmtId="0" fontId="18" fillId="0" borderId="18" xfId="0" applyFont="1" applyBorder="1"/>
    <xf numFmtId="166" fontId="18" fillId="0" borderId="4" xfId="0" applyNumberFormat="1" applyFont="1" applyBorder="1"/>
    <xf numFmtId="37" fontId="18" fillId="0" borderId="21" xfId="0" applyNumberFormat="1" applyFont="1" applyBorder="1"/>
    <xf numFmtId="37" fontId="18" fillId="0" borderId="22" xfId="0" applyNumberFormat="1" applyFont="1" applyBorder="1"/>
    <xf numFmtId="0" fontId="18" fillId="0" borderId="22" xfId="0" applyFont="1" applyBorder="1"/>
    <xf numFmtId="0" fontId="18" fillId="0" borderId="21" xfId="0" applyFont="1" applyBorder="1"/>
    <xf numFmtId="167" fontId="18" fillId="0" borderId="0" xfId="0" applyNumberFormat="1" applyFont="1"/>
    <xf numFmtId="0" fontId="18" fillId="0" borderId="0" xfId="0" applyFont="1" applyAlignment="1">
      <alignment horizontal="center"/>
    </xf>
    <xf numFmtId="37" fontId="18" fillId="0" borderId="15" xfId="0" applyNumberFormat="1" applyFont="1" applyBorder="1"/>
    <xf numFmtId="37" fontId="18" fillId="4" borderId="0" xfId="0" applyNumberFormat="1" applyFont="1" applyFill="1" applyBorder="1"/>
    <xf numFmtId="0" fontId="18" fillId="0" borderId="0" xfId="0" applyFont="1" applyFill="1"/>
    <xf numFmtId="37" fontId="18" fillId="0" borderId="26" xfId="0" applyNumberFormat="1" applyFont="1" applyBorder="1"/>
    <xf numFmtId="37" fontId="18" fillId="0" borderId="27" xfId="0" applyNumberFormat="1" applyFont="1" applyBorder="1"/>
    <xf numFmtId="37" fontId="17" fillId="0" borderId="28" xfId="0" applyNumberFormat="1" applyFont="1" applyBorder="1"/>
    <xf numFmtId="37" fontId="17" fillId="0" borderId="0" xfId="0" applyNumberFormat="1" applyFont="1"/>
    <xf numFmtId="37" fontId="17" fillId="0" borderId="14" xfId="0" applyNumberFormat="1" applyFont="1" applyBorder="1"/>
    <xf numFmtId="0" fontId="18" fillId="0" borderId="23" xfId="0" applyFont="1" applyBorder="1"/>
    <xf numFmtId="37" fontId="18" fillId="0" borderId="24" xfId="0" applyNumberFormat="1" applyFont="1" applyBorder="1"/>
    <xf numFmtId="37" fontId="18" fillId="0" borderId="25" xfId="0" applyNumberFormat="1" applyFont="1" applyBorder="1"/>
    <xf numFmtId="0" fontId="18" fillId="5" borderId="0" xfId="0" applyFont="1" applyFill="1"/>
    <xf numFmtId="0" fontId="18" fillId="0" borderId="0" xfId="0" applyFont="1" applyBorder="1"/>
    <xf numFmtId="0" fontId="18" fillId="3" borderId="20" xfId="0" applyFont="1" applyFill="1" applyBorder="1"/>
    <xf numFmtId="37" fontId="18" fillId="3" borderId="21" xfId="0" applyNumberFormat="1" applyFont="1" applyFill="1" applyBorder="1"/>
    <xf numFmtId="37" fontId="18" fillId="3" borderId="22" xfId="0" applyNumberFormat="1" applyFont="1" applyFill="1" applyBorder="1"/>
    <xf numFmtId="0" fontId="18" fillId="3" borderId="22" xfId="0" applyFont="1" applyFill="1" applyBorder="1"/>
    <xf numFmtId="0" fontId="18" fillId="3" borderId="0" xfId="0" applyFont="1" applyFill="1" applyBorder="1"/>
    <xf numFmtId="0" fontId="20" fillId="3" borderId="20" xfId="0" applyFont="1" applyFill="1" applyBorder="1" applyAlignment="1">
      <alignment horizontal="left" indent="2"/>
    </xf>
    <xf numFmtId="0" fontId="18" fillId="6" borderId="20" xfId="0" applyFont="1" applyFill="1" applyBorder="1"/>
    <xf numFmtId="0" fontId="18" fillId="6" borderId="21" xfId="0" applyFont="1" applyFill="1" applyBorder="1"/>
    <xf numFmtId="0" fontId="18" fillId="6" borderId="22" xfId="0" applyFont="1" applyFill="1" applyBorder="1"/>
    <xf numFmtId="37" fontId="18" fillId="6" borderId="21" xfId="0" applyNumberFormat="1" applyFont="1" applyFill="1" applyBorder="1"/>
    <xf numFmtId="37" fontId="18" fillId="6" borderId="22" xfId="0" applyNumberFormat="1" applyFont="1" applyFill="1" applyBorder="1"/>
    <xf numFmtId="0" fontId="18" fillId="6" borderId="0" xfId="0" applyFont="1" applyFill="1" applyBorder="1"/>
    <xf numFmtId="0" fontId="20" fillId="6" borderId="20" xfId="0" applyFont="1" applyFill="1" applyBorder="1" applyAlignment="1">
      <alignment horizontal="left" indent="2"/>
    </xf>
    <xf numFmtId="0" fontId="18" fillId="3" borderId="21" xfId="0" applyFont="1" applyFill="1" applyBorder="1"/>
    <xf numFmtId="0" fontId="18" fillId="0" borderId="0" xfId="0" applyFont="1" applyAlignment="1">
      <alignment horizontal="left" indent="2"/>
    </xf>
    <xf numFmtId="37" fontId="20" fillId="6" borderId="20" xfId="0" applyNumberFormat="1" applyFont="1" applyFill="1" applyBorder="1" applyAlignment="1">
      <alignment horizontal="left" indent="2"/>
    </xf>
    <xf numFmtId="37" fontId="20" fillId="0" borderId="20" xfId="0" applyNumberFormat="1" applyFont="1" applyBorder="1" applyAlignment="1">
      <alignment horizontal="left" indent="2"/>
    </xf>
    <xf numFmtId="37" fontId="20" fillId="3" borderId="20" xfId="0" applyNumberFormat="1" applyFont="1" applyFill="1" applyBorder="1" applyAlignment="1">
      <alignment horizontal="left" indent="2"/>
    </xf>
    <xf numFmtId="0" fontId="20" fillId="0" borderId="0" xfId="0" applyFont="1" applyAlignment="1">
      <alignment horizontal="left" indent="3"/>
    </xf>
    <xf numFmtId="37" fontId="18" fillId="0" borderId="4" xfId="0" applyNumberFormat="1" applyFont="1" applyBorder="1"/>
    <xf numFmtId="37" fontId="18" fillId="6" borderId="0" xfId="0" applyNumberFormat="1" applyFont="1" applyFill="1" applyBorder="1"/>
    <xf numFmtId="0" fontId="18" fillId="0" borderId="24" xfId="0" applyFont="1" applyBorder="1"/>
    <xf numFmtId="0" fontId="18" fillId="0" borderId="25" xfId="0" applyFont="1" applyBorder="1"/>
    <xf numFmtId="0" fontId="18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7" fillId="0" borderId="0" xfId="0" quotePrefix="1" applyFont="1"/>
    <xf numFmtId="0" fontId="17" fillId="0" borderId="17" xfId="0" applyFont="1" applyBorder="1" applyAlignment="1">
      <alignment horizontal="center"/>
    </xf>
    <xf numFmtId="37" fontId="17" fillId="0" borderId="18" xfId="0" applyNumberFormat="1" applyFont="1" applyBorder="1" applyAlignment="1">
      <alignment horizontal="center"/>
    </xf>
    <xf numFmtId="37" fontId="17" fillId="0" borderId="19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8" fillId="0" borderId="20" xfId="0" applyFont="1" applyBorder="1"/>
    <xf numFmtId="0" fontId="17" fillId="0" borderId="21" xfId="0" quotePrefix="1" applyFont="1" applyBorder="1" applyAlignment="1">
      <alignment horizontal="center"/>
    </xf>
    <xf numFmtId="0" fontId="17" fillId="0" borderId="22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25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/>
    <xf numFmtId="37" fontId="18" fillId="0" borderId="0" xfId="0" applyNumberFormat="1" applyFont="1" applyBorder="1"/>
    <xf numFmtId="37" fontId="18" fillId="0" borderId="0" xfId="0" applyNumberFormat="1" applyFont="1"/>
    <xf numFmtId="0" fontId="18" fillId="6" borderId="20" xfId="0" applyFont="1" applyFill="1" applyBorder="1"/>
    <xf numFmtId="37" fontId="18" fillId="6" borderId="21" xfId="0" applyNumberFormat="1" applyFont="1" applyFill="1" applyBorder="1"/>
    <xf numFmtId="37" fontId="18" fillId="6" borderId="22" xfId="0" applyNumberFormat="1" applyFont="1" applyFill="1" applyBorder="1"/>
    <xf numFmtId="0" fontId="18" fillId="6" borderId="22" xfId="0" applyFont="1" applyFill="1" applyBorder="1"/>
    <xf numFmtId="0" fontId="18" fillId="6" borderId="0" xfId="0" applyFont="1" applyFill="1"/>
    <xf numFmtId="0" fontId="18" fillId="0" borderId="0" xfId="0" applyFont="1" applyAlignment="1">
      <alignment horizontal="left" indent="2"/>
    </xf>
    <xf numFmtId="37" fontId="18" fillId="0" borderId="0" xfId="0" applyNumberFormat="1" applyFont="1" applyFill="1" applyBorder="1"/>
    <xf numFmtId="37" fontId="20" fillId="6" borderId="20" xfId="0" applyNumberFormat="1" applyFont="1" applyFill="1" applyBorder="1" applyAlignment="1">
      <alignment horizontal="left" indent="2"/>
    </xf>
    <xf numFmtId="37" fontId="18" fillId="6" borderId="0" xfId="0" applyNumberFormat="1" applyFont="1" applyFill="1"/>
    <xf numFmtId="37" fontId="20" fillId="0" borderId="20" xfId="0" applyNumberFormat="1" applyFont="1" applyBorder="1" applyAlignment="1">
      <alignment horizontal="left" indent="2"/>
    </xf>
    <xf numFmtId="37" fontId="18" fillId="0" borderId="21" xfId="0" applyNumberFormat="1" applyFont="1" applyFill="1" applyBorder="1"/>
    <xf numFmtId="37" fontId="18" fillId="0" borderId="22" xfId="0" applyNumberFormat="1" applyFont="1" applyFill="1" applyBorder="1"/>
    <xf numFmtId="37" fontId="18" fillId="0" borderId="21" xfId="0" applyNumberFormat="1" applyFont="1" applyBorder="1"/>
    <xf numFmtId="37" fontId="18" fillId="0" borderId="22" xfId="0" applyNumberFormat="1" applyFont="1" applyBorder="1"/>
    <xf numFmtId="0" fontId="18" fillId="3" borderId="20" xfId="0" applyFont="1" applyFill="1" applyBorder="1"/>
    <xf numFmtId="37" fontId="18" fillId="3" borderId="21" xfId="0" applyNumberFormat="1" applyFont="1" applyFill="1" applyBorder="1"/>
    <xf numFmtId="0" fontId="18" fillId="3" borderId="22" xfId="0" applyFont="1" applyFill="1" applyBorder="1"/>
    <xf numFmtId="37" fontId="18" fillId="3" borderId="22" xfId="0" applyNumberFormat="1" applyFont="1" applyFill="1" applyBorder="1"/>
    <xf numFmtId="0" fontId="18" fillId="3" borderId="0" xfId="0" applyFont="1" applyFill="1"/>
    <xf numFmtId="37" fontId="20" fillId="3" borderId="20" xfId="0" applyNumberFormat="1" applyFont="1" applyFill="1" applyBorder="1" applyAlignment="1">
      <alignment horizontal="left" indent="2"/>
    </xf>
    <xf numFmtId="37" fontId="18" fillId="3" borderId="0" xfId="0" applyNumberFormat="1" applyFont="1" applyFill="1"/>
    <xf numFmtId="37" fontId="18" fillId="0" borderId="15" xfId="0" applyNumberFormat="1" applyFont="1" applyBorder="1"/>
    <xf numFmtId="37" fontId="18" fillId="0" borderId="20" xfId="0" applyNumberFormat="1" applyFont="1" applyBorder="1"/>
    <xf numFmtId="37" fontId="18" fillId="0" borderId="26" xfId="0" applyNumberFormat="1" applyFont="1" applyBorder="1"/>
    <xf numFmtId="37" fontId="18" fillId="0" borderId="27" xfId="0" applyNumberFormat="1" applyFont="1" applyBorder="1"/>
    <xf numFmtId="0" fontId="19" fillId="0" borderId="0" xfId="0" applyFont="1" applyAlignment="1">
      <alignment horizontal="center"/>
    </xf>
    <xf numFmtId="37" fontId="17" fillId="0" borderId="28" xfId="0" applyNumberFormat="1" applyFont="1" applyBorder="1"/>
    <xf numFmtId="2" fontId="18" fillId="0" borderId="0" xfId="0" applyNumberFormat="1" applyFont="1"/>
    <xf numFmtId="37" fontId="18" fillId="0" borderId="23" xfId="0" applyNumberFormat="1" applyFont="1" applyBorder="1"/>
    <xf numFmtId="37" fontId="18" fillId="0" borderId="24" xfId="0" applyNumberFormat="1" applyFont="1" applyBorder="1"/>
    <xf numFmtId="37" fontId="18" fillId="0" borderId="25" xfId="0" applyNumberFormat="1" applyFont="1" applyBorder="1"/>
    <xf numFmtId="167" fontId="18" fillId="0" borderId="0" xfId="0" applyNumberFormat="1" applyFont="1"/>
    <xf numFmtId="167" fontId="18" fillId="0" borderId="4" xfId="0" applyNumberFormat="1" applyFont="1" applyBorder="1"/>
    <xf numFmtId="0" fontId="5" fillId="0" borderId="13" xfId="0" applyFont="1" applyBorder="1"/>
    <xf numFmtId="0" fontId="18" fillId="0" borderId="12" xfId="0" applyFont="1" applyBorder="1"/>
    <xf numFmtId="0" fontId="18" fillId="0" borderId="11" xfId="0" applyFont="1" applyBorder="1"/>
    <xf numFmtId="0" fontId="5" fillId="0" borderId="8" xfId="0" applyFont="1" applyBorder="1"/>
    <xf numFmtId="37" fontId="4" fillId="0" borderId="0" xfId="0" applyNumberFormat="1" applyFont="1" applyFill="1" applyBorder="1" applyAlignment="1">
      <alignment horizontal="center"/>
    </xf>
    <xf numFmtId="37" fontId="4" fillId="0" borderId="9" xfId="0" applyNumberFormat="1" applyFont="1" applyFill="1" applyBorder="1" applyAlignment="1">
      <alignment horizontal="center"/>
    </xf>
    <xf numFmtId="0" fontId="2" fillId="0" borderId="8" xfId="0" applyFont="1" applyBorder="1"/>
    <xf numFmtId="37" fontId="2" fillId="0" borderId="0" xfId="0" applyNumberFormat="1" applyFont="1" applyBorder="1" applyAlignment="1">
      <alignment horizontal="center"/>
    </xf>
    <xf numFmtId="37" fontId="2" fillId="0" borderId="9" xfId="0" applyNumberFormat="1" applyFont="1" applyBorder="1" applyAlignment="1">
      <alignment horizontal="center"/>
    </xf>
    <xf numFmtId="0" fontId="21" fillId="0" borderId="8" xfId="0" applyFont="1" applyBorder="1" applyAlignment="1">
      <alignment horizontal="left" indent="1"/>
    </xf>
    <xf numFmtId="37" fontId="2" fillId="0" borderId="0" xfId="0" applyNumberFormat="1" applyFont="1" applyFill="1" applyBorder="1"/>
    <xf numFmtId="37" fontId="2" fillId="0" borderId="9" xfId="0" applyNumberFormat="1" applyFont="1" applyFill="1" applyBorder="1"/>
    <xf numFmtId="0" fontId="18" fillId="0" borderId="8" xfId="0" applyFont="1" applyBorder="1"/>
    <xf numFmtId="0" fontId="18" fillId="0" borderId="7" xfId="0" applyFont="1" applyBorder="1"/>
    <xf numFmtId="0" fontId="18" fillId="0" borderId="6" xfId="0" applyFont="1" applyBorder="1"/>
    <xf numFmtId="0" fontId="18" fillId="0" borderId="5" xfId="0" applyFont="1" applyBorder="1"/>
    <xf numFmtId="0" fontId="21" fillId="0" borderId="0" xfId="0" applyFont="1" applyAlignment="1">
      <alignment horizontal="left" indent="1"/>
    </xf>
    <xf numFmtId="37" fontId="2" fillId="0" borderId="0" xfId="0" applyNumberFormat="1" applyFont="1"/>
    <xf numFmtId="0" fontId="22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0" xfId="0" quotePrefix="1" applyFont="1"/>
    <xf numFmtId="0" fontId="17" fillId="0" borderId="17" xfId="0" applyFont="1" applyBorder="1" applyAlignment="1">
      <alignment horizontal="center"/>
    </xf>
    <xf numFmtId="37" fontId="17" fillId="0" borderId="18" xfId="0" applyNumberFormat="1" applyFont="1" applyBorder="1" applyAlignment="1">
      <alignment horizontal="center"/>
    </xf>
    <xf numFmtId="37" fontId="17" fillId="0" borderId="19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8" fillId="0" borderId="20" xfId="0" applyFont="1" applyBorder="1"/>
    <xf numFmtId="0" fontId="17" fillId="0" borderId="21" xfId="0" quotePrefix="1" applyFont="1" applyBorder="1" applyAlignment="1">
      <alignment horizontal="center"/>
    </xf>
    <xf numFmtId="0" fontId="17" fillId="0" borderId="22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25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/>
    <xf numFmtId="37" fontId="18" fillId="0" borderId="0" xfId="0" applyNumberFormat="1" applyFont="1" applyBorder="1"/>
    <xf numFmtId="37" fontId="18" fillId="0" borderId="0" xfId="0" applyNumberFormat="1" applyFont="1"/>
    <xf numFmtId="0" fontId="18" fillId="6" borderId="20" xfId="0" applyFont="1" applyFill="1" applyBorder="1"/>
    <xf numFmtId="37" fontId="18" fillId="6" borderId="21" xfId="0" applyNumberFormat="1" applyFont="1" applyFill="1" applyBorder="1"/>
    <xf numFmtId="37" fontId="18" fillId="6" borderId="22" xfId="0" applyNumberFormat="1" applyFont="1" applyFill="1" applyBorder="1"/>
    <xf numFmtId="0" fontId="18" fillId="6" borderId="22" xfId="0" applyFont="1" applyFill="1" applyBorder="1"/>
    <xf numFmtId="0" fontId="18" fillId="6" borderId="0" xfId="0" applyFont="1" applyFill="1"/>
    <xf numFmtId="0" fontId="18" fillId="0" borderId="0" xfId="0" applyFont="1" applyAlignment="1">
      <alignment horizontal="left" indent="2"/>
    </xf>
    <xf numFmtId="37" fontId="18" fillId="0" borderId="0" xfId="0" applyNumberFormat="1" applyFont="1" applyFill="1" applyBorder="1"/>
    <xf numFmtId="37" fontId="20" fillId="6" borderId="20" xfId="0" applyNumberFormat="1" applyFont="1" applyFill="1" applyBorder="1" applyAlignment="1">
      <alignment horizontal="left" indent="2"/>
    </xf>
    <xf numFmtId="37" fontId="18" fillId="6" borderId="0" xfId="0" applyNumberFormat="1" applyFont="1" applyFill="1"/>
    <xf numFmtId="37" fontId="20" fillId="0" borderId="20" xfId="0" applyNumberFormat="1" applyFont="1" applyBorder="1" applyAlignment="1">
      <alignment horizontal="left" indent="2"/>
    </xf>
    <xf numFmtId="37" fontId="18" fillId="0" borderId="21" xfId="0" applyNumberFormat="1" applyFont="1" applyFill="1" applyBorder="1"/>
    <xf numFmtId="37" fontId="18" fillId="0" borderId="22" xfId="0" applyNumberFormat="1" applyFont="1" applyFill="1" applyBorder="1"/>
    <xf numFmtId="37" fontId="18" fillId="0" borderId="21" xfId="0" applyNumberFormat="1" applyFont="1" applyBorder="1"/>
    <xf numFmtId="37" fontId="18" fillId="0" borderId="22" xfId="0" applyNumberFormat="1" applyFont="1" applyBorder="1"/>
    <xf numFmtId="0" fontId="18" fillId="3" borderId="20" xfId="0" applyFont="1" applyFill="1" applyBorder="1"/>
    <xf numFmtId="37" fontId="18" fillId="3" borderId="21" xfId="0" applyNumberFormat="1" applyFont="1" applyFill="1" applyBorder="1"/>
    <xf numFmtId="0" fontId="18" fillId="3" borderId="22" xfId="0" applyFont="1" applyFill="1" applyBorder="1"/>
    <xf numFmtId="37" fontId="18" fillId="3" borderId="22" xfId="0" applyNumberFormat="1" applyFont="1" applyFill="1" applyBorder="1"/>
    <xf numFmtId="0" fontId="18" fillId="3" borderId="0" xfId="0" applyFont="1" applyFill="1"/>
    <xf numFmtId="37" fontId="20" fillId="3" borderId="20" xfId="0" applyNumberFormat="1" applyFont="1" applyFill="1" applyBorder="1" applyAlignment="1">
      <alignment horizontal="left" indent="2"/>
    </xf>
    <xf numFmtId="37" fontId="18" fillId="3" borderId="0" xfId="0" applyNumberFormat="1" applyFont="1" applyFill="1"/>
    <xf numFmtId="37" fontId="18" fillId="0" borderId="15" xfId="0" applyNumberFormat="1" applyFont="1" applyBorder="1"/>
    <xf numFmtId="37" fontId="18" fillId="0" borderId="20" xfId="0" applyNumberFormat="1" applyFont="1" applyBorder="1"/>
    <xf numFmtId="37" fontId="18" fillId="0" borderId="26" xfId="0" applyNumberFormat="1" applyFont="1" applyBorder="1"/>
    <xf numFmtId="37" fontId="18" fillId="0" borderId="27" xfId="0" applyNumberFormat="1" applyFont="1" applyBorder="1"/>
    <xf numFmtId="0" fontId="19" fillId="0" borderId="0" xfId="0" applyFont="1" applyAlignment="1">
      <alignment horizontal="center"/>
    </xf>
    <xf numFmtId="37" fontId="17" fillId="0" borderId="28" xfId="0" applyNumberFormat="1" applyFont="1" applyBorder="1"/>
    <xf numFmtId="2" fontId="18" fillId="0" borderId="0" xfId="0" applyNumberFormat="1" applyFont="1"/>
    <xf numFmtId="37" fontId="18" fillId="0" borderId="23" xfId="0" applyNumberFormat="1" applyFont="1" applyBorder="1"/>
    <xf numFmtId="37" fontId="18" fillId="0" borderId="24" xfId="0" applyNumberFormat="1" applyFont="1" applyBorder="1"/>
    <xf numFmtId="37" fontId="18" fillId="0" borderId="25" xfId="0" applyNumberFormat="1" applyFont="1" applyBorder="1"/>
    <xf numFmtId="167" fontId="18" fillId="0" borderId="0" xfId="0" applyNumberFormat="1" applyFont="1"/>
    <xf numFmtId="167" fontId="18" fillId="0" borderId="4" xfId="0" applyNumberFormat="1" applyFont="1" applyBorder="1"/>
    <xf numFmtId="0" fontId="5" fillId="0" borderId="13" xfId="0" applyFont="1" applyBorder="1"/>
    <xf numFmtId="0" fontId="18" fillId="0" borderId="12" xfId="0" applyFont="1" applyBorder="1"/>
    <xf numFmtId="0" fontId="18" fillId="0" borderId="11" xfId="0" applyFont="1" applyBorder="1"/>
    <xf numFmtId="0" fontId="5" fillId="0" borderId="8" xfId="0" applyFont="1" applyBorder="1"/>
    <xf numFmtId="37" fontId="4" fillId="0" borderId="0" xfId="0" applyNumberFormat="1" applyFont="1" applyFill="1" applyBorder="1" applyAlignment="1">
      <alignment horizontal="center"/>
    </xf>
    <xf numFmtId="37" fontId="4" fillId="0" borderId="9" xfId="0" applyNumberFormat="1" applyFont="1" applyFill="1" applyBorder="1" applyAlignment="1">
      <alignment horizontal="center"/>
    </xf>
    <xf numFmtId="0" fontId="2" fillId="0" borderId="8" xfId="0" applyFont="1" applyBorder="1"/>
    <xf numFmtId="37" fontId="2" fillId="0" borderId="0" xfId="0" applyNumberFormat="1" applyFont="1" applyBorder="1" applyAlignment="1">
      <alignment horizontal="center"/>
    </xf>
    <xf numFmtId="37" fontId="2" fillId="0" borderId="9" xfId="0" applyNumberFormat="1" applyFont="1" applyBorder="1" applyAlignment="1">
      <alignment horizontal="center"/>
    </xf>
    <xf numFmtId="0" fontId="21" fillId="0" borderId="8" xfId="0" applyFont="1" applyBorder="1" applyAlignment="1">
      <alignment horizontal="left" indent="1"/>
    </xf>
    <xf numFmtId="37" fontId="2" fillId="0" borderId="0" xfId="0" applyNumberFormat="1" applyFont="1" applyFill="1" applyBorder="1"/>
    <xf numFmtId="37" fontId="2" fillId="0" borderId="9" xfId="0" applyNumberFormat="1" applyFont="1" applyFill="1" applyBorder="1"/>
    <xf numFmtId="0" fontId="18" fillId="0" borderId="8" xfId="0" applyFont="1" applyBorder="1"/>
    <xf numFmtId="0" fontId="18" fillId="0" borderId="7" xfId="0" applyFont="1" applyBorder="1"/>
    <xf numFmtId="0" fontId="18" fillId="0" borderId="6" xfId="0" applyFont="1" applyBorder="1"/>
    <xf numFmtId="0" fontId="18" fillId="0" borderId="5" xfId="0" applyFont="1" applyBorder="1"/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0" fontId="17" fillId="0" borderId="0" xfId="0" quotePrefix="1" applyFont="1"/>
    <xf numFmtId="0" fontId="17" fillId="0" borderId="17" xfId="0" applyFont="1" applyBorder="1" applyAlignment="1">
      <alignment horizontal="center"/>
    </xf>
    <xf numFmtId="37" fontId="17" fillId="0" borderId="18" xfId="0" applyNumberFormat="1" applyFont="1" applyBorder="1" applyAlignment="1">
      <alignment horizontal="center"/>
    </xf>
    <xf numFmtId="37" fontId="17" fillId="0" borderId="19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8" fillId="0" borderId="20" xfId="0" applyFont="1" applyBorder="1"/>
    <xf numFmtId="0" fontId="17" fillId="0" borderId="21" xfId="0" quotePrefix="1" applyFont="1" applyBorder="1" applyAlignment="1">
      <alignment horizontal="center"/>
    </xf>
    <xf numFmtId="0" fontId="17" fillId="0" borderId="22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25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/>
    <xf numFmtId="37" fontId="18" fillId="0" borderId="0" xfId="0" applyNumberFormat="1" applyFont="1" applyBorder="1"/>
    <xf numFmtId="37" fontId="18" fillId="0" borderId="0" xfId="0" applyNumberFormat="1" applyFont="1"/>
    <xf numFmtId="0" fontId="18" fillId="6" borderId="20" xfId="0" applyFont="1" applyFill="1" applyBorder="1"/>
    <xf numFmtId="37" fontId="18" fillId="6" borderId="21" xfId="0" applyNumberFormat="1" applyFont="1" applyFill="1" applyBorder="1"/>
    <xf numFmtId="37" fontId="18" fillId="6" borderId="22" xfId="0" applyNumberFormat="1" applyFont="1" applyFill="1" applyBorder="1"/>
    <xf numFmtId="0" fontId="18" fillId="6" borderId="22" xfId="0" applyFont="1" applyFill="1" applyBorder="1"/>
    <xf numFmtId="0" fontId="18" fillId="6" borderId="0" xfId="0" applyFont="1" applyFill="1"/>
    <xf numFmtId="0" fontId="18" fillId="0" borderId="0" xfId="0" applyFont="1" applyAlignment="1">
      <alignment horizontal="left" indent="2"/>
    </xf>
    <xf numFmtId="37" fontId="18" fillId="0" borderId="0" xfId="0" applyNumberFormat="1" applyFont="1" applyFill="1" applyBorder="1"/>
    <xf numFmtId="37" fontId="20" fillId="6" borderId="20" xfId="0" applyNumberFormat="1" applyFont="1" applyFill="1" applyBorder="1" applyAlignment="1">
      <alignment horizontal="left" indent="2"/>
    </xf>
    <xf numFmtId="37" fontId="18" fillId="6" borderId="0" xfId="0" applyNumberFormat="1" applyFont="1" applyFill="1"/>
    <xf numFmtId="37" fontId="20" fillId="0" borderId="20" xfId="0" applyNumberFormat="1" applyFont="1" applyBorder="1" applyAlignment="1">
      <alignment horizontal="left" indent="2"/>
    </xf>
    <xf numFmtId="37" fontId="18" fillId="0" borderId="21" xfId="0" applyNumberFormat="1" applyFont="1" applyFill="1" applyBorder="1"/>
    <xf numFmtId="37" fontId="18" fillId="0" borderId="22" xfId="0" applyNumberFormat="1" applyFont="1" applyFill="1" applyBorder="1"/>
    <xf numFmtId="37" fontId="18" fillId="0" borderId="21" xfId="0" applyNumberFormat="1" applyFont="1" applyBorder="1"/>
    <xf numFmtId="37" fontId="18" fillId="0" borderId="22" xfId="0" applyNumberFormat="1" applyFont="1" applyBorder="1"/>
    <xf numFmtId="0" fontId="18" fillId="3" borderId="20" xfId="0" applyFont="1" applyFill="1" applyBorder="1"/>
    <xf numFmtId="37" fontId="18" fillId="3" borderId="21" xfId="0" applyNumberFormat="1" applyFont="1" applyFill="1" applyBorder="1"/>
    <xf numFmtId="0" fontId="18" fillId="3" borderId="22" xfId="0" applyFont="1" applyFill="1" applyBorder="1"/>
    <xf numFmtId="37" fontId="18" fillId="3" borderId="22" xfId="0" applyNumberFormat="1" applyFont="1" applyFill="1" applyBorder="1"/>
    <xf numFmtId="0" fontId="18" fillId="3" borderId="0" xfId="0" applyFont="1" applyFill="1"/>
    <xf numFmtId="37" fontId="20" fillId="3" borderId="20" xfId="0" applyNumberFormat="1" applyFont="1" applyFill="1" applyBorder="1" applyAlignment="1">
      <alignment horizontal="left" indent="2"/>
    </xf>
    <xf numFmtId="37" fontId="18" fillId="3" borderId="0" xfId="0" applyNumberFormat="1" applyFont="1" applyFill="1"/>
    <xf numFmtId="37" fontId="18" fillId="0" borderId="15" xfId="0" applyNumberFormat="1" applyFont="1" applyBorder="1"/>
    <xf numFmtId="37" fontId="18" fillId="0" borderId="20" xfId="0" applyNumberFormat="1" applyFont="1" applyBorder="1"/>
    <xf numFmtId="37" fontId="18" fillId="0" borderId="26" xfId="0" applyNumberFormat="1" applyFont="1" applyBorder="1"/>
    <xf numFmtId="37" fontId="18" fillId="0" borderId="27" xfId="0" applyNumberFormat="1" applyFont="1" applyBorder="1"/>
    <xf numFmtId="37" fontId="17" fillId="0" borderId="28" xfId="0" applyNumberFormat="1" applyFont="1" applyBorder="1"/>
    <xf numFmtId="37" fontId="18" fillId="0" borderId="23" xfId="0" applyNumberFormat="1" applyFont="1" applyBorder="1"/>
    <xf numFmtId="37" fontId="18" fillId="0" borderId="24" xfId="0" applyNumberFormat="1" applyFont="1" applyBorder="1"/>
    <xf numFmtId="37" fontId="18" fillId="0" borderId="25" xfId="0" applyNumberFormat="1" applyFont="1" applyBorder="1"/>
    <xf numFmtId="0" fontId="19" fillId="0" borderId="0" xfId="0" applyFont="1" applyAlignment="1">
      <alignment horizontal="center"/>
    </xf>
    <xf numFmtId="2" fontId="18" fillId="0" borderId="0" xfId="0" applyNumberFormat="1" applyFont="1"/>
    <xf numFmtId="0" fontId="5" fillId="0" borderId="13" xfId="0" applyFont="1" applyBorder="1"/>
    <xf numFmtId="0" fontId="18" fillId="0" borderId="12" xfId="0" applyFont="1" applyBorder="1"/>
    <xf numFmtId="0" fontId="18" fillId="0" borderId="11" xfId="0" applyFont="1" applyBorder="1"/>
    <xf numFmtId="37" fontId="4" fillId="0" borderId="0" xfId="0" applyNumberFormat="1" applyFont="1" applyFill="1" applyBorder="1" applyAlignment="1">
      <alignment horizontal="center"/>
    </xf>
    <xf numFmtId="37" fontId="4" fillId="0" borderId="9" xfId="0" applyNumberFormat="1" applyFont="1" applyFill="1" applyBorder="1" applyAlignment="1">
      <alignment horizontal="center"/>
    </xf>
    <xf numFmtId="167" fontId="18" fillId="0" borderId="0" xfId="0" applyNumberFormat="1" applyFont="1"/>
    <xf numFmtId="37" fontId="2" fillId="0" borderId="0" xfId="0" applyNumberFormat="1" applyFont="1" applyBorder="1" applyAlignment="1">
      <alignment horizontal="center"/>
    </xf>
    <xf numFmtId="37" fontId="2" fillId="0" borderId="9" xfId="0" applyNumberFormat="1" applyFont="1" applyBorder="1" applyAlignment="1">
      <alignment horizontal="center"/>
    </xf>
    <xf numFmtId="167" fontId="18" fillId="0" borderId="4" xfId="0" applyNumberFormat="1" applyFont="1" applyBorder="1"/>
    <xf numFmtId="0" fontId="21" fillId="0" borderId="8" xfId="0" applyFont="1" applyBorder="1" applyAlignment="1">
      <alignment horizontal="left" indent="1"/>
    </xf>
    <xf numFmtId="37" fontId="2" fillId="0" borderId="9" xfId="0" applyNumberFormat="1" applyFont="1" applyFill="1" applyBorder="1"/>
    <xf numFmtId="0" fontId="18" fillId="0" borderId="8" xfId="0" applyFont="1" applyBorder="1"/>
    <xf numFmtId="37" fontId="2" fillId="0" borderId="0" xfId="0" applyNumberFormat="1" applyFont="1" applyFill="1" applyBorder="1"/>
    <xf numFmtId="37" fontId="2" fillId="0" borderId="9" xfId="0" applyNumberFormat="1" applyFont="1" applyFill="1" applyBorder="1"/>
    <xf numFmtId="0" fontId="18" fillId="0" borderId="7" xfId="0" applyFont="1" applyBorder="1"/>
    <xf numFmtId="0" fontId="18" fillId="0" borderId="6" xfId="0" applyFont="1" applyBorder="1"/>
    <xf numFmtId="0" fontId="18" fillId="0" borderId="5" xfId="0" applyFont="1" applyBorder="1"/>
    <xf numFmtId="0" fontId="21" fillId="0" borderId="0" xfId="0" applyFont="1" applyAlignment="1">
      <alignment horizontal="left" indent="1"/>
    </xf>
    <xf numFmtId="0" fontId="22" fillId="0" borderId="0" xfId="0" applyFont="1" applyAlignment="1">
      <alignment horizontal="left"/>
    </xf>
    <xf numFmtId="0" fontId="4" fillId="0" borderId="0" xfId="0" applyFont="1"/>
    <xf numFmtId="0" fontId="4" fillId="0" borderId="0" xfId="0" applyFont="1"/>
    <xf numFmtId="37" fontId="2" fillId="0" borderId="0" xfId="0" applyNumberFormat="1" applyFont="1"/>
    <xf numFmtId="37" fontId="2" fillId="0" borderId="1" xfId="0" applyNumberFormat="1" applyFont="1" applyBorder="1"/>
    <xf numFmtId="0" fontId="4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37" fontId="2" fillId="0" borderId="0" xfId="0" applyNumberFormat="1" applyFont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37" fontId="4" fillId="2" borderId="15" xfId="0" applyNumberFormat="1" applyFont="1" applyFill="1" applyBorder="1"/>
    <xf numFmtId="37" fontId="3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0" fontId="16" fillId="0" borderId="0" xfId="0" applyFont="1" applyAlignment="1">
      <alignment horizontal="left" indent="1"/>
    </xf>
    <xf numFmtId="0" fontId="4" fillId="3" borderId="0" xfId="0" applyFont="1" applyFill="1"/>
    <xf numFmtId="37" fontId="4" fillId="3" borderId="15" xfId="0" applyNumberFormat="1" applyFont="1" applyFill="1" applyBorder="1"/>
    <xf numFmtId="0" fontId="2" fillId="3" borderId="0" xfId="0" applyFont="1" applyFill="1"/>
    <xf numFmtId="37" fontId="2" fillId="3" borderId="0" xfId="0" applyNumberFormat="1" applyFont="1" applyFill="1" applyAlignment="1">
      <alignment horizontal="center"/>
    </xf>
    <xf numFmtId="0" fontId="3" fillId="0" borderId="0" xfId="0" applyFont="1" applyAlignment="1">
      <alignment horizontal="left" indent="1"/>
    </xf>
    <xf numFmtId="168" fontId="10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left"/>
    </xf>
    <xf numFmtId="37" fontId="4" fillId="0" borderId="14" xfId="0" applyNumberFormat="1" applyFont="1" applyFill="1" applyBorder="1"/>
    <xf numFmtId="0" fontId="0" fillId="0" borderId="0" xfId="0" applyAlignment="1">
      <alignment horizontal="left" indent="2"/>
    </xf>
    <xf numFmtId="0" fontId="25" fillId="0" borderId="0" xfId="7" quotePrefix="1" applyAlignment="1">
      <alignment horizontal="left" indent="2"/>
    </xf>
    <xf numFmtId="0" fontId="26" fillId="0" borderId="0" xfId="0" applyFont="1" applyAlignment="1">
      <alignment horizontal="center"/>
    </xf>
    <xf numFmtId="0" fontId="25" fillId="0" borderId="0" xfId="7" quotePrefix="1" applyFill="1" applyBorder="1" applyAlignment="1">
      <alignment horizontal="left" indent="2"/>
    </xf>
    <xf numFmtId="0" fontId="26" fillId="0" borderId="0" xfId="0" applyFont="1"/>
    <xf numFmtId="0" fontId="2" fillId="7" borderId="0" xfId="0" applyFont="1" applyFill="1"/>
    <xf numFmtId="0" fontId="4" fillId="7" borderId="0" xfId="0" applyFont="1" applyFill="1"/>
    <xf numFmtId="0" fontId="4" fillId="7" borderId="2" xfId="0" applyFont="1" applyFill="1" applyBorder="1" applyAlignment="1">
      <alignment horizontal="center"/>
    </xf>
    <xf numFmtId="0" fontId="4" fillId="7" borderId="2" xfId="0" applyFont="1" applyFill="1" applyBorder="1"/>
    <xf numFmtId="0" fontId="4" fillId="7" borderId="2" xfId="0" applyFont="1" applyFill="1" applyBorder="1" applyAlignment="1">
      <alignment horizontal="center" wrapText="1"/>
    </xf>
    <xf numFmtId="0" fontId="2" fillId="7" borderId="0" xfId="0" applyFont="1" applyFill="1" applyAlignment="1">
      <alignment horizontal="left" indent="2"/>
    </xf>
    <xf numFmtId="37" fontId="2" fillId="7" borderId="0" xfId="0" applyNumberFormat="1" applyFont="1" applyFill="1"/>
    <xf numFmtId="37" fontId="4" fillId="7" borderId="15" xfId="0" applyNumberFormat="1" applyFont="1" applyFill="1" applyBorder="1"/>
    <xf numFmtId="0" fontId="18" fillId="0" borderId="20" xfId="0" applyFont="1" applyFill="1" applyBorder="1"/>
    <xf numFmtId="0" fontId="18" fillId="0" borderId="21" xfId="0" applyFont="1" applyFill="1" applyBorder="1"/>
    <xf numFmtId="0" fontId="18" fillId="0" borderId="22" xfId="0" applyFont="1" applyFill="1" applyBorder="1"/>
    <xf numFmtId="0" fontId="18" fillId="0" borderId="0" xfId="0" applyFont="1" applyFill="1" applyBorder="1"/>
    <xf numFmtId="0" fontId="20" fillId="0" borderId="0" xfId="0" applyFont="1" applyAlignment="1">
      <alignment horizontal="center"/>
    </xf>
    <xf numFmtId="37" fontId="18" fillId="3" borderId="0" xfId="0" applyNumberFormat="1" applyFont="1" applyFill="1" applyBorder="1"/>
    <xf numFmtId="0" fontId="17" fillId="0" borderId="0" xfId="0" applyFont="1"/>
    <xf numFmtId="0" fontId="18" fillId="0" borderId="0" xfId="0" applyFont="1"/>
    <xf numFmtId="0" fontId="17" fillId="0" borderId="17" xfId="0" applyFont="1" applyBorder="1" applyAlignment="1">
      <alignment horizontal="center"/>
    </xf>
    <xf numFmtId="37" fontId="17" fillId="0" borderId="18" xfId="0" applyNumberFormat="1" applyFont="1" applyBorder="1" applyAlignment="1">
      <alignment horizontal="center"/>
    </xf>
    <xf numFmtId="37" fontId="17" fillId="0" borderId="19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quotePrefix="1" applyFont="1" applyBorder="1" applyAlignment="1">
      <alignment horizontal="center"/>
    </xf>
    <xf numFmtId="0" fontId="17" fillId="0" borderId="22" xfId="0" quotePrefix="1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37" fontId="17" fillId="0" borderId="24" xfId="0" applyNumberFormat="1" applyFont="1" applyBorder="1" applyAlignment="1">
      <alignment horizontal="center"/>
    </xf>
    <xf numFmtId="37" fontId="17" fillId="0" borderId="25" xfId="0" applyNumberFormat="1" applyFont="1" applyBorder="1" applyAlignment="1">
      <alignment horizontal="center"/>
    </xf>
    <xf numFmtId="0" fontId="18" fillId="0" borderId="0" xfId="0" applyFont="1" applyFill="1" applyBorder="1"/>
    <xf numFmtId="37" fontId="18" fillId="0" borderId="0" xfId="0" applyNumberFormat="1" applyFont="1" applyFill="1" applyBorder="1"/>
    <xf numFmtId="0" fontId="20" fillId="0" borderId="0" xfId="0" applyFont="1" applyFill="1" applyBorder="1" applyAlignment="1">
      <alignment horizontal="center"/>
    </xf>
    <xf numFmtId="37" fontId="18" fillId="0" borderId="4" xfId="0" applyNumberFormat="1" applyFont="1" applyFill="1" applyBorder="1"/>
    <xf numFmtId="0" fontId="17" fillId="3" borderId="2" xfId="0" applyFont="1" applyFill="1" applyBorder="1"/>
    <xf numFmtId="37" fontId="17" fillId="3" borderId="2" xfId="0" applyNumberFormat="1" applyFont="1" applyFill="1" applyBorder="1"/>
    <xf numFmtId="37" fontId="18" fillId="0" borderId="0" xfId="0" applyNumberFormat="1" applyFont="1"/>
    <xf numFmtId="0" fontId="18" fillId="0" borderId="0" xfId="0" applyFont="1" applyFill="1"/>
    <xf numFmtId="0" fontId="17" fillId="3" borderId="29" xfId="0" applyFont="1" applyFill="1" applyBorder="1"/>
    <xf numFmtId="37" fontId="17" fillId="3" borderId="29" xfId="0" applyNumberFormat="1" applyFont="1" applyFill="1" applyBorder="1"/>
    <xf numFmtId="0" fontId="17" fillId="0" borderId="2" xfId="0" applyFont="1" applyFill="1" applyBorder="1"/>
    <xf numFmtId="37" fontId="17" fillId="0" borderId="2" xfId="0" applyNumberFormat="1" applyFont="1" applyFill="1" applyBorder="1"/>
    <xf numFmtId="0" fontId="10" fillId="0" borderId="0" xfId="0" applyFont="1" applyFill="1" applyAlignment="1">
      <alignment horizontal="left" indent="1"/>
    </xf>
    <xf numFmtId="39" fontId="18" fillId="3" borderId="22" xfId="0" applyNumberFormat="1" applyFont="1" applyFill="1" applyBorder="1"/>
    <xf numFmtId="39" fontId="18" fillId="0" borderId="22" xfId="0" applyNumberFormat="1" applyFont="1" applyBorder="1"/>
    <xf numFmtId="39" fontId="18" fillId="6" borderId="22" xfId="0" applyNumberFormat="1" applyFont="1" applyFill="1" applyBorder="1"/>
    <xf numFmtId="39" fontId="18" fillId="0" borderId="22" xfId="0" applyNumberFormat="1" applyFont="1" applyFill="1" applyBorder="1"/>
    <xf numFmtId="39" fontId="18" fillId="0" borderId="0" xfId="0" applyNumberFormat="1" applyFont="1"/>
    <xf numFmtId="169" fontId="18" fillId="0" borderId="0" xfId="0" applyNumberFormat="1" applyFont="1"/>
    <xf numFmtId="0" fontId="27" fillId="0" borderId="0" xfId="0" applyFont="1"/>
    <xf numFmtId="37" fontId="4" fillId="0" borderId="16" xfId="0" applyNumberFormat="1" applyFont="1" applyBorder="1"/>
    <xf numFmtId="0" fontId="24" fillId="0" borderId="0" xfId="0" applyFont="1" applyFill="1"/>
    <xf numFmtId="37" fontId="2" fillId="0" borderId="0" xfId="0" applyNumberFormat="1" applyFont="1" applyAlignment="1"/>
    <xf numFmtId="0" fontId="2" fillId="0" borderId="0" xfId="0" applyFont="1" applyAlignment="1">
      <alignment horizontal="left"/>
    </xf>
    <xf numFmtId="10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</cellXfs>
  <cellStyles count="8">
    <cellStyle name="_FPL Group TI &amp; PTC v12.04 r1 " xfId="1"/>
    <cellStyle name="_O&amp;M Detail -cc " xfId="2"/>
    <cellStyle name="Hyperlink" xfId="7" builtinId="8"/>
    <cellStyle name="Millares [0]_2AV_M_M " xfId="3"/>
    <cellStyle name="Millares_2AV_M_M " xfId="4"/>
    <cellStyle name="Moneda [0]_2AV_M_M " xfId="5"/>
    <cellStyle name="Moneda_2AV_M_M " xf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8313</xdr:colOff>
      <xdr:row>1</xdr:row>
      <xdr:rowOff>174566</xdr:rowOff>
    </xdr:from>
    <xdr:to>
      <xdr:col>11</xdr:col>
      <xdr:colOff>332085</xdr:colOff>
      <xdr:row>36</xdr:row>
      <xdr:rowOff>24938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829" y="365759"/>
          <a:ext cx="6308936" cy="65421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18</xdr:col>
      <xdr:colOff>398299</xdr:colOff>
      <xdr:row>26</xdr:row>
      <xdr:rowOff>124448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8516" y="631767"/>
          <a:ext cx="10573078" cy="36074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18</xdr:col>
      <xdr:colOff>539606</xdr:colOff>
      <xdr:row>52</xdr:row>
      <xdr:rowOff>149396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516" y="4912822"/>
          <a:ext cx="10714385" cy="34661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18</xdr:col>
      <xdr:colOff>248680</xdr:colOff>
      <xdr:row>77</xdr:row>
      <xdr:rowOff>99544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8516" y="9185564"/>
          <a:ext cx="10423459" cy="310043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18</xdr:col>
      <xdr:colOff>281929</xdr:colOff>
      <xdr:row>102</xdr:row>
      <xdr:rowOff>33048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98516" y="13142422"/>
          <a:ext cx="10456708" cy="3033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/>
  </sheetViews>
  <sheetFormatPr defaultRowHeight="12.75" x14ac:dyDescent="0.2"/>
  <cols>
    <col min="1" max="1" width="4" customWidth="1"/>
    <col min="2" max="2" width="38.42578125" customWidth="1"/>
  </cols>
  <sheetData>
    <row r="1" spans="1:2" x14ac:dyDescent="0.2">
      <c r="A1" s="455" t="s">
        <v>709</v>
      </c>
      <c r="B1" s="455"/>
    </row>
    <row r="2" spans="1:2" x14ac:dyDescent="0.2">
      <c r="A2" s="455" t="s">
        <v>710</v>
      </c>
      <c r="B2" s="455"/>
    </row>
    <row r="3" spans="1:2" x14ac:dyDescent="0.2">
      <c r="B3" s="393" t="s">
        <v>641</v>
      </c>
    </row>
    <row r="7" spans="1:2" x14ac:dyDescent="0.2">
      <c r="B7" s="395" t="s">
        <v>648</v>
      </c>
    </row>
    <row r="8" spans="1:2" x14ac:dyDescent="0.2">
      <c r="B8" s="392" t="s">
        <v>634</v>
      </c>
    </row>
    <row r="9" spans="1:2" x14ac:dyDescent="0.2">
      <c r="B9" s="392" t="s">
        <v>686</v>
      </c>
    </row>
    <row r="10" spans="1:2" x14ac:dyDescent="0.2">
      <c r="B10" s="392" t="s">
        <v>653</v>
      </c>
    </row>
    <row r="13" spans="1:2" x14ac:dyDescent="0.2">
      <c r="B13" s="395" t="s">
        <v>635</v>
      </c>
    </row>
    <row r="14" spans="1:2" x14ac:dyDescent="0.2">
      <c r="B14" s="392" t="s">
        <v>636</v>
      </c>
    </row>
    <row r="15" spans="1:2" x14ac:dyDescent="0.2">
      <c r="B15" s="392" t="s">
        <v>637</v>
      </c>
    </row>
    <row r="16" spans="1:2" x14ac:dyDescent="0.2">
      <c r="B16" s="392" t="s">
        <v>638</v>
      </c>
    </row>
    <row r="17" spans="2:3" x14ac:dyDescent="0.2">
      <c r="B17" s="392" t="s">
        <v>639</v>
      </c>
    </row>
    <row r="18" spans="2:3" x14ac:dyDescent="0.2">
      <c r="B18" s="392" t="s">
        <v>640</v>
      </c>
    </row>
    <row r="19" spans="2:3" x14ac:dyDescent="0.2">
      <c r="C19" s="391"/>
    </row>
    <row r="21" spans="2:3" x14ac:dyDescent="0.2">
      <c r="B21" s="395" t="s">
        <v>642</v>
      </c>
    </row>
    <row r="22" spans="2:3" x14ac:dyDescent="0.2">
      <c r="B22" s="392" t="s">
        <v>644</v>
      </c>
    </row>
    <row r="23" spans="2:3" x14ac:dyDescent="0.2">
      <c r="B23" s="394" t="s">
        <v>643</v>
      </c>
    </row>
    <row r="24" spans="2:3" x14ac:dyDescent="0.2">
      <c r="B24" s="394" t="s">
        <v>645</v>
      </c>
    </row>
    <row r="25" spans="2:3" x14ac:dyDescent="0.2">
      <c r="B25" s="392" t="s">
        <v>646</v>
      </c>
    </row>
    <row r="26" spans="2:3" x14ac:dyDescent="0.2">
      <c r="B26" s="392" t="s">
        <v>647</v>
      </c>
    </row>
    <row r="27" spans="2:3" x14ac:dyDescent="0.2">
      <c r="B27" s="392" t="s">
        <v>687</v>
      </c>
    </row>
    <row r="29" spans="2:3" x14ac:dyDescent="0.2">
      <c r="B29" s="391"/>
    </row>
    <row r="30" spans="2:3" x14ac:dyDescent="0.2">
      <c r="B30" s="395" t="s">
        <v>649</v>
      </c>
    </row>
    <row r="31" spans="2:3" x14ac:dyDescent="0.2">
      <c r="B31" s="392" t="s">
        <v>650</v>
      </c>
    </row>
    <row r="32" spans="2:3" x14ac:dyDescent="0.2">
      <c r="B32" s="392" t="s">
        <v>651</v>
      </c>
    </row>
    <row r="33" spans="2:3" x14ac:dyDescent="0.2">
      <c r="B33" s="392" t="s">
        <v>652</v>
      </c>
    </row>
    <row r="38" spans="2:3" x14ac:dyDescent="0.2">
      <c r="B38" s="391"/>
    </row>
    <row r="39" spans="2:3" x14ac:dyDescent="0.2">
      <c r="C39" s="391"/>
    </row>
  </sheetData>
  <hyperlinks>
    <hyperlink ref="B8" location="'Total ADIT by FERC Account'!A1" display="Total ADIT by FERC Account"/>
    <hyperlink ref="B14" location="'Total Excess ADIT'!A1" display="'Total Excess ADIT"/>
    <hyperlink ref="B15" location="'FPL Excess ADIT'!A1" display="'FPL Excess ADIT"/>
    <hyperlink ref="B16" location="'CBAS Excess ADIT'!A1" display="'CBAS Excess ADIT"/>
    <hyperlink ref="B17" location="'ICL Excess ADIT'!A1" display="'ICL Excess ADIT"/>
    <hyperlink ref="B18" location="'Enersys Excess ADIT'!A1" display="'Enersys Excess ADIT"/>
    <hyperlink ref="B22" location="'FPL FAS109 B4 Tax Reform'!A1" display="FPL FAS109 - Without Tax Reform"/>
    <hyperlink ref="B23" location="'FPL FAS109 w Tax Reform'!A1" display="'FPL FAS109 - With Tax Reform"/>
    <hyperlink ref="B24" location="'CBAS FAS109 Entry'!A1" display="CBAS FAS109"/>
    <hyperlink ref="B25" location="'ICL FAS109 Entry'!A1" display="'ICL FAS109"/>
    <hyperlink ref="B26" location="'Enersys FAS109 Entry'!A1" display="'Enersys FAS109"/>
    <hyperlink ref="B31" location="'OTP FED Pre-Tax Balances'!A1" display="'Federal Pre-Tax Balances"/>
    <hyperlink ref="B32" location="'OTP State Pre-Tax'!A1" display="State Pre-Tax Balances"/>
    <hyperlink ref="B33" location="'OTP Total Deferred Taxes'!A1" display="'Total Deferred Tax Balances"/>
    <hyperlink ref="B10" location="'SAP General Ledger Balances'!A1" display="'SAP General Ledger Balances"/>
    <hyperlink ref="B9" location="'Tax Reform Summary'!A1" display="'Tax Reform Summary"/>
    <hyperlink ref="B27" location="'SAP FAS109 2017 Q4 Entries'!A1" display="'SAP Journal Entrie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1"/>
  <sheetViews>
    <sheetView zoomScale="110" zoomScaleNormal="110" workbookViewId="0">
      <selection activeCell="D1" sqref="D1:E2"/>
    </sheetView>
  </sheetViews>
  <sheetFormatPr defaultColWidth="8" defaultRowHeight="14.1" customHeight="1" x14ac:dyDescent="0.2"/>
  <cols>
    <col min="1" max="1" width="19.7109375" style="76" customWidth="1"/>
    <col min="2" max="2" width="12.140625" style="76" customWidth="1"/>
    <col min="3" max="3" width="1.5703125" style="76" customWidth="1"/>
    <col min="4" max="5" width="12" style="76" customWidth="1"/>
    <col min="6" max="6" width="12.42578125" style="76" customWidth="1"/>
    <col min="7" max="7" width="1.5703125" style="76" customWidth="1"/>
    <col min="8" max="8" width="14.140625" style="76" customWidth="1"/>
    <col min="9" max="9" width="1.5703125" style="76" customWidth="1"/>
    <col min="10" max="10" width="12" style="76" customWidth="1"/>
    <col min="11" max="11" width="1.5703125" style="76" customWidth="1"/>
    <col min="12" max="12" width="11.7109375" style="76" customWidth="1"/>
    <col min="13" max="13" width="11.140625" style="76" customWidth="1"/>
    <col min="14" max="14" width="13.140625" style="76" customWidth="1"/>
    <col min="15" max="15" width="8.42578125" style="76" customWidth="1"/>
    <col min="16" max="16" width="21.42578125" style="76" customWidth="1"/>
    <col min="17" max="18" width="12.42578125" style="76" customWidth="1"/>
    <col min="19" max="19" width="13.28515625" style="76" customWidth="1"/>
    <col min="20" max="20" width="10.5703125" style="76" customWidth="1"/>
    <col min="21" max="21" width="11.7109375" style="76" customWidth="1"/>
    <col min="22" max="22" width="10.7109375" style="76" customWidth="1"/>
    <col min="23" max="23" width="2.42578125" style="76" customWidth="1"/>
    <col min="24" max="24" width="11.28515625" style="76" customWidth="1"/>
    <col min="25" max="25" width="14.7109375" style="76" customWidth="1"/>
    <col min="26" max="26" width="5.28515625" style="76" customWidth="1"/>
    <col min="27" max="27" width="13.85546875" style="76" customWidth="1"/>
    <col min="28" max="28" width="5.28515625" style="76" customWidth="1"/>
    <col min="29" max="29" width="17.7109375" style="76" customWidth="1"/>
    <col min="30" max="30" width="8.5703125" style="76" customWidth="1"/>
    <col min="31" max="31" width="30.5703125" style="76" customWidth="1"/>
    <col min="32" max="37" width="11" style="76" customWidth="1"/>
    <col min="38" max="38" width="3.42578125" style="76" customWidth="1"/>
    <col min="39" max="40" width="11" style="76" customWidth="1"/>
    <col min="41" max="16384" width="8" style="76"/>
  </cols>
  <sheetData>
    <row r="1" spans="1:31" ht="14.1" customHeight="1" x14ac:dyDescent="0.2">
      <c r="A1" s="75" t="s">
        <v>563</v>
      </c>
      <c r="D1" s="455" t="s">
        <v>719</v>
      </c>
      <c r="E1" s="455"/>
    </row>
    <row r="2" spans="1:31" ht="14.1" customHeight="1" x14ac:dyDescent="0.2">
      <c r="A2" s="75" t="s">
        <v>502</v>
      </c>
      <c r="D2" s="455" t="s">
        <v>710</v>
      </c>
      <c r="E2" s="455"/>
    </row>
    <row r="3" spans="1:31" ht="14.1" customHeight="1" x14ac:dyDescent="0.2">
      <c r="A3" s="77" t="s">
        <v>503</v>
      </c>
    </row>
    <row r="5" spans="1:31" ht="14.1" customHeight="1" x14ac:dyDescent="0.2">
      <c r="A5" s="453" t="s">
        <v>504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</row>
    <row r="7" spans="1:31" ht="14.1" customHeight="1" x14ac:dyDescent="0.2">
      <c r="A7" s="78" t="s">
        <v>505</v>
      </c>
      <c r="B7" s="78" t="s">
        <v>506</v>
      </c>
      <c r="C7" s="78"/>
      <c r="D7" s="78" t="s">
        <v>467</v>
      </c>
      <c r="E7" s="78" t="s">
        <v>465</v>
      </c>
      <c r="F7" s="78" t="s">
        <v>507</v>
      </c>
      <c r="G7" s="78"/>
      <c r="H7" s="78" t="s">
        <v>508</v>
      </c>
      <c r="I7" s="78"/>
      <c r="J7" s="78" t="s">
        <v>509</v>
      </c>
      <c r="L7" s="78" t="s">
        <v>467</v>
      </c>
      <c r="M7" s="78" t="s">
        <v>465</v>
      </c>
      <c r="N7" s="78" t="s">
        <v>510</v>
      </c>
      <c r="P7" s="75" t="s">
        <v>511</v>
      </c>
    </row>
    <row r="8" spans="1:31" ht="14.1" customHeight="1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AC8" s="80" t="s">
        <v>512</v>
      </c>
    </row>
    <row r="9" spans="1:31" ht="14.1" customHeight="1" x14ac:dyDescent="0.2">
      <c r="A9" s="76" t="s">
        <v>513</v>
      </c>
      <c r="B9" s="81">
        <v>120036869.29119998</v>
      </c>
      <c r="C9" s="79"/>
      <c r="D9" s="79">
        <f>ROUND(B9*AD14,0)</f>
        <v>39702195</v>
      </c>
      <c r="E9" s="79">
        <f>ROUND(B9*AD10,0)</f>
        <v>6602028</v>
      </c>
      <c r="F9" s="79">
        <f>D9+E9</f>
        <v>46304223</v>
      </c>
      <c r="G9" s="79"/>
      <c r="H9" s="79">
        <f>ROUND(F9/AD16,0)</f>
        <v>75383350</v>
      </c>
      <c r="I9" s="79"/>
      <c r="J9" s="79">
        <f>H9-F9</f>
        <v>29079127</v>
      </c>
      <c r="K9" s="79"/>
      <c r="L9" s="79">
        <f>ROUND(F9*(AD14/AD16),0)</f>
        <v>24933043</v>
      </c>
      <c r="M9" s="79">
        <f>ROUND(F9*(AD10/AD16),0)</f>
        <v>4146084</v>
      </c>
      <c r="N9" s="79">
        <f>L9+M9</f>
        <v>29079127</v>
      </c>
      <c r="P9" s="82"/>
      <c r="Q9" s="83" t="s">
        <v>467</v>
      </c>
      <c r="R9" s="84" t="s">
        <v>465</v>
      </c>
      <c r="S9" s="83" t="s">
        <v>467</v>
      </c>
      <c r="T9" s="84" t="s">
        <v>465</v>
      </c>
      <c r="U9" s="83" t="s">
        <v>467</v>
      </c>
      <c r="V9" s="84" t="s">
        <v>465</v>
      </c>
      <c r="W9" s="85"/>
      <c r="X9" s="86" t="s">
        <v>514</v>
      </c>
      <c r="Y9" s="87" t="s">
        <v>514</v>
      </c>
      <c r="AC9" s="76" t="s">
        <v>515</v>
      </c>
      <c r="AD9" s="88">
        <v>0.35</v>
      </c>
    </row>
    <row r="10" spans="1:31" ht="14.1" customHeight="1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P10" s="89"/>
      <c r="Q10" s="90" t="s">
        <v>516</v>
      </c>
      <c r="R10" s="91" t="s">
        <v>517</v>
      </c>
      <c r="S10" s="90" t="s">
        <v>518</v>
      </c>
      <c r="T10" s="91" t="s">
        <v>519</v>
      </c>
      <c r="U10" s="90" t="s">
        <v>520</v>
      </c>
      <c r="V10" s="91" t="s">
        <v>521</v>
      </c>
      <c r="W10" s="92"/>
      <c r="X10" s="90" t="s">
        <v>522</v>
      </c>
      <c r="Y10" s="91" t="s">
        <v>523</v>
      </c>
      <c r="AC10" s="76" t="s">
        <v>524</v>
      </c>
      <c r="AD10" s="76">
        <v>5.5E-2</v>
      </c>
    </row>
    <row r="11" spans="1:31" ht="14.1" customHeight="1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P11" s="95"/>
      <c r="Q11" s="96" t="s">
        <v>525</v>
      </c>
      <c r="R11" s="97" t="s">
        <v>525</v>
      </c>
      <c r="S11" s="96" t="s">
        <v>526</v>
      </c>
      <c r="T11" s="97" t="s">
        <v>526</v>
      </c>
      <c r="U11" s="96" t="s">
        <v>527</v>
      </c>
      <c r="V11" s="97" t="s">
        <v>527</v>
      </c>
      <c r="W11" s="98"/>
      <c r="X11" s="96" t="s">
        <v>528</v>
      </c>
      <c r="Y11" s="97" t="s">
        <v>529</v>
      </c>
      <c r="AC11" s="76" t="s">
        <v>466</v>
      </c>
      <c r="AD11" s="99">
        <f>AD10*-AD9</f>
        <v>-1.925E-2</v>
      </c>
    </row>
    <row r="12" spans="1:31" ht="14.1" customHeight="1" x14ac:dyDescent="0.2">
      <c r="B12" s="79"/>
      <c r="C12" s="79"/>
      <c r="D12" s="79"/>
      <c r="E12" s="79"/>
      <c r="F12" s="79"/>
      <c r="G12" s="79"/>
      <c r="H12" s="79"/>
      <c r="I12" s="79"/>
      <c r="J12" s="79"/>
      <c r="K12" s="79"/>
      <c r="P12" s="332" t="s">
        <v>547</v>
      </c>
      <c r="Q12" s="333">
        <f>D9</f>
        <v>39702195</v>
      </c>
      <c r="R12" s="335">
        <f>E9</f>
        <v>6602028</v>
      </c>
      <c r="S12" s="333"/>
      <c r="T12" s="335"/>
      <c r="U12" s="333"/>
      <c r="V12" s="334"/>
      <c r="W12" s="127"/>
      <c r="X12" s="333"/>
      <c r="Y12" s="335">
        <f>-Q12-R12</f>
        <v>-46304223</v>
      </c>
      <c r="AC12" s="76" t="s">
        <v>530</v>
      </c>
      <c r="AD12" s="103">
        <f>SUM(AD9:AD11)</f>
        <v>0.38574999999999998</v>
      </c>
    </row>
    <row r="13" spans="1:31" ht="14.1" customHeight="1" x14ac:dyDescent="0.2">
      <c r="A13" s="76" t="s">
        <v>531</v>
      </c>
      <c r="B13" s="81">
        <v>-62693876.899999999</v>
      </c>
      <c r="C13" s="81"/>
      <c r="D13" s="81">
        <f>ROUND(B13*AD14,0)</f>
        <v>-20736000</v>
      </c>
      <c r="E13" s="81">
        <f>ROUND(B13*AD10,0)</f>
        <v>-3448163</v>
      </c>
      <c r="F13" s="81">
        <f>D13+E13</f>
        <v>-24184163</v>
      </c>
      <c r="G13" s="81"/>
      <c r="H13" s="81">
        <f>ROUND(F13/AD16,0)</f>
        <v>-39371857</v>
      </c>
      <c r="I13" s="81"/>
      <c r="J13" s="81">
        <f>H13-F13</f>
        <v>-15187694</v>
      </c>
      <c r="K13" s="81"/>
      <c r="L13" s="81">
        <f>ROUND(F13*(AD14/AD16),0)</f>
        <v>-13022242</v>
      </c>
      <c r="M13" s="81">
        <f>ROUND(F13*(AD10/AD16),0)</f>
        <v>-2165452</v>
      </c>
      <c r="N13" s="81">
        <f>L13+M13</f>
        <v>-15187694</v>
      </c>
      <c r="P13" s="128" t="s">
        <v>532</v>
      </c>
      <c r="Q13" s="333">
        <f>L9</f>
        <v>24933043</v>
      </c>
      <c r="R13" s="335">
        <f>M9</f>
        <v>4146084</v>
      </c>
      <c r="S13" s="333"/>
      <c r="T13" s="335"/>
      <c r="U13" s="333"/>
      <c r="V13" s="334"/>
      <c r="W13" s="127"/>
      <c r="X13" s="333"/>
      <c r="Y13" s="335">
        <f>-Q13-R13</f>
        <v>-29079127</v>
      </c>
    </row>
    <row r="14" spans="1:31" ht="14.1" customHeight="1" x14ac:dyDescent="0.2">
      <c r="A14" s="76" t="s">
        <v>533</v>
      </c>
      <c r="B14" s="81">
        <v>4229978.25</v>
      </c>
      <c r="C14" s="81"/>
      <c r="D14" s="81">
        <f>ROUND(B14*AD14,0)</f>
        <v>1399065</v>
      </c>
      <c r="E14" s="81">
        <f>ROUND(B14*AD10,0)</f>
        <v>232649</v>
      </c>
      <c r="F14" s="81">
        <f>D14+E14</f>
        <v>1631714</v>
      </c>
      <c r="G14" s="81"/>
      <c r="H14" s="81">
        <f>ROUND(F14/AD16,0)</f>
        <v>2656433</v>
      </c>
      <c r="I14" s="81"/>
      <c r="J14" s="81">
        <f>H14-F14</f>
        <v>1024719</v>
      </c>
      <c r="K14" s="81"/>
      <c r="L14" s="81">
        <f>ROUND(F14*(AD14/AD16),0)</f>
        <v>878615</v>
      </c>
      <c r="M14" s="81">
        <f>ROUND(F14*(AD10/AD16),0)</f>
        <v>146104</v>
      </c>
      <c r="N14" s="81">
        <f>L14+M14</f>
        <v>1024719</v>
      </c>
      <c r="P14" s="305"/>
      <c r="Q14" s="314"/>
      <c r="R14" s="315"/>
      <c r="S14" s="314"/>
      <c r="T14" s="315"/>
      <c r="U14" s="314"/>
      <c r="V14" s="315"/>
      <c r="W14" s="297"/>
      <c r="X14" s="314"/>
      <c r="Y14" s="315"/>
      <c r="AC14" s="76" t="s">
        <v>534</v>
      </c>
      <c r="AD14" s="108">
        <f>AD9+AD11</f>
        <v>0.33074999999999999</v>
      </c>
    </row>
    <row r="15" spans="1:31" ht="14.1" customHeight="1" thickBot="1" x14ac:dyDescent="0.25">
      <c r="A15" s="109" t="s">
        <v>535</v>
      </c>
      <c r="B15" s="110">
        <f>B13+B14</f>
        <v>-58463898.649999999</v>
      </c>
      <c r="C15" s="79"/>
      <c r="D15" s="110">
        <f>D13+D14</f>
        <v>-19336935</v>
      </c>
      <c r="E15" s="110">
        <f>E13+E14</f>
        <v>-3215514</v>
      </c>
      <c r="F15" s="110">
        <f>F13+F14</f>
        <v>-22552449</v>
      </c>
      <c r="G15" s="79"/>
      <c r="H15" s="110">
        <f>H13+H14</f>
        <v>-36715424</v>
      </c>
      <c r="I15" s="79"/>
      <c r="J15" s="110">
        <f>J13+J14</f>
        <v>-14162975</v>
      </c>
      <c r="K15" s="79"/>
      <c r="L15" s="110">
        <f>L13+L14</f>
        <v>-12143627</v>
      </c>
      <c r="M15" s="110">
        <f>M13+M14</f>
        <v>-2019348</v>
      </c>
      <c r="N15" s="110">
        <f>N13+N14</f>
        <v>-14162975</v>
      </c>
      <c r="P15" s="318" t="s">
        <v>548</v>
      </c>
      <c r="Q15" s="130"/>
      <c r="R15" s="321"/>
      <c r="S15" s="319">
        <f>D15</f>
        <v>-19336935</v>
      </c>
      <c r="T15" s="320">
        <f>E15</f>
        <v>-3215514</v>
      </c>
      <c r="U15" s="130"/>
      <c r="V15" s="321"/>
      <c r="W15" s="134"/>
      <c r="X15" s="319">
        <f>-S15-T15</f>
        <v>22552449</v>
      </c>
      <c r="Y15" s="320"/>
    </row>
    <row r="16" spans="1:31" ht="14.1" customHeight="1" thickTop="1" x14ac:dyDescent="0.2">
      <c r="P16" s="135" t="s">
        <v>549</v>
      </c>
      <c r="Q16" s="130"/>
      <c r="R16" s="321"/>
      <c r="S16" s="130"/>
      <c r="T16" s="321"/>
      <c r="U16" s="319">
        <f>L15</f>
        <v>-12143627</v>
      </c>
      <c r="V16" s="320">
        <f>M15</f>
        <v>-2019348</v>
      </c>
      <c r="W16" s="134"/>
      <c r="X16" s="319">
        <f>-U16-V16</f>
        <v>14162975</v>
      </c>
      <c r="Y16" s="320"/>
      <c r="AC16" s="76" t="s">
        <v>536</v>
      </c>
      <c r="AD16" s="108">
        <f>1-AD12</f>
        <v>0.61424999999999996</v>
      </c>
      <c r="AE16" s="76" t="s">
        <v>537</v>
      </c>
    </row>
    <row r="17" spans="1:40" ht="14.1" customHeight="1" x14ac:dyDescent="0.2">
      <c r="A17" s="93"/>
      <c r="B17" s="94"/>
      <c r="C17" s="94"/>
      <c r="D17" s="111"/>
      <c r="E17" s="111"/>
      <c r="F17" s="111"/>
      <c r="G17" s="94"/>
      <c r="H17" s="111"/>
      <c r="I17" s="94"/>
      <c r="J17" s="111"/>
      <c r="K17" s="111"/>
      <c r="L17" s="111"/>
      <c r="M17" s="111"/>
      <c r="N17" s="111"/>
      <c r="P17" s="305"/>
      <c r="Q17" s="314"/>
      <c r="R17" s="315"/>
      <c r="S17" s="314"/>
      <c r="T17" s="315"/>
      <c r="U17" s="314"/>
      <c r="V17" s="315"/>
      <c r="W17" s="297"/>
      <c r="X17" s="314"/>
      <c r="Y17" s="315"/>
    </row>
    <row r="18" spans="1:40" ht="14.1" customHeight="1" x14ac:dyDescent="0.2">
      <c r="P18" s="332" t="s">
        <v>551</v>
      </c>
      <c r="Q18" s="333"/>
      <c r="R18" s="334"/>
      <c r="S18" s="333">
        <f>D21</f>
        <v>-180052446</v>
      </c>
      <c r="T18" s="335">
        <f>E21</f>
        <v>-29940694</v>
      </c>
      <c r="U18" s="333"/>
      <c r="V18" s="334"/>
      <c r="W18" s="127"/>
      <c r="X18" s="333">
        <f>-S18-T18</f>
        <v>209993140</v>
      </c>
      <c r="Y18" s="335"/>
    </row>
    <row r="19" spans="1:40" ht="14.1" customHeight="1" x14ac:dyDescent="0.2">
      <c r="A19" s="76" t="s">
        <v>538</v>
      </c>
      <c r="B19" s="81">
        <v>-478176523.34000003</v>
      </c>
      <c r="C19" s="81"/>
      <c r="D19" s="81">
        <f>ROUND(B19*AD14,0)</f>
        <v>-158156885</v>
      </c>
      <c r="E19" s="81">
        <f>ROUND(B19*AD10,0)</f>
        <v>-26299709</v>
      </c>
      <c r="F19" s="81">
        <f>D19+E19</f>
        <v>-184456594</v>
      </c>
      <c r="G19" s="81"/>
      <c r="H19" s="81">
        <f>ROUND(F19/AD16,0)</f>
        <v>-300295635</v>
      </c>
      <c r="I19" s="81"/>
      <c r="J19" s="81">
        <f>H19-F19</f>
        <v>-115839041</v>
      </c>
      <c r="K19" s="81"/>
      <c r="L19" s="81">
        <f>ROUND(F19*(AD14/AD16),0)</f>
        <v>-99322781</v>
      </c>
      <c r="M19" s="81">
        <f>ROUND(F19*(AD10/AD16),0)</f>
        <v>-16516260</v>
      </c>
      <c r="N19" s="81">
        <f>L19+M19</f>
        <v>-115839041</v>
      </c>
      <c r="P19" s="128" t="s">
        <v>552</v>
      </c>
      <c r="Q19" s="136"/>
      <c r="R19" s="334"/>
      <c r="S19" s="136"/>
      <c r="T19" s="334"/>
      <c r="U19" s="333">
        <f>L21</f>
        <v>-113073229</v>
      </c>
      <c r="V19" s="335">
        <f>M21</f>
        <v>-18802805</v>
      </c>
      <c r="W19" s="127"/>
      <c r="X19" s="333">
        <f>-U19-V19</f>
        <v>131876034</v>
      </c>
      <c r="Y19" s="335"/>
      <c r="AC19" s="76" t="s">
        <v>539</v>
      </c>
    </row>
    <row r="20" spans="1:40" ht="14.1" customHeight="1" x14ac:dyDescent="0.2">
      <c r="A20" s="76" t="s">
        <v>540</v>
      </c>
      <c r="B20" s="81">
        <v>-66199732.370000005</v>
      </c>
      <c r="C20" s="81"/>
      <c r="D20" s="81">
        <f>ROUND(B20*AD14,0)</f>
        <v>-21895561</v>
      </c>
      <c r="E20" s="81">
        <f>ROUND(B20*AD10,0)</f>
        <v>-3640985</v>
      </c>
      <c r="F20" s="81">
        <f>D20+E20</f>
        <v>-25536546</v>
      </c>
      <c r="G20" s="81"/>
      <c r="H20" s="81">
        <f>ROUND(F20/AD16,0)</f>
        <v>-41573538</v>
      </c>
      <c r="I20" s="81"/>
      <c r="J20" s="81">
        <f>H20-F20</f>
        <v>-16036992</v>
      </c>
      <c r="K20" s="81"/>
      <c r="L20" s="81">
        <f>ROUND(F20*(AD14/AD16),0)</f>
        <v>-13750448</v>
      </c>
      <c r="M20" s="81">
        <f>ROUND(F20*(AD10/AD16),0)</f>
        <v>-2286545</v>
      </c>
      <c r="N20" s="81">
        <f>L20+M20</f>
        <v>-16036993</v>
      </c>
      <c r="P20" s="305"/>
      <c r="Q20" s="314"/>
      <c r="R20" s="315"/>
      <c r="S20" s="314"/>
      <c r="T20" s="315"/>
      <c r="U20" s="314"/>
      <c r="V20" s="315"/>
      <c r="W20" s="297"/>
      <c r="X20" s="314"/>
      <c r="Y20" s="315"/>
    </row>
    <row r="21" spans="1:40" ht="14.1" customHeight="1" thickBot="1" x14ac:dyDescent="0.25">
      <c r="A21" s="109" t="s">
        <v>541</v>
      </c>
      <c r="B21" s="110">
        <f>B19+B20</f>
        <v>-544376255.71000004</v>
      </c>
      <c r="C21" s="79"/>
      <c r="D21" s="110">
        <f>D19+D20</f>
        <v>-180052446</v>
      </c>
      <c r="E21" s="110">
        <f>E19+E20</f>
        <v>-29940694</v>
      </c>
      <c r="F21" s="110">
        <f>F19+F20</f>
        <v>-209993140</v>
      </c>
      <c r="G21" s="79"/>
      <c r="H21" s="110">
        <f>H19+H20</f>
        <v>-341869173</v>
      </c>
      <c r="I21" s="79"/>
      <c r="J21" s="110">
        <f>J19+J20</f>
        <v>-131876033</v>
      </c>
      <c r="K21" s="79"/>
      <c r="L21" s="110">
        <f>L19+L20</f>
        <v>-113073229</v>
      </c>
      <c r="M21" s="110">
        <f>M19+M20</f>
        <v>-18802805</v>
      </c>
      <c r="N21" s="110">
        <f>N19+N20</f>
        <v>-131876034</v>
      </c>
      <c r="P21" s="318" t="s">
        <v>542</v>
      </c>
      <c r="Q21" s="319"/>
      <c r="R21" s="320"/>
      <c r="S21" s="130">
        <f>D25</f>
        <v>7218903</v>
      </c>
      <c r="T21" s="321">
        <f>E25</f>
        <v>2285598</v>
      </c>
      <c r="U21" s="130"/>
      <c r="V21" s="321"/>
      <c r="W21" s="134"/>
      <c r="X21" s="319"/>
      <c r="Y21" s="320">
        <f>-S21-T21</f>
        <v>-9504501</v>
      </c>
      <c r="AD21" s="79"/>
    </row>
    <row r="22" spans="1:40" ht="14.1" customHeight="1" thickTop="1" x14ac:dyDescent="0.2">
      <c r="P22" s="325" t="s">
        <v>543</v>
      </c>
      <c r="Q22" s="130">
        <f>L25</f>
        <v>5117808</v>
      </c>
      <c r="R22" s="321">
        <f>M25</f>
        <v>851034</v>
      </c>
      <c r="S22" s="130"/>
      <c r="T22" s="321"/>
      <c r="U22" s="319"/>
      <c r="V22" s="320"/>
      <c r="W22" s="134"/>
      <c r="X22" s="319"/>
      <c r="Y22" s="320">
        <f>-Q22-R22</f>
        <v>-5968842</v>
      </c>
      <c r="AD22" s="79"/>
    </row>
    <row r="23" spans="1:40" ht="14.1" customHeight="1" thickBot="1" x14ac:dyDescent="0.25">
      <c r="A23" s="93"/>
      <c r="B23" s="94"/>
      <c r="C23" s="94"/>
      <c r="D23" s="111"/>
      <c r="E23" s="111"/>
      <c r="F23" s="111"/>
      <c r="G23" s="94"/>
      <c r="H23" s="111"/>
      <c r="I23" s="94"/>
      <c r="J23" s="111"/>
      <c r="K23" s="111"/>
      <c r="L23" s="111"/>
      <c r="M23" s="111"/>
      <c r="N23" s="111"/>
      <c r="O23" s="112"/>
      <c r="P23" s="89"/>
      <c r="Q23" s="113">
        <f t="shared" ref="Q23:V23" si="0">SUM(Q12:Q22)</f>
        <v>69753046</v>
      </c>
      <c r="R23" s="114">
        <f t="shared" si="0"/>
        <v>11599146</v>
      </c>
      <c r="S23" s="113">
        <f t="shared" si="0"/>
        <v>-192170478</v>
      </c>
      <c r="T23" s="114">
        <f t="shared" si="0"/>
        <v>-30870610</v>
      </c>
      <c r="U23" s="113">
        <f t="shared" si="0"/>
        <v>-125216856</v>
      </c>
      <c r="V23" s="114">
        <f t="shared" si="0"/>
        <v>-20822153</v>
      </c>
      <c r="X23" s="113">
        <f>SUM(X12:X22)</f>
        <v>378584598</v>
      </c>
      <c r="Y23" s="114">
        <f>SUM(Y12:Y22)</f>
        <v>-90856693</v>
      </c>
      <c r="AD23" s="79"/>
    </row>
    <row r="24" spans="1:40" ht="14.1" customHeight="1" thickTop="1" x14ac:dyDescent="0.2">
      <c r="P24" s="89"/>
      <c r="Q24" s="107"/>
      <c r="R24" s="106"/>
      <c r="S24" s="107"/>
      <c r="T24" s="106"/>
      <c r="U24" s="107"/>
      <c r="V24" s="106"/>
      <c r="X24" s="107"/>
      <c r="Y24" s="106"/>
    </row>
    <row r="25" spans="1:40" ht="14.1" customHeight="1" thickBot="1" x14ac:dyDescent="0.25">
      <c r="A25" s="76" t="s">
        <v>542</v>
      </c>
      <c r="B25" s="79"/>
      <c r="C25" s="79"/>
      <c r="D25" s="81">
        <v>7218903</v>
      </c>
      <c r="E25" s="81">
        <v>2285598</v>
      </c>
      <c r="F25" s="81">
        <f>D25+E25</f>
        <v>9504501</v>
      </c>
      <c r="G25" s="79"/>
      <c r="H25" s="79">
        <f>ROUND(F25/AD16,0)</f>
        <v>15473343</v>
      </c>
      <c r="I25" s="79"/>
      <c r="J25" s="79">
        <f>H25-F25</f>
        <v>5968842</v>
      </c>
      <c r="K25" s="79"/>
      <c r="L25" s="79">
        <f>ROUND(F25*(AD14/AD16),0)</f>
        <v>5117808</v>
      </c>
      <c r="M25" s="79">
        <f>ROUND(F25*(AD10/AD16),0)</f>
        <v>851034</v>
      </c>
      <c r="N25" s="79">
        <f>L25+M25</f>
        <v>5968842</v>
      </c>
      <c r="P25" s="89"/>
      <c r="Q25" s="104"/>
      <c r="R25" s="105"/>
      <c r="S25" s="104"/>
      <c r="T25" s="105"/>
      <c r="U25" s="104"/>
      <c r="V25" s="105"/>
      <c r="W25" s="79"/>
      <c r="X25" s="104"/>
      <c r="Y25" s="115">
        <f>X23+Y23</f>
        <v>287727905</v>
      </c>
      <c r="AB25" s="79"/>
    </row>
    <row r="26" spans="1:40" ht="14.1" customHeight="1" thickTop="1" x14ac:dyDescent="0.2">
      <c r="B26" s="79"/>
      <c r="C26" s="79"/>
      <c r="D26" s="79"/>
      <c r="E26" s="79"/>
      <c r="F26" s="79"/>
      <c r="G26" s="79"/>
      <c r="H26" s="79"/>
      <c r="I26" s="79"/>
      <c r="J26" s="79"/>
      <c r="K26" s="79"/>
      <c r="P26" s="89"/>
      <c r="Q26" s="104"/>
      <c r="R26" s="105"/>
      <c r="S26" s="104"/>
      <c r="T26" s="105"/>
      <c r="U26" s="104"/>
      <c r="V26" s="105"/>
      <c r="W26" s="79"/>
      <c r="X26" s="104"/>
      <c r="Y26" s="105"/>
    </row>
    <row r="27" spans="1:40" ht="14.1" customHeight="1" thickBot="1" x14ac:dyDescent="0.25">
      <c r="A27" s="92" t="s">
        <v>372</v>
      </c>
      <c r="B27" s="116"/>
      <c r="C27" s="116"/>
      <c r="D27" s="117">
        <f>D9+D21+D25+D15</f>
        <v>-152468283</v>
      </c>
      <c r="E27" s="117">
        <f>E9+E21+E25+E15</f>
        <v>-24268582</v>
      </c>
      <c r="F27" s="117">
        <f>F9+F21+F25+F15</f>
        <v>-176736865</v>
      </c>
      <c r="G27" s="116"/>
      <c r="H27" s="117">
        <f>H9+H21+H25+H15</f>
        <v>-287727904</v>
      </c>
      <c r="I27" s="116"/>
      <c r="J27" s="117">
        <f>J9+J21+J25+J15</f>
        <v>-110991039</v>
      </c>
      <c r="K27" s="79"/>
      <c r="L27" s="117">
        <f>L9+L21+L25+L15</f>
        <v>-95166005</v>
      </c>
      <c r="M27" s="117">
        <f>M9+M21+M25+M15</f>
        <v>-15825035</v>
      </c>
      <c r="N27" s="117">
        <f>N9+N21+N25+N15</f>
        <v>-110991040</v>
      </c>
      <c r="P27" s="118"/>
      <c r="Q27" s="119"/>
      <c r="R27" s="120"/>
      <c r="S27" s="119"/>
      <c r="T27" s="120"/>
      <c r="U27" s="119"/>
      <c r="V27" s="120"/>
      <c r="X27" s="119"/>
      <c r="Y27" s="120"/>
      <c r="AB27" s="79"/>
    </row>
    <row r="28" spans="1:40" ht="14.1" customHeight="1" thickTop="1" x14ac:dyDescent="0.2"/>
    <row r="30" spans="1:40" ht="14.1" customHeight="1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</row>
    <row r="32" spans="1:40" ht="14.1" customHeight="1" x14ac:dyDescent="0.2">
      <c r="A32" s="75" t="s">
        <v>564</v>
      </c>
    </row>
    <row r="33" spans="1:40" ht="14.1" customHeight="1" x14ac:dyDescent="0.2">
      <c r="A33" s="75" t="s">
        <v>502</v>
      </c>
    </row>
    <row r="34" spans="1:40" ht="14.1" customHeight="1" x14ac:dyDescent="0.2">
      <c r="A34" s="77"/>
      <c r="P34" s="75" t="s">
        <v>655</v>
      </c>
      <c r="AE34" s="296" t="s">
        <v>662</v>
      </c>
      <c r="AF34" s="297"/>
      <c r="AG34" s="297"/>
      <c r="AH34" s="297"/>
      <c r="AI34" s="297"/>
      <c r="AJ34" s="297"/>
      <c r="AK34" s="297"/>
      <c r="AL34" s="297"/>
      <c r="AM34" s="297"/>
      <c r="AN34" s="297"/>
    </row>
    <row r="35" spans="1:40" ht="14.1" customHeight="1" x14ac:dyDescent="0.2">
      <c r="AE35" s="297"/>
      <c r="AF35" s="297"/>
      <c r="AG35" s="297"/>
      <c r="AH35" s="297"/>
      <c r="AI35" s="297"/>
      <c r="AJ35" s="297"/>
      <c r="AK35" s="297"/>
      <c r="AL35" s="297"/>
      <c r="AM35" s="297"/>
      <c r="AN35" s="297"/>
    </row>
    <row r="36" spans="1:40" ht="14.1" customHeight="1" x14ac:dyDescent="0.2">
      <c r="A36" s="454" t="s">
        <v>654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P36" s="82"/>
      <c r="Q36" s="83" t="s">
        <v>467</v>
      </c>
      <c r="R36" s="84" t="s">
        <v>465</v>
      </c>
      <c r="S36" s="83" t="s">
        <v>467</v>
      </c>
      <c r="T36" s="84" t="s">
        <v>465</v>
      </c>
      <c r="U36" s="83" t="s">
        <v>467</v>
      </c>
      <c r="V36" s="84" t="s">
        <v>465</v>
      </c>
      <c r="W36" s="85"/>
      <c r="X36" s="86" t="s">
        <v>514</v>
      </c>
      <c r="Y36" s="87" t="s">
        <v>514</v>
      </c>
      <c r="AE36" s="299"/>
      <c r="AF36" s="300" t="s">
        <v>467</v>
      </c>
      <c r="AG36" s="301" t="s">
        <v>465</v>
      </c>
      <c r="AH36" s="300" t="s">
        <v>467</v>
      </c>
      <c r="AI36" s="301" t="s">
        <v>465</v>
      </c>
      <c r="AJ36" s="300" t="s">
        <v>467</v>
      </c>
      <c r="AK36" s="301" t="s">
        <v>465</v>
      </c>
      <c r="AL36" s="302"/>
      <c r="AM36" s="303" t="s">
        <v>514</v>
      </c>
      <c r="AN36" s="304" t="s">
        <v>514</v>
      </c>
    </row>
    <row r="37" spans="1:40" ht="14.1" customHeight="1" x14ac:dyDescent="0.2">
      <c r="P37" s="89"/>
      <c r="Q37" s="90" t="s">
        <v>516</v>
      </c>
      <c r="R37" s="91" t="s">
        <v>517</v>
      </c>
      <c r="S37" s="90" t="s">
        <v>518</v>
      </c>
      <c r="T37" s="91" t="s">
        <v>519</v>
      </c>
      <c r="U37" s="90" t="s">
        <v>520</v>
      </c>
      <c r="V37" s="91" t="s">
        <v>521</v>
      </c>
      <c r="W37" s="92"/>
      <c r="X37" s="90" t="s">
        <v>522</v>
      </c>
      <c r="Y37" s="91" t="s">
        <v>523</v>
      </c>
      <c r="AE37" s="305"/>
      <c r="AF37" s="306" t="s">
        <v>516</v>
      </c>
      <c r="AG37" s="307" t="s">
        <v>517</v>
      </c>
      <c r="AH37" s="306" t="s">
        <v>518</v>
      </c>
      <c r="AI37" s="307" t="s">
        <v>519</v>
      </c>
      <c r="AJ37" s="306" t="s">
        <v>520</v>
      </c>
      <c r="AK37" s="307" t="s">
        <v>521</v>
      </c>
      <c r="AL37" s="378"/>
      <c r="AM37" s="306" t="s">
        <v>522</v>
      </c>
      <c r="AN37" s="307" t="s">
        <v>523</v>
      </c>
    </row>
    <row r="38" spans="1:40" ht="14.1" customHeight="1" x14ac:dyDescent="0.2">
      <c r="A38" s="78" t="s">
        <v>505</v>
      </c>
      <c r="B38" s="78" t="s">
        <v>506</v>
      </c>
      <c r="C38" s="78"/>
      <c r="D38" s="78" t="s">
        <v>467</v>
      </c>
      <c r="E38" s="78" t="s">
        <v>465</v>
      </c>
      <c r="F38" s="78" t="s">
        <v>507</v>
      </c>
      <c r="G38" s="78"/>
      <c r="H38" s="78" t="s">
        <v>508</v>
      </c>
      <c r="I38" s="78"/>
      <c r="J38" s="78" t="s">
        <v>509</v>
      </c>
      <c r="L38" s="78" t="s">
        <v>467</v>
      </c>
      <c r="M38" s="78" t="s">
        <v>465</v>
      </c>
      <c r="N38" s="78" t="s">
        <v>510</v>
      </c>
      <c r="P38" s="95"/>
      <c r="Q38" s="96" t="s">
        <v>525</v>
      </c>
      <c r="R38" s="97" t="s">
        <v>525</v>
      </c>
      <c r="S38" s="96" t="s">
        <v>526</v>
      </c>
      <c r="T38" s="97" t="s">
        <v>526</v>
      </c>
      <c r="U38" s="96" t="s">
        <v>527</v>
      </c>
      <c r="V38" s="97" t="s">
        <v>527</v>
      </c>
      <c r="W38" s="98"/>
      <c r="X38" s="96" t="s">
        <v>528</v>
      </c>
      <c r="Y38" s="97" t="s">
        <v>529</v>
      </c>
      <c r="AE38" s="310"/>
      <c r="AF38" s="311" t="s">
        <v>525</v>
      </c>
      <c r="AG38" s="312" t="s">
        <v>525</v>
      </c>
      <c r="AH38" s="311" t="s">
        <v>526</v>
      </c>
      <c r="AI38" s="312" t="s">
        <v>526</v>
      </c>
      <c r="AJ38" s="311" t="s">
        <v>527</v>
      </c>
      <c r="AK38" s="312" t="s">
        <v>527</v>
      </c>
      <c r="AL38" s="313"/>
      <c r="AM38" s="311" t="s">
        <v>528</v>
      </c>
      <c r="AN38" s="312" t="s">
        <v>529</v>
      </c>
    </row>
    <row r="39" spans="1:40" ht="14.1" customHeight="1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  <c r="P39" s="100"/>
      <c r="Q39" s="122"/>
      <c r="R39" s="122"/>
      <c r="S39" s="102"/>
      <c r="T39" s="122"/>
      <c r="U39" s="102"/>
      <c r="V39" s="101"/>
      <c r="W39" s="122"/>
      <c r="X39" s="102"/>
      <c r="Y39" s="101"/>
      <c r="AE39" s="100"/>
      <c r="AF39" s="122"/>
      <c r="AG39" s="122"/>
      <c r="AH39" s="102"/>
      <c r="AI39" s="122"/>
      <c r="AJ39" s="102"/>
      <c r="AK39" s="101"/>
      <c r="AL39" s="122"/>
      <c r="AM39" s="102"/>
      <c r="AN39" s="101"/>
    </row>
    <row r="40" spans="1:40" ht="14.1" customHeight="1" x14ac:dyDescent="0.2">
      <c r="A40" s="76" t="s">
        <v>513</v>
      </c>
      <c r="B40" s="81">
        <f>B83-B9</f>
        <v>-1036473</v>
      </c>
      <c r="C40" s="79"/>
      <c r="D40" s="81">
        <f>D83-D9+2</f>
        <v>-16086564</v>
      </c>
      <c r="E40" s="81">
        <f>E83-E9</f>
        <v>-57006</v>
      </c>
      <c r="F40" s="81">
        <f>F83-F9</f>
        <v>-16143572</v>
      </c>
      <c r="G40" s="79"/>
      <c r="H40" s="81">
        <f>H83-H9</f>
        <v>-34983308</v>
      </c>
      <c r="I40" s="79"/>
      <c r="J40" s="81">
        <f>J83-J9</f>
        <v>-18839736</v>
      </c>
      <c r="K40" s="79"/>
      <c r="L40" s="81">
        <f>L83-L9+1</f>
        <v>-16915654</v>
      </c>
      <c r="M40" s="81">
        <f>M83-M9</f>
        <v>-1924082</v>
      </c>
      <c r="N40" s="81">
        <f>N83-N9</f>
        <v>-18839737</v>
      </c>
      <c r="P40" s="332" t="s">
        <v>547</v>
      </c>
      <c r="Q40" s="333">
        <f>D40</f>
        <v>-16086564</v>
      </c>
      <c r="R40" s="335">
        <f>E40</f>
        <v>-57006</v>
      </c>
      <c r="S40" s="333"/>
      <c r="T40" s="335"/>
      <c r="U40" s="333"/>
      <c r="V40" s="334"/>
      <c r="W40" s="127"/>
      <c r="X40" s="333"/>
      <c r="Y40" s="436">
        <f>-Q40-R40</f>
        <v>16143570</v>
      </c>
      <c r="Z40" s="317"/>
      <c r="AE40" s="332" t="s">
        <v>547</v>
      </c>
      <c r="AF40" s="333">
        <f>Q40-'FPL FAS109 B4 Tax Reform'!Q43</f>
        <v>-15743750</v>
      </c>
      <c r="AG40" s="335">
        <f>R40-'FPL FAS109 B4 Tax Reform'!R43</f>
        <v>0</v>
      </c>
      <c r="AH40" s="333"/>
      <c r="AI40" s="335"/>
      <c r="AJ40" s="333"/>
      <c r="AK40" s="334"/>
      <c r="AL40" s="127"/>
      <c r="AM40" s="333"/>
      <c r="AN40" s="335">
        <f>Y40-'FPL FAS109 B4 Tax Reform'!Y43</f>
        <v>15743750</v>
      </c>
    </row>
    <row r="41" spans="1:40" ht="14.1" customHeight="1" x14ac:dyDescent="0.2">
      <c r="B41" s="79"/>
      <c r="C41" s="79"/>
      <c r="D41" s="79"/>
      <c r="E41" s="79"/>
      <c r="F41" s="79"/>
      <c r="G41" s="79"/>
      <c r="H41" s="79"/>
      <c r="I41" s="79"/>
      <c r="J41" s="79"/>
      <c r="K41" s="79"/>
      <c r="P41" s="128" t="s">
        <v>532</v>
      </c>
      <c r="Q41" s="333">
        <f>L40</f>
        <v>-16915654</v>
      </c>
      <c r="R41" s="335">
        <f>M40</f>
        <v>-1924082</v>
      </c>
      <c r="S41" s="333"/>
      <c r="T41" s="335"/>
      <c r="U41" s="333"/>
      <c r="V41" s="334"/>
      <c r="W41" s="127"/>
      <c r="X41" s="333"/>
      <c r="Y41" s="436">
        <f>-Q41-R41</f>
        <v>18839736</v>
      </c>
      <c r="Z41" s="317"/>
      <c r="AE41" s="128" t="s">
        <v>532</v>
      </c>
      <c r="AF41" s="333">
        <f>Q41-'FPL FAS109 B4 Tax Reform'!Q44</f>
        <v>-16700366</v>
      </c>
      <c r="AG41" s="335">
        <f>R41-'FPL FAS109 B4 Tax Reform'!R44</f>
        <v>-1888282</v>
      </c>
      <c r="AH41" s="333"/>
      <c r="AI41" s="335"/>
      <c r="AJ41" s="333"/>
      <c r="AK41" s="334"/>
      <c r="AL41" s="127"/>
      <c r="AM41" s="333"/>
      <c r="AN41" s="335">
        <f>Y41-'FPL FAS109 B4 Tax Reform'!Y44</f>
        <v>18588648</v>
      </c>
    </row>
    <row r="42" spans="1:40" ht="14.1" customHeight="1" x14ac:dyDescent="0.2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P42" s="305"/>
      <c r="Q42" s="314"/>
      <c r="R42" s="315"/>
      <c r="S42" s="314"/>
      <c r="T42" s="315"/>
      <c r="U42" s="314"/>
      <c r="V42" s="315"/>
      <c r="W42" s="122"/>
      <c r="X42" s="314"/>
      <c r="Y42" s="437"/>
      <c r="AE42" s="305"/>
      <c r="AF42" s="314"/>
      <c r="AG42" s="315"/>
      <c r="AH42" s="314"/>
      <c r="AI42" s="315"/>
      <c r="AJ42" s="314"/>
      <c r="AK42" s="315"/>
      <c r="AL42" s="122"/>
      <c r="AM42" s="314"/>
      <c r="AN42" s="315"/>
    </row>
    <row r="43" spans="1:40" ht="14.1" customHeight="1" x14ac:dyDescent="0.2">
      <c r="B43" s="79"/>
      <c r="C43" s="79"/>
      <c r="D43" s="79"/>
      <c r="E43" s="79"/>
      <c r="F43" s="79"/>
      <c r="G43" s="79"/>
      <c r="H43" s="79"/>
      <c r="I43" s="79"/>
      <c r="J43" s="79"/>
      <c r="K43" s="79"/>
      <c r="P43" s="305"/>
      <c r="Q43" s="314"/>
      <c r="R43" s="315"/>
      <c r="S43" s="314"/>
      <c r="T43" s="315"/>
      <c r="U43" s="314"/>
      <c r="V43" s="315"/>
      <c r="W43" s="122"/>
      <c r="X43" s="314"/>
      <c r="Y43" s="437"/>
      <c r="AE43" s="305"/>
      <c r="AF43" s="314"/>
      <c r="AG43" s="315"/>
      <c r="AH43" s="314"/>
      <c r="AI43" s="315"/>
      <c r="AJ43" s="314"/>
      <c r="AK43" s="315"/>
      <c r="AL43" s="122"/>
      <c r="AM43" s="314"/>
      <c r="AN43" s="315"/>
    </row>
    <row r="44" spans="1:40" ht="14.1" customHeight="1" x14ac:dyDescent="0.2">
      <c r="A44" s="76" t="s">
        <v>531</v>
      </c>
      <c r="B44" s="81">
        <f>B87-B13</f>
        <v>571542.5</v>
      </c>
      <c r="C44" s="81"/>
      <c r="D44" s="81">
        <f t="shared" ref="D44:F45" si="1">D87-D13</f>
        <v>8407823</v>
      </c>
      <c r="E44" s="81">
        <f t="shared" si="1"/>
        <v>31435</v>
      </c>
      <c r="F44" s="81">
        <f t="shared" si="1"/>
        <v>8439258</v>
      </c>
      <c r="G44" s="81"/>
      <c r="H44" s="81">
        <f>H87-H13</f>
        <v>18281635</v>
      </c>
      <c r="I44" s="81"/>
      <c r="J44" s="81">
        <f>J87-J13</f>
        <v>9842377</v>
      </c>
      <c r="K44" s="81"/>
      <c r="L44" s="81">
        <f t="shared" ref="L44:N45" si="2">L87-L13</f>
        <v>8836888</v>
      </c>
      <c r="M44" s="81">
        <f t="shared" si="2"/>
        <v>1005490</v>
      </c>
      <c r="N44" s="81">
        <f t="shared" si="2"/>
        <v>9842378</v>
      </c>
      <c r="P44" s="318" t="s">
        <v>548</v>
      </c>
      <c r="Q44" s="130"/>
      <c r="R44" s="321"/>
      <c r="S44" s="319">
        <f>D46</f>
        <v>7791468</v>
      </c>
      <c r="T44" s="320">
        <f>E46</f>
        <v>15712</v>
      </c>
      <c r="U44" s="130"/>
      <c r="V44" s="321"/>
      <c r="W44" s="134"/>
      <c r="X44" s="319">
        <f>-S44-T44</f>
        <v>-7807180</v>
      </c>
      <c r="Y44" s="438"/>
      <c r="Z44" s="317"/>
      <c r="AE44" s="318" t="s">
        <v>548</v>
      </c>
      <c r="AF44" s="130"/>
      <c r="AG44" s="321"/>
      <c r="AH44" s="319">
        <f>S44-'FPL FAS109 B4 Tax Reform'!S46</f>
        <v>7696978</v>
      </c>
      <c r="AI44" s="320">
        <f>T44-'FPL FAS109 B4 Tax Reform'!T46</f>
        <v>0</v>
      </c>
      <c r="AJ44" s="130"/>
      <c r="AK44" s="321"/>
      <c r="AL44" s="134"/>
      <c r="AM44" s="319">
        <f>X44-'FPL FAS109 B4 Tax Reform'!X46</f>
        <v>-7696978</v>
      </c>
      <c r="AN44" s="320">
        <f>Y44-'FPL FAS109 B4 Tax Reform'!Y46</f>
        <v>0</v>
      </c>
    </row>
    <row r="45" spans="1:40" ht="14.1" customHeight="1" x14ac:dyDescent="0.2">
      <c r="A45" s="76" t="s">
        <v>533</v>
      </c>
      <c r="B45" s="81">
        <f>B88-B14</f>
        <v>-285861</v>
      </c>
      <c r="C45" s="81"/>
      <c r="D45" s="81">
        <f t="shared" si="1"/>
        <v>-616355</v>
      </c>
      <c r="E45" s="81">
        <f t="shared" si="1"/>
        <v>-15723</v>
      </c>
      <c r="F45" s="81">
        <f t="shared" si="1"/>
        <v>-632078</v>
      </c>
      <c r="G45" s="81"/>
      <c r="H45" s="81">
        <f>H88-H14</f>
        <v>-1317426</v>
      </c>
      <c r="I45" s="81"/>
      <c r="J45" s="81">
        <f>J88-J14</f>
        <v>-685348</v>
      </c>
      <c r="K45" s="81"/>
      <c r="L45" s="81">
        <f t="shared" si="2"/>
        <v>-612889</v>
      </c>
      <c r="M45" s="81">
        <f t="shared" si="2"/>
        <v>-72459</v>
      </c>
      <c r="N45" s="81">
        <f t="shared" si="2"/>
        <v>-685348</v>
      </c>
      <c r="P45" s="135" t="s">
        <v>549</v>
      </c>
      <c r="Q45" s="130"/>
      <c r="R45" s="321"/>
      <c r="S45" s="130"/>
      <c r="T45" s="321"/>
      <c r="U45" s="319">
        <f>L46</f>
        <v>8223998</v>
      </c>
      <c r="V45" s="320">
        <f>M46</f>
        <v>933031</v>
      </c>
      <c r="W45" s="134"/>
      <c r="X45" s="319">
        <f>-U45-V45</f>
        <v>-9157029</v>
      </c>
      <c r="Y45" s="438"/>
      <c r="Z45" s="317"/>
      <c r="AE45" s="135" t="s">
        <v>549</v>
      </c>
      <c r="AF45" s="130"/>
      <c r="AG45" s="321"/>
      <c r="AH45" s="130"/>
      <c r="AI45" s="321"/>
      <c r="AJ45" s="319">
        <f>U45-'FPL FAS109 B4 Tax Reform'!U47</f>
        <v>8164657</v>
      </c>
      <c r="AK45" s="320">
        <f>V45-'FPL FAS109 B4 Tax Reform'!V47</f>
        <v>923164</v>
      </c>
      <c r="AL45" s="134"/>
      <c r="AM45" s="319">
        <f>X45-'FPL FAS109 B4 Tax Reform'!X47</f>
        <v>-9087821</v>
      </c>
      <c r="AN45" s="320">
        <f>Y45-'FPL FAS109 B4 Tax Reform'!Y47</f>
        <v>0</v>
      </c>
    </row>
    <row r="46" spans="1:40" ht="14.1" customHeight="1" thickBot="1" x14ac:dyDescent="0.25">
      <c r="A46" s="109" t="s">
        <v>535</v>
      </c>
      <c r="B46" s="110">
        <f>B44+B45</f>
        <v>285681.5</v>
      </c>
      <c r="C46" s="79"/>
      <c r="D46" s="110">
        <f>D44+D45</f>
        <v>7791468</v>
      </c>
      <c r="E46" s="110">
        <f>E44+E45</f>
        <v>15712</v>
      </c>
      <c r="F46" s="110">
        <f>F44+F45</f>
        <v>7807180</v>
      </c>
      <c r="G46" s="79"/>
      <c r="H46" s="110">
        <f>H44+H45</f>
        <v>16964209</v>
      </c>
      <c r="I46" s="79"/>
      <c r="J46" s="110">
        <f>J44+J45</f>
        <v>9157029</v>
      </c>
      <c r="K46" s="79"/>
      <c r="L46" s="110">
        <f>L44+L45-1</f>
        <v>8223998</v>
      </c>
      <c r="M46" s="110">
        <f>M44+M45</f>
        <v>933031</v>
      </c>
      <c r="N46" s="110">
        <f>N44+N45</f>
        <v>9157030</v>
      </c>
      <c r="P46" s="305"/>
      <c r="Q46" s="314"/>
      <c r="R46" s="315"/>
      <c r="S46" s="314"/>
      <c r="T46" s="315"/>
      <c r="U46" s="314"/>
      <c r="V46" s="315"/>
      <c r="W46" s="122"/>
      <c r="X46" s="314"/>
      <c r="Y46" s="437"/>
      <c r="AE46" s="305"/>
      <c r="AF46" s="314"/>
      <c r="AG46" s="315"/>
      <c r="AH46" s="314"/>
      <c r="AI46" s="315"/>
      <c r="AJ46" s="314"/>
      <c r="AK46" s="315"/>
      <c r="AL46" s="122"/>
      <c r="AM46" s="314"/>
      <c r="AN46" s="315"/>
    </row>
    <row r="47" spans="1:40" ht="14.1" customHeight="1" thickTop="1" x14ac:dyDescent="0.2">
      <c r="P47" s="305"/>
      <c r="Q47" s="314"/>
      <c r="R47" s="315"/>
      <c r="S47" s="314"/>
      <c r="T47" s="315"/>
      <c r="U47" s="314"/>
      <c r="V47" s="315"/>
      <c r="W47" s="122"/>
      <c r="X47" s="314"/>
      <c r="Y47" s="437"/>
      <c r="AE47" s="305"/>
      <c r="AF47" s="314"/>
      <c r="AG47" s="315"/>
      <c r="AH47" s="314"/>
      <c r="AI47" s="315"/>
      <c r="AJ47" s="314"/>
      <c r="AK47" s="315"/>
      <c r="AL47" s="122"/>
      <c r="AM47" s="314"/>
      <c r="AN47" s="315"/>
    </row>
    <row r="48" spans="1:40" ht="14.1" customHeight="1" x14ac:dyDescent="0.2">
      <c r="A48" s="93"/>
      <c r="B48" s="94"/>
      <c r="C48" s="94"/>
      <c r="D48" s="111"/>
      <c r="E48" s="111"/>
      <c r="F48" s="111"/>
      <c r="G48" s="94"/>
      <c r="H48" s="111"/>
      <c r="I48" s="94"/>
      <c r="J48" s="111"/>
      <c r="K48" s="111"/>
      <c r="L48" s="111"/>
      <c r="M48" s="111"/>
      <c r="N48" s="111"/>
      <c r="P48" s="305"/>
      <c r="Q48" s="314"/>
      <c r="R48" s="315"/>
      <c r="S48" s="314"/>
      <c r="T48" s="315"/>
      <c r="U48" s="314"/>
      <c r="V48" s="315"/>
      <c r="W48" s="122"/>
      <c r="X48" s="314"/>
      <c r="Y48" s="437"/>
      <c r="AE48" s="305"/>
      <c r="AF48" s="314"/>
      <c r="AG48" s="315"/>
      <c r="AH48" s="314"/>
      <c r="AI48" s="315"/>
      <c r="AJ48" s="314"/>
      <c r="AK48" s="315"/>
      <c r="AL48" s="122"/>
      <c r="AM48" s="314"/>
      <c r="AN48" s="315"/>
    </row>
    <row r="49" spans="1:40" ht="14.1" customHeight="1" x14ac:dyDescent="0.2">
      <c r="P49" s="305"/>
      <c r="Q49" s="314"/>
      <c r="R49" s="315"/>
      <c r="S49" s="314"/>
      <c r="T49" s="315"/>
      <c r="U49" s="314"/>
      <c r="V49" s="315"/>
      <c r="W49" s="122"/>
      <c r="X49" s="314"/>
      <c r="Y49" s="437"/>
      <c r="AE49" s="305"/>
      <c r="AF49" s="314"/>
      <c r="AG49" s="315"/>
      <c r="AH49" s="314"/>
      <c r="AI49" s="315"/>
      <c r="AJ49" s="314"/>
      <c r="AK49" s="315"/>
      <c r="AL49" s="122"/>
      <c r="AM49" s="314"/>
      <c r="AN49" s="315"/>
    </row>
    <row r="50" spans="1:40" ht="14.1" customHeight="1" x14ac:dyDescent="0.2">
      <c r="A50" s="76" t="s">
        <v>538</v>
      </c>
      <c r="B50" s="81">
        <f>B93-B19</f>
        <v>38470333</v>
      </c>
      <c r="C50" s="81"/>
      <c r="D50" s="81">
        <f t="shared" ref="D50:F51" si="3">D93-D19</f>
        <v>70897192</v>
      </c>
      <c r="E50" s="81">
        <f t="shared" si="3"/>
        <v>2115869</v>
      </c>
      <c r="F50" s="81">
        <f t="shared" si="3"/>
        <v>73013061</v>
      </c>
      <c r="G50" s="81"/>
      <c r="H50" s="81">
        <f>H93-H19</f>
        <v>151017579</v>
      </c>
      <c r="I50" s="81"/>
      <c r="J50" s="81">
        <f>J93-J19-1</f>
        <v>78004517</v>
      </c>
      <c r="K50" s="81"/>
      <c r="L50" s="81">
        <f>L93-L19-1</f>
        <v>69698550</v>
      </c>
      <c r="M50" s="81">
        <f t="shared" ref="M50:M51" si="4">M93-M19</f>
        <v>8305967</v>
      </c>
      <c r="N50" s="81">
        <f>N93-N19-1</f>
        <v>78004517</v>
      </c>
      <c r="P50" s="332" t="s">
        <v>551</v>
      </c>
      <c r="Q50" s="333"/>
      <c r="R50" s="334"/>
      <c r="S50" s="333">
        <f>D52</f>
        <v>73969038</v>
      </c>
      <c r="T50" s="335">
        <f>E52</f>
        <v>539900</v>
      </c>
      <c r="U50" s="333"/>
      <c r="V50" s="334"/>
      <c r="W50" s="127"/>
      <c r="X50" s="333">
        <f>-S50-T50</f>
        <v>-74508938</v>
      </c>
      <c r="Y50" s="436"/>
      <c r="Z50" s="317"/>
      <c r="AE50" s="332" t="s">
        <v>551</v>
      </c>
      <c r="AF50" s="333"/>
      <c r="AG50" s="334"/>
      <c r="AH50" s="333">
        <f>S50-'FPL FAS109 B4 Tax Reform'!S49</f>
        <v>70722274</v>
      </c>
      <c r="AI50" s="335">
        <f>T50-'FPL FAS109 B4 Tax Reform'!T49</f>
        <v>-1</v>
      </c>
      <c r="AJ50" s="333"/>
      <c r="AK50" s="334"/>
      <c r="AL50" s="127"/>
      <c r="AM50" s="333">
        <f>X50-'FPL FAS109 B4 Tax Reform'!X49</f>
        <v>-70722273</v>
      </c>
      <c r="AN50" s="335">
        <f>Y50-'FPL FAS109 B4 Tax Reform'!Y49</f>
        <v>0</v>
      </c>
    </row>
    <row r="51" spans="1:40" ht="14.1" customHeight="1" x14ac:dyDescent="0.2">
      <c r="A51" s="76" t="s">
        <v>540</v>
      </c>
      <c r="B51" s="81">
        <f>B94-B20</f>
        <v>-28653965</v>
      </c>
      <c r="C51" s="81"/>
      <c r="D51" s="81">
        <f t="shared" si="3"/>
        <v>3071845</v>
      </c>
      <c r="E51" s="81">
        <f t="shared" si="3"/>
        <v>-1575968</v>
      </c>
      <c r="F51" s="81">
        <f t="shared" si="3"/>
        <v>1495877</v>
      </c>
      <c r="G51" s="81"/>
      <c r="H51" s="81">
        <f>H94-H20</f>
        <v>9371182</v>
      </c>
      <c r="I51" s="81"/>
      <c r="J51" s="81">
        <f>J94-J20+3</f>
        <v>7875308</v>
      </c>
      <c r="K51" s="81"/>
      <c r="L51" s="81">
        <f>L94-L20+3</f>
        <v>7359893</v>
      </c>
      <c r="M51" s="81">
        <f t="shared" si="4"/>
        <v>515415</v>
      </c>
      <c r="N51" s="81">
        <f>N94-N20+3</f>
        <v>7875308</v>
      </c>
      <c r="P51" s="128" t="s">
        <v>552</v>
      </c>
      <c r="Q51" s="136"/>
      <c r="R51" s="334"/>
      <c r="S51" s="136"/>
      <c r="T51" s="334"/>
      <c r="U51" s="333">
        <f>L52</f>
        <v>77058443</v>
      </c>
      <c r="V51" s="335">
        <f>M52</f>
        <v>8821382</v>
      </c>
      <c r="W51" s="127"/>
      <c r="X51" s="333">
        <f>-U51-V51</f>
        <v>-85879825</v>
      </c>
      <c r="Y51" s="436"/>
      <c r="Z51" s="317"/>
      <c r="AE51" s="128" t="s">
        <v>552</v>
      </c>
      <c r="AF51" s="136"/>
      <c r="AG51" s="334"/>
      <c r="AH51" s="136"/>
      <c r="AI51" s="334"/>
      <c r="AJ51" s="333">
        <f>U51-'FPL FAS109 B4 Tax Reform'!U50</f>
        <v>75019470</v>
      </c>
      <c r="AK51" s="335">
        <f>V51-'FPL FAS109 B4 Tax Reform'!V50</f>
        <v>8482323</v>
      </c>
      <c r="AL51" s="127"/>
      <c r="AM51" s="333">
        <f>X51-'FPL FAS109 B4 Tax Reform'!X50</f>
        <v>-83501793</v>
      </c>
      <c r="AN51" s="335">
        <f>Y51-'FPL FAS109 B4 Tax Reform'!Y50</f>
        <v>0</v>
      </c>
    </row>
    <row r="52" spans="1:40" ht="14.1" customHeight="1" thickBot="1" x14ac:dyDescent="0.25">
      <c r="A52" s="109" t="s">
        <v>541</v>
      </c>
      <c r="B52" s="110">
        <f>B50+B51</f>
        <v>9816368</v>
      </c>
      <c r="C52" s="79"/>
      <c r="D52" s="110">
        <f>D50+D51+1</f>
        <v>73969038</v>
      </c>
      <c r="E52" s="110">
        <f>E50+E51-1</f>
        <v>539900</v>
      </c>
      <c r="F52" s="110">
        <f>F50+F51</f>
        <v>74508938</v>
      </c>
      <c r="G52" s="79"/>
      <c r="H52" s="110">
        <f>H50+H51</f>
        <v>160388761</v>
      </c>
      <c r="I52" s="79"/>
      <c r="J52" s="110">
        <f>J50+J51</f>
        <v>85879825</v>
      </c>
      <c r="K52" s="79"/>
      <c r="L52" s="110">
        <f>L50+L51</f>
        <v>77058443</v>
      </c>
      <c r="M52" s="110">
        <f>M50+M51</f>
        <v>8821382</v>
      </c>
      <c r="N52" s="110">
        <f>N50+N51</f>
        <v>85879825</v>
      </c>
      <c r="P52" s="404"/>
      <c r="Q52" s="405"/>
      <c r="R52" s="406"/>
      <c r="S52" s="405"/>
      <c r="T52" s="406"/>
      <c r="U52" s="405"/>
      <c r="V52" s="406"/>
      <c r="W52" s="407"/>
      <c r="X52" s="405"/>
      <c r="Y52" s="439"/>
      <c r="AE52" s="404"/>
      <c r="AF52" s="405"/>
      <c r="AG52" s="406"/>
      <c r="AH52" s="405"/>
      <c r="AI52" s="406"/>
      <c r="AJ52" s="405"/>
      <c r="AK52" s="406"/>
      <c r="AL52" s="407"/>
      <c r="AM52" s="405"/>
      <c r="AN52" s="406"/>
    </row>
    <row r="53" spans="1:40" ht="14.1" customHeight="1" thickTop="1" x14ac:dyDescent="0.2">
      <c r="P53" s="305"/>
      <c r="Q53" s="314"/>
      <c r="R53" s="315"/>
      <c r="S53" s="314"/>
      <c r="T53" s="315"/>
      <c r="U53" s="314"/>
      <c r="V53" s="315"/>
      <c r="W53" s="122"/>
      <c r="X53" s="314"/>
      <c r="Y53" s="437"/>
      <c r="AE53" s="305"/>
      <c r="AF53" s="314"/>
      <c r="AG53" s="315"/>
      <c r="AH53" s="314"/>
      <c r="AI53" s="315"/>
      <c r="AJ53" s="314"/>
      <c r="AK53" s="315"/>
      <c r="AL53" s="122"/>
      <c r="AM53" s="314"/>
      <c r="AN53" s="315"/>
    </row>
    <row r="54" spans="1:40" ht="14.1" customHeight="1" x14ac:dyDescent="0.2">
      <c r="A54" s="93"/>
      <c r="B54" s="94"/>
      <c r="C54" s="94"/>
      <c r="D54" s="111"/>
      <c r="E54" s="111"/>
      <c r="F54" s="111"/>
      <c r="G54" s="94"/>
      <c r="H54" s="111"/>
      <c r="I54" s="94"/>
      <c r="J54" s="111"/>
      <c r="K54" s="111"/>
      <c r="L54" s="111"/>
      <c r="M54" s="111"/>
      <c r="N54" s="111"/>
      <c r="O54" s="112"/>
      <c r="P54" s="305"/>
      <c r="Q54" s="314"/>
      <c r="R54" s="315"/>
      <c r="S54" s="314"/>
      <c r="T54" s="315"/>
      <c r="U54" s="314"/>
      <c r="V54" s="315"/>
      <c r="W54" s="122"/>
      <c r="X54" s="314"/>
      <c r="Y54" s="437"/>
      <c r="AA54" s="79"/>
      <c r="AE54" s="305"/>
      <c r="AF54" s="314"/>
      <c r="AG54" s="315"/>
      <c r="AH54" s="314"/>
      <c r="AI54" s="315"/>
      <c r="AJ54" s="314"/>
      <c r="AK54" s="315"/>
      <c r="AL54" s="122"/>
      <c r="AM54" s="314"/>
      <c r="AN54" s="315"/>
    </row>
    <row r="55" spans="1:40" ht="14.1" customHeight="1" x14ac:dyDescent="0.2">
      <c r="P55" s="305"/>
      <c r="Q55" s="314"/>
      <c r="R55" s="315"/>
      <c r="S55" s="314"/>
      <c r="T55" s="315"/>
      <c r="U55" s="314"/>
      <c r="V55" s="315"/>
      <c r="W55" s="122"/>
      <c r="X55" s="314"/>
      <c r="Y55" s="437"/>
      <c r="AE55" s="305"/>
      <c r="AF55" s="314"/>
      <c r="AG55" s="315"/>
      <c r="AH55" s="314"/>
      <c r="AI55" s="315"/>
      <c r="AJ55" s="314"/>
      <c r="AK55" s="315"/>
      <c r="AL55" s="122"/>
      <c r="AM55" s="314"/>
      <c r="AN55" s="315"/>
    </row>
    <row r="56" spans="1:40" ht="14.1" customHeight="1" x14ac:dyDescent="0.2">
      <c r="A56" s="297" t="s">
        <v>553</v>
      </c>
      <c r="P56" s="318" t="s">
        <v>554</v>
      </c>
      <c r="Q56" s="319">
        <f>D57</f>
        <v>-329422850</v>
      </c>
      <c r="R56" s="320">
        <f>E57</f>
        <v>0</v>
      </c>
      <c r="S56" s="130"/>
      <c r="T56" s="321"/>
      <c r="U56" s="130"/>
      <c r="V56" s="321"/>
      <c r="W56" s="134"/>
      <c r="X56" s="319">
        <f>X99</f>
        <v>329422850</v>
      </c>
      <c r="Y56" s="320">
        <f>Y99</f>
        <v>0</v>
      </c>
      <c r="Z56" s="317"/>
      <c r="AE56" s="318" t="s">
        <v>554</v>
      </c>
      <c r="AF56" s="319">
        <f>Q56</f>
        <v>-329422850</v>
      </c>
      <c r="AG56" s="320">
        <f>R56</f>
        <v>0</v>
      </c>
      <c r="AH56" s="130"/>
      <c r="AI56" s="321"/>
      <c r="AJ56" s="130"/>
      <c r="AK56" s="321"/>
      <c r="AL56" s="134"/>
      <c r="AM56" s="319">
        <f>X56</f>
        <v>329422850</v>
      </c>
      <c r="AN56" s="320">
        <f>Y56</f>
        <v>0</v>
      </c>
    </row>
    <row r="57" spans="1:40" ht="14.1" customHeight="1" x14ac:dyDescent="0.2">
      <c r="A57" s="323" t="s">
        <v>494</v>
      </c>
      <c r="B57" s="297"/>
      <c r="C57" s="297"/>
      <c r="D57" s="316">
        <f>D100</f>
        <v>-329422850</v>
      </c>
      <c r="E57" s="316">
        <f>E100</f>
        <v>0</v>
      </c>
      <c r="F57" s="316">
        <f>F100</f>
        <v>-329422850</v>
      </c>
      <c r="G57" s="316"/>
      <c r="H57" s="316">
        <f>H100</f>
        <v>-441260264</v>
      </c>
      <c r="I57" s="316"/>
      <c r="J57" s="316">
        <f>J100</f>
        <v>-111837414</v>
      </c>
      <c r="K57" s="316"/>
      <c r="L57" s="316">
        <f>L100</f>
        <v>-87568099</v>
      </c>
      <c r="M57" s="316">
        <f>M100</f>
        <v>-24269315</v>
      </c>
      <c r="N57" s="316">
        <f>N100</f>
        <v>-111837414</v>
      </c>
      <c r="P57" s="325" t="s">
        <v>543</v>
      </c>
      <c r="Q57" s="130"/>
      <c r="R57" s="321"/>
      <c r="S57" s="130"/>
      <c r="T57" s="321"/>
      <c r="U57" s="319">
        <f>L57</f>
        <v>-87568099</v>
      </c>
      <c r="V57" s="320">
        <f>M57</f>
        <v>-24269315</v>
      </c>
      <c r="W57" s="134"/>
      <c r="X57" s="319">
        <f>X100</f>
        <v>111837414</v>
      </c>
      <c r="Y57" s="320">
        <f>Y100</f>
        <v>0</v>
      </c>
      <c r="Z57" s="317"/>
      <c r="AA57" s="317"/>
      <c r="AE57" s="325" t="s">
        <v>543</v>
      </c>
      <c r="AF57" s="130"/>
      <c r="AG57" s="321"/>
      <c r="AH57" s="130"/>
      <c r="AI57" s="321"/>
      <c r="AJ57" s="319">
        <f>U57</f>
        <v>-87568099</v>
      </c>
      <c r="AK57" s="320">
        <f>V57</f>
        <v>-24269315</v>
      </c>
      <c r="AL57" s="134"/>
      <c r="AM57" s="319">
        <f>X57</f>
        <v>111837414</v>
      </c>
      <c r="AN57" s="320">
        <f>Y57</f>
        <v>0</v>
      </c>
    </row>
    <row r="58" spans="1:40" ht="14.1" customHeight="1" x14ac:dyDescent="0.2">
      <c r="A58" s="297"/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297"/>
      <c r="P58" s="327"/>
      <c r="Q58" s="314"/>
      <c r="R58" s="315"/>
      <c r="S58" s="314"/>
      <c r="T58" s="315"/>
      <c r="U58" s="314"/>
      <c r="V58" s="315"/>
      <c r="W58" s="122"/>
      <c r="X58" s="330"/>
      <c r="Y58" s="331"/>
      <c r="AE58" s="327"/>
      <c r="AF58" s="314"/>
      <c r="AG58" s="315"/>
      <c r="AH58" s="314"/>
      <c r="AI58" s="315"/>
      <c r="AJ58" s="314"/>
      <c r="AK58" s="315"/>
      <c r="AL58" s="122"/>
      <c r="AM58" s="330"/>
      <c r="AN58" s="331"/>
    </row>
    <row r="59" spans="1:40" ht="14.1" customHeight="1" x14ac:dyDescent="0.2">
      <c r="A59" s="323" t="s">
        <v>555</v>
      </c>
      <c r="B59" s="297"/>
      <c r="C59" s="297"/>
      <c r="D59" s="316">
        <f>D102-D25</f>
        <v>-54043</v>
      </c>
      <c r="E59" s="316">
        <f>E102-E25</f>
        <v>-42744</v>
      </c>
      <c r="F59" s="316">
        <f>F102-F25</f>
        <v>-96787</v>
      </c>
      <c r="G59" s="316"/>
      <c r="H59" s="316">
        <f>H102-H25</f>
        <v>-2871757</v>
      </c>
      <c r="I59" s="316"/>
      <c r="J59" s="316">
        <f>J102-J25</f>
        <v>-2774970</v>
      </c>
      <c r="K59" s="316"/>
      <c r="L59" s="316">
        <f>L102-L25</f>
        <v>-2617023</v>
      </c>
      <c r="M59" s="316">
        <f>M102-M25</f>
        <v>-157947</v>
      </c>
      <c r="N59" s="316">
        <f>N102-N25</f>
        <v>-2774970</v>
      </c>
      <c r="P59" s="332" t="s">
        <v>556</v>
      </c>
      <c r="Q59" s="136"/>
      <c r="R59" s="334"/>
      <c r="S59" s="333">
        <f>D61</f>
        <v>2900732655</v>
      </c>
      <c r="T59" s="335">
        <f>E61</f>
        <v>-42744</v>
      </c>
      <c r="U59" s="136"/>
      <c r="V59" s="334"/>
      <c r="W59" s="127"/>
      <c r="X59" s="333">
        <f>X102-X21</f>
        <v>0</v>
      </c>
      <c r="Y59" s="335">
        <f>Y102-Y21+3</f>
        <v>-2900689911</v>
      </c>
      <c r="Z59" s="317"/>
      <c r="AA59" s="440"/>
      <c r="AE59" s="332" t="s">
        <v>556</v>
      </c>
      <c r="AF59" s="136"/>
      <c r="AG59" s="334"/>
      <c r="AH59" s="333">
        <f>S59-'FPL FAS109 B4 Tax Reform'!S52</f>
        <v>2900786698</v>
      </c>
      <c r="AI59" s="335">
        <f>T59-'FPL FAS109 B4 Tax Reform'!T52</f>
        <v>0</v>
      </c>
      <c r="AJ59" s="136"/>
      <c r="AK59" s="334"/>
      <c r="AL59" s="127"/>
      <c r="AM59" s="333">
        <f>X59-'FPL FAS109 B4 Tax Reform'!X52</f>
        <v>0</v>
      </c>
      <c r="AN59" s="335">
        <f>Y59-'FPL FAS109 B4 Tax Reform'!Y52</f>
        <v>-2900786698</v>
      </c>
    </row>
    <row r="60" spans="1:40" s="297" customFormat="1" ht="14.1" customHeight="1" x14ac:dyDescent="0.2">
      <c r="A60" s="323" t="s">
        <v>557</v>
      </c>
      <c r="D60" s="316">
        <f>D103</f>
        <v>2900786701</v>
      </c>
      <c r="E60" s="316">
        <f>E103</f>
        <v>0</v>
      </c>
      <c r="F60" s="316">
        <f>F103</f>
        <v>2900786701</v>
      </c>
      <c r="G60" s="316"/>
      <c r="H60" s="316">
        <f>H103</f>
        <v>3885589312</v>
      </c>
      <c r="I60" s="316"/>
      <c r="J60" s="316">
        <f>J103</f>
        <v>984802611</v>
      </c>
      <c r="K60" s="316"/>
      <c r="L60" s="316">
        <f>L103</f>
        <v>771095199</v>
      </c>
      <c r="M60" s="316">
        <f>M103</f>
        <v>213707412</v>
      </c>
      <c r="N60" s="316">
        <f>N103</f>
        <v>984802611</v>
      </c>
      <c r="P60" s="337" t="s">
        <v>543</v>
      </c>
      <c r="Q60" s="333">
        <f>L61</f>
        <v>768478176</v>
      </c>
      <c r="R60" s="335">
        <f>M61</f>
        <v>213549466</v>
      </c>
      <c r="S60" s="136"/>
      <c r="T60" s="334"/>
      <c r="U60" s="136"/>
      <c r="V60" s="334"/>
      <c r="W60" s="127"/>
      <c r="X60" s="333">
        <f>X103-X22</f>
        <v>0</v>
      </c>
      <c r="Y60" s="335">
        <f>Y103-Y22-1</f>
        <v>-982027642</v>
      </c>
      <c r="Z60" s="317"/>
      <c r="AE60" s="337" t="s">
        <v>543</v>
      </c>
      <c r="AF60" s="333">
        <f>Q60-'FPL FAS109 B4 Tax Reform'!Q53</f>
        <v>768530292</v>
      </c>
      <c r="AG60" s="335">
        <f>R60-'FPL FAS109 B4 Tax Reform'!R53</f>
        <v>213558132</v>
      </c>
      <c r="AH60" s="136"/>
      <c r="AI60" s="334"/>
      <c r="AJ60" s="136"/>
      <c r="AK60" s="334"/>
      <c r="AL60" s="127"/>
      <c r="AM60" s="333">
        <f>X60-'FPL FAS109 B4 Tax Reform'!X53</f>
        <v>0</v>
      </c>
      <c r="AN60" s="335">
        <f>Y60-'FPL FAS109 B4 Tax Reform'!Y53</f>
        <v>-982088424</v>
      </c>
    </row>
    <row r="61" spans="1:40" s="297" customFormat="1" ht="14.1" customHeight="1" x14ac:dyDescent="0.2">
      <c r="A61" s="141" t="s">
        <v>558</v>
      </c>
      <c r="D61" s="142">
        <f>SUM(D59:D60)-3</f>
        <v>2900732655</v>
      </c>
      <c r="E61" s="142">
        <f>SUM(E59:E60)</f>
        <v>-42744</v>
      </c>
      <c r="F61" s="142">
        <f>SUM(F59:F60)-3</f>
        <v>2900689911</v>
      </c>
      <c r="G61" s="317"/>
      <c r="H61" s="142">
        <f>SUM(H59:H60)</f>
        <v>3882717555</v>
      </c>
      <c r="I61" s="317"/>
      <c r="J61" s="142">
        <f>SUM(J59:J60)+1</f>
        <v>982027642</v>
      </c>
      <c r="K61" s="317"/>
      <c r="L61" s="142">
        <f>SUM(L59:L60)</f>
        <v>768478176</v>
      </c>
      <c r="M61" s="142">
        <f>SUM(M59:M60)+1</f>
        <v>213549466</v>
      </c>
      <c r="N61" s="142">
        <f>SUM(N59:N60)+1</f>
        <v>982027642</v>
      </c>
      <c r="P61" s="327"/>
      <c r="Q61" s="330"/>
      <c r="R61" s="331"/>
      <c r="S61" s="330"/>
      <c r="T61" s="331"/>
      <c r="U61" s="330"/>
      <c r="V61" s="331"/>
      <c r="W61" s="316"/>
      <c r="X61" s="330"/>
      <c r="Y61" s="331"/>
      <c r="AE61" s="327"/>
      <c r="AF61" s="330"/>
      <c r="AG61" s="331"/>
      <c r="AH61" s="330"/>
      <c r="AI61" s="331"/>
      <c r="AJ61" s="330"/>
      <c r="AK61" s="331"/>
      <c r="AL61" s="316"/>
      <c r="AM61" s="330"/>
      <c r="AN61" s="331"/>
    </row>
    <row r="62" spans="1:40" s="297" customFormat="1" ht="14.1" customHeight="1" x14ac:dyDescent="0.2">
      <c r="P62" s="318" t="s">
        <v>542</v>
      </c>
      <c r="Q62" s="319"/>
      <c r="R62" s="320"/>
      <c r="S62" s="319"/>
      <c r="T62" s="320"/>
      <c r="U62" s="319">
        <f>D63</f>
        <v>717713930</v>
      </c>
      <c r="V62" s="320">
        <f>E63</f>
        <v>0</v>
      </c>
      <c r="W62" s="143"/>
      <c r="X62" s="319"/>
      <c r="Y62" s="320">
        <f>Y105+1</f>
        <v>-717713930</v>
      </c>
      <c r="Z62" s="317"/>
      <c r="AA62" s="441"/>
      <c r="AE62" s="318" t="s">
        <v>542</v>
      </c>
      <c r="AF62" s="319"/>
      <c r="AG62" s="320"/>
      <c r="AH62" s="319"/>
      <c r="AI62" s="320"/>
      <c r="AJ62" s="319">
        <f>U62</f>
        <v>717713930</v>
      </c>
      <c r="AK62" s="320">
        <f>V62</f>
        <v>0</v>
      </c>
      <c r="AL62" s="143"/>
      <c r="AM62" s="319">
        <f>X62</f>
        <v>0</v>
      </c>
      <c r="AN62" s="320">
        <f>Y62</f>
        <v>-717713930</v>
      </c>
    </row>
    <row r="63" spans="1:40" s="297" customFormat="1" ht="14.1" customHeight="1" x14ac:dyDescent="0.2">
      <c r="A63" s="323" t="s">
        <v>496</v>
      </c>
      <c r="D63" s="316">
        <f>D106-1</f>
        <v>717713930</v>
      </c>
      <c r="E63" s="316">
        <f>E106</f>
        <v>0</v>
      </c>
      <c r="F63" s="316">
        <f>F106+1</f>
        <v>717713932</v>
      </c>
      <c r="G63" s="316"/>
      <c r="H63" s="316">
        <f>H106</f>
        <v>961374229</v>
      </c>
      <c r="I63" s="316"/>
      <c r="J63" s="316">
        <f>J106+1</f>
        <v>243660299</v>
      </c>
      <c r="K63" s="316"/>
      <c r="L63" s="316">
        <f>L106</f>
        <v>190784716</v>
      </c>
      <c r="M63" s="316">
        <f>M106</f>
        <v>52875583</v>
      </c>
      <c r="N63" s="316">
        <f>N106</f>
        <v>243660299</v>
      </c>
      <c r="P63" s="325" t="s">
        <v>543</v>
      </c>
      <c r="Q63" s="319">
        <f>L63</f>
        <v>190784716</v>
      </c>
      <c r="R63" s="320">
        <f>M63</f>
        <v>52875583</v>
      </c>
      <c r="S63" s="319"/>
      <c r="T63" s="320"/>
      <c r="U63" s="319"/>
      <c r="V63" s="320"/>
      <c r="W63" s="143"/>
      <c r="X63" s="319"/>
      <c r="Y63" s="320">
        <f>Y106</f>
        <v>-243660299</v>
      </c>
      <c r="Z63" s="317"/>
      <c r="AE63" s="325" t="s">
        <v>543</v>
      </c>
      <c r="AF63" s="319">
        <f>Q63</f>
        <v>190784716</v>
      </c>
      <c r="AG63" s="320">
        <f>R63</f>
        <v>52875583</v>
      </c>
      <c r="AH63" s="319"/>
      <c r="AI63" s="320"/>
      <c r="AJ63" s="319"/>
      <c r="AK63" s="320"/>
      <c r="AL63" s="143"/>
      <c r="AM63" s="319">
        <f>X63</f>
        <v>0</v>
      </c>
      <c r="AN63" s="320">
        <f>Y63</f>
        <v>-243660299</v>
      </c>
    </row>
    <row r="64" spans="1:40" s="297" customFormat="1" ht="14.1" customHeight="1" x14ac:dyDescent="0.2">
      <c r="P64" s="305"/>
      <c r="Q64" s="330"/>
      <c r="R64" s="331"/>
      <c r="S64" s="330"/>
      <c r="T64" s="331"/>
      <c r="U64" s="330"/>
      <c r="V64" s="331"/>
      <c r="W64" s="316"/>
      <c r="X64" s="330"/>
      <c r="Y64" s="437"/>
      <c r="AE64" s="305"/>
      <c r="AF64" s="330"/>
      <c r="AG64" s="331"/>
      <c r="AH64" s="330"/>
      <c r="AI64" s="331"/>
      <c r="AJ64" s="330"/>
      <c r="AK64" s="331"/>
      <c r="AL64" s="316"/>
      <c r="AM64" s="330"/>
      <c r="AN64" s="331"/>
    </row>
    <row r="65" spans="1:40" s="297" customFormat="1" ht="14.1" customHeight="1" thickBot="1" x14ac:dyDescent="0.25">
      <c r="A65" s="297" t="s">
        <v>560</v>
      </c>
      <c r="B65" s="79"/>
      <c r="C65" s="79"/>
      <c r="D65" s="339">
        <f>D57+D61+D63</f>
        <v>3289023735</v>
      </c>
      <c r="E65" s="339">
        <f>E57+E61+E63</f>
        <v>-42744</v>
      </c>
      <c r="F65" s="339">
        <f>F57+F61+F63</f>
        <v>3288980993</v>
      </c>
      <c r="G65" s="317"/>
      <c r="H65" s="339">
        <f>H57+H61+H63</f>
        <v>4402831520</v>
      </c>
      <c r="I65" s="317"/>
      <c r="J65" s="339">
        <f>J57+J61+J63</f>
        <v>1113850527</v>
      </c>
      <c r="K65" s="317"/>
      <c r="L65" s="339">
        <f>L57+L61+L63</f>
        <v>871694793</v>
      </c>
      <c r="M65" s="339">
        <f>M57+M61+M63</f>
        <v>242155734</v>
      </c>
      <c r="N65" s="339">
        <f>N57+N61+N63</f>
        <v>1113850527</v>
      </c>
      <c r="P65" s="305"/>
      <c r="Q65" s="314"/>
      <c r="R65" s="315"/>
      <c r="S65" s="314"/>
      <c r="T65" s="315"/>
      <c r="U65" s="314"/>
      <c r="V65" s="315"/>
      <c r="W65" s="122"/>
      <c r="X65" s="314"/>
      <c r="Y65" s="437"/>
      <c r="AE65" s="305"/>
      <c r="AF65" s="314"/>
      <c r="AG65" s="315"/>
      <c r="AH65" s="314"/>
      <c r="AI65" s="315"/>
      <c r="AJ65" s="314"/>
      <c r="AK65" s="315"/>
      <c r="AL65" s="122"/>
      <c r="AM65" s="314"/>
      <c r="AN65" s="315"/>
    </row>
    <row r="66" spans="1:40" s="297" customFormat="1" ht="14.1" customHeight="1" thickTop="1" x14ac:dyDescent="0.2">
      <c r="A66" s="76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6"/>
      <c r="M66" s="76"/>
      <c r="N66" s="76"/>
      <c r="P66" s="305"/>
      <c r="Q66" s="314"/>
      <c r="R66" s="315"/>
      <c r="S66" s="314"/>
      <c r="T66" s="315"/>
      <c r="U66" s="314"/>
      <c r="V66" s="315"/>
      <c r="W66" s="122"/>
      <c r="X66" s="314"/>
      <c r="Y66" s="437"/>
      <c r="AE66" s="305"/>
      <c r="AF66" s="314"/>
      <c r="AG66" s="315"/>
      <c r="AH66" s="314"/>
      <c r="AI66" s="315"/>
      <c r="AJ66" s="314"/>
      <c r="AK66" s="315"/>
      <c r="AL66" s="122"/>
      <c r="AM66" s="314"/>
      <c r="AN66" s="315"/>
    </row>
    <row r="67" spans="1:40" s="297" customFormat="1" ht="14.1" customHeight="1" x14ac:dyDescent="0.2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P67" s="305"/>
      <c r="Q67" s="314"/>
      <c r="R67" s="315"/>
      <c r="S67" s="314"/>
      <c r="T67" s="315"/>
      <c r="U67" s="314"/>
      <c r="V67" s="315"/>
      <c r="W67" s="122"/>
      <c r="X67" s="314"/>
      <c r="Y67" s="437"/>
      <c r="AE67" s="305"/>
      <c r="AF67" s="314"/>
      <c r="AG67" s="315"/>
      <c r="AH67" s="314"/>
      <c r="AI67" s="315"/>
      <c r="AJ67" s="314"/>
      <c r="AK67" s="315"/>
      <c r="AL67" s="122"/>
      <c r="AM67" s="314"/>
      <c r="AN67" s="315"/>
    </row>
    <row r="68" spans="1:40" s="297" customFormat="1" ht="14.1" customHeight="1" thickBot="1" x14ac:dyDescent="0.25">
      <c r="A68" s="92" t="s">
        <v>372</v>
      </c>
      <c r="B68" s="116"/>
      <c r="C68" s="116"/>
      <c r="D68" s="117">
        <f>D40+D52+D65+D46</f>
        <v>3354697677</v>
      </c>
      <c r="E68" s="117">
        <f>E40+E52+E65+E46</f>
        <v>455862</v>
      </c>
      <c r="F68" s="117">
        <f>F40+F52+F65+F46</f>
        <v>3355153539</v>
      </c>
      <c r="G68" s="116"/>
      <c r="H68" s="117">
        <f>H40+H52+H65+H46</f>
        <v>4545201182</v>
      </c>
      <c r="I68" s="116"/>
      <c r="J68" s="117">
        <f>J40+J52+J65+J46</f>
        <v>1190047645</v>
      </c>
      <c r="K68" s="79"/>
      <c r="L68" s="117">
        <f>L40+L52+L65+L46</f>
        <v>940061580</v>
      </c>
      <c r="M68" s="117">
        <f>M40+M52+M65+M46</f>
        <v>249986065</v>
      </c>
      <c r="N68" s="117">
        <f>N40+N52+N65+N46</f>
        <v>1190047645</v>
      </c>
      <c r="P68" s="305"/>
      <c r="Q68" s="341">
        <f t="shared" ref="Q68:V68" si="5">SUM(Q40:Q63)</f>
        <v>596837824</v>
      </c>
      <c r="R68" s="342">
        <f t="shared" si="5"/>
        <v>264443961</v>
      </c>
      <c r="S68" s="341">
        <f t="shared" si="5"/>
        <v>2982493161</v>
      </c>
      <c r="T68" s="342">
        <f t="shared" si="5"/>
        <v>512868</v>
      </c>
      <c r="U68" s="341">
        <f t="shared" si="5"/>
        <v>715428272</v>
      </c>
      <c r="V68" s="342">
        <f t="shared" si="5"/>
        <v>-14514902</v>
      </c>
      <c r="W68" s="122"/>
      <c r="X68" s="341">
        <f>SUM(X40:X63)</f>
        <v>263907292</v>
      </c>
      <c r="Y68" s="342">
        <f>SUM(Y40:Y63)</f>
        <v>-4809108476</v>
      </c>
      <c r="AE68" s="305"/>
      <c r="AF68" s="341">
        <f t="shared" ref="AF68:AK68" si="6">SUM(AF40:AF63)</f>
        <v>597448042</v>
      </c>
      <c r="AG68" s="342">
        <f t="shared" si="6"/>
        <v>264545433</v>
      </c>
      <c r="AH68" s="341">
        <f t="shared" si="6"/>
        <v>2979205950</v>
      </c>
      <c r="AI68" s="342">
        <f t="shared" si="6"/>
        <v>-1</v>
      </c>
      <c r="AJ68" s="341">
        <f t="shared" si="6"/>
        <v>713329958</v>
      </c>
      <c r="AK68" s="342">
        <f t="shared" si="6"/>
        <v>-14863828</v>
      </c>
      <c r="AL68" s="122"/>
      <c r="AM68" s="341">
        <f>SUM(AM40:AM63)</f>
        <v>270251399</v>
      </c>
      <c r="AN68" s="342">
        <f>SUM(AN40:AN63)</f>
        <v>-4809916953</v>
      </c>
    </row>
    <row r="69" spans="1:40" s="297" customFormat="1" ht="14.1" customHeight="1" thickTop="1" x14ac:dyDescent="0.2">
      <c r="P69" s="305"/>
      <c r="Q69" s="314"/>
      <c r="R69" s="315"/>
      <c r="S69" s="314"/>
      <c r="T69" s="315"/>
      <c r="U69" s="314"/>
      <c r="V69" s="315"/>
      <c r="W69" s="122"/>
      <c r="X69" s="314"/>
      <c r="Y69" s="315"/>
      <c r="AE69" s="305"/>
      <c r="AF69" s="314"/>
      <c r="AG69" s="315"/>
      <c r="AH69" s="314"/>
      <c r="AI69" s="315"/>
      <c r="AJ69" s="314"/>
      <c r="AK69" s="315"/>
      <c r="AL69" s="122"/>
      <c r="AM69" s="314"/>
      <c r="AN69" s="315"/>
    </row>
    <row r="70" spans="1:40" ht="14.1" customHeight="1" thickBot="1" x14ac:dyDescent="0.25">
      <c r="P70" s="305"/>
      <c r="Q70" s="330"/>
      <c r="R70" s="331"/>
      <c r="S70" s="330"/>
      <c r="T70" s="331"/>
      <c r="U70" s="330"/>
      <c r="V70" s="331"/>
      <c r="W70" s="316"/>
      <c r="X70" s="330"/>
      <c r="Y70" s="343">
        <f>X68+Y68</f>
        <v>-4545201184</v>
      </c>
      <c r="AA70" s="317">
        <f>Y70-'FPL FAS109 B4 Tax Reform'!Y56</f>
        <v>-4539665554</v>
      </c>
      <c r="AE70" s="305"/>
      <c r="AF70" s="330"/>
      <c r="AG70" s="331"/>
      <c r="AH70" s="330"/>
      <c r="AI70" s="331"/>
      <c r="AJ70" s="330"/>
      <c r="AK70" s="331"/>
      <c r="AL70" s="316"/>
      <c r="AM70" s="330"/>
      <c r="AN70" s="343">
        <f>AM68+AN68</f>
        <v>-4539665554</v>
      </c>
    </row>
    <row r="71" spans="1:40" s="297" customFormat="1" ht="14.1" customHeight="1" thickTop="1" x14ac:dyDescent="0.2">
      <c r="P71" s="118"/>
      <c r="Q71" s="144"/>
      <c r="R71" s="145"/>
      <c r="S71" s="144"/>
      <c r="T71" s="145"/>
      <c r="U71" s="144"/>
      <c r="V71" s="145"/>
      <c r="W71" s="146"/>
      <c r="X71" s="144"/>
      <c r="Y71" s="346"/>
      <c r="AA71" s="408" t="s">
        <v>661</v>
      </c>
      <c r="AE71" s="118"/>
      <c r="AF71" s="144"/>
      <c r="AG71" s="145"/>
      <c r="AH71" s="144"/>
      <c r="AI71" s="145"/>
      <c r="AJ71" s="144"/>
      <c r="AK71" s="145"/>
      <c r="AL71" s="146"/>
      <c r="AM71" s="144"/>
      <c r="AN71" s="346"/>
    </row>
    <row r="73" spans="1:40" ht="14.1" customHeight="1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</row>
    <row r="74" spans="1:40" ht="14.1" customHeight="1" x14ac:dyDescent="0.2">
      <c r="Y74" s="79"/>
    </row>
    <row r="75" spans="1:40" ht="14.1" customHeight="1" x14ac:dyDescent="0.2">
      <c r="A75" s="75" t="s">
        <v>563</v>
      </c>
    </row>
    <row r="76" spans="1:40" ht="14.1" customHeight="1" x14ac:dyDescent="0.2">
      <c r="A76" s="75" t="s">
        <v>502</v>
      </c>
    </row>
    <row r="77" spans="1:40" ht="14.1" customHeight="1" x14ac:dyDescent="0.2">
      <c r="A77" s="77" t="s">
        <v>544</v>
      </c>
    </row>
    <row r="78" spans="1:40" ht="14.1" customHeight="1" x14ac:dyDescent="0.2">
      <c r="P78" s="75" t="s">
        <v>545</v>
      </c>
    </row>
    <row r="79" spans="1:40" ht="14.1" customHeight="1" x14ac:dyDescent="0.2">
      <c r="A79" s="453" t="s">
        <v>546</v>
      </c>
      <c r="B79" s="453"/>
      <c r="C79" s="453"/>
      <c r="D79" s="453"/>
      <c r="E79" s="453"/>
      <c r="F79" s="453"/>
      <c r="G79" s="453"/>
      <c r="H79" s="453"/>
      <c r="I79" s="453"/>
      <c r="J79" s="453"/>
      <c r="K79" s="453"/>
      <c r="L79" s="453"/>
      <c r="M79" s="453"/>
      <c r="N79" s="453"/>
      <c r="P79" s="82"/>
      <c r="Q79" s="83" t="s">
        <v>467</v>
      </c>
      <c r="R79" s="84" t="s">
        <v>465</v>
      </c>
      <c r="S79" s="83" t="s">
        <v>467</v>
      </c>
      <c r="T79" s="84" t="s">
        <v>465</v>
      </c>
      <c r="U79" s="83" t="s">
        <v>467</v>
      </c>
      <c r="V79" s="84" t="s">
        <v>465</v>
      </c>
      <c r="W79" s="85"/>
      <c r="X79" s="86" t="s">
        <v>514</v>
      </c>
      <c r="Y79" s="87" t="s">
        <v>514</v>
      </c>
      <c r="AC79" s="80" t="s">
        <v>512</v>
      </c>
    </row>
    <row r="80" spans="1:40" ht="14.1" customHeight="1" x14ac:dyDescent="0.2">
      <c r="P80" s="89"/>
      <c r="Q80" s="90" t="s">
        <v>516</v>
      </c>
      <c r="R80" s="91" t="s">
        <v>517</v>
      </c>
      <c r="S80" s="90" t="s">
        <v>518</v>
      </c>
      <c r="T80" s="91" t="s">
        <v>519</v>
      </c>
      <c r="U80" s="90" t="s">
        <v>520</v>
      </c>
      <c r="V80" s="91" t="s">
        <v>521</v>
      </c>
      <c r="W80" s="92"/>
      <c r="X80" s="90" t="s">
        <v>522</v>
      </c>
      <c r="Y80" s="91" t="s">
        <v>523</v>
      </c>
      <c r="AC80" s="76" t="s">
        <v>515</v>
      </c>
      <c r="AD80" s="88">
        <v>0.21</v>
      </c>
    </row>
    <row r="81" spans="1:31" ht="14.1" customHeight="1" x14ac:dyDescent="0.2">
      <c r="A81" s="78" t="s">
        <v>505</v>
      </c>
      <c r="B81" s="78" t="s">
        <v>506</v>
      </c>
      <c r="C81" s="78"/>
      <c r="D81" s="78" t="s">
        <v>467</v>
      </c>
      <c r="E81" s="78" t="s">
        <v>465</v>
      </c>
      <c r="F81" s="78" t="s">
        <v>507</v>
      </c>
      <c r="G81" s="78"/>
      <c r="H81" s="78" t="s">
        <v>508</v>
      </c>
      <c r="I81" s="78"/>
      <c r="J81" s="78" t="s">
        <v>509</v>
      </c>
      <c r="L81" s="78" t="s">
        <v>467</v>
      </c>
      <c r="M81" s="78" t="s">
        <v>465</v>
      </c>
      <c r="N81" s="78" t="s">
        <v>510</v>
      </c>
      <c r="P81" s="95"/>
      <c r="Q81" s="96" t="s">
        <v>525</v>
      </c>
      <c r="R81" s="97" t="s">
        <v>525</v>
      </c>
      <c r="S81" s="96" t="s">
        <v>526</v>
      </c>
      <c r="T81" s="97" t="s">
        <v>526</v>
      </c>
      <c r="U81" s="96" t="s">
        <v>527</v>
      </c>
      <c r="V81" s="97" t="s">
        <v>527</v>
      </c>
      <c r="W81" s="95"/>
      <c r="X81" s="96" t="s">
        <v>528</v>
      </c>
      <c r="Y81" s="97" t="s">
        <v>529</v>
      </c>
      <c r="AC81" s="76" t="s">
        <v>524</v>
      </c>
      <c r="AD81" s="76">
        <v>5.5E-2</v>
      </c>
    </row>
    <row r="82" spans="1:31" ht="14.1" customHeight="1" x14ac:dyDescent="0.2">
      <c r="P82" s="100"/>
      <c r="Q82" s="122"/>
      <c r="R82" s="122"/>
      <c r="S82" s="102"/>
      <c r="T82" s="122"/>
      <c r="U82" s="102"/>
      <c r="V82" s="101"/>
      <c r="W82" s="122"/>
      <c r="X82" s="102"/>
      <c r="Y82" s="101"/>
      <c r="AC82" s="76" t="s">
        <v>466</v>
      </c>
      <c r="AD82" s="99">
        <f>AD81*-AD80</f>
        <v>-1.155E-2</v>
      </c>
    </row>
    <row r="83" spans="1:31" ht="14.1" customHeight="1" x14ac:dyDescent="0.2">
      <c r="A83" s="76" t="s">
        <v>513</v>
      </c>
      <c r="B83" s="81">
        <v>119000396.29119998</v>
      </c>
      <c r="C83" s="79"/>
      <c r="D83" s="79">
        <f>ROUND(B83*AD85,0)</f>
        <v>23615629</v>
      </c>
      <c r="E83" s="79">
        <f>ROUND(B83*AD81,0)</f>
        <v>6545022</v>
      </c>
      <c r="F83" s="79">
        <f>D83+E83</f>
        <v>30160651</v>
      </c>
      <c r="G83" s="79"/>
      <c r="H83" s="79">
        <f>ROUND(F83/AD87,0)</f>
        <v>40400042</v>
      </c>
      <c r="I83" s="79"/>
      <c r="J83" s="79">
        <f>H83-F83</f>
        <v>10239391</v>
      </c>
      <c r="K83" s="79"/>
      <c r="L83" s="79">
        <f>ROUND(F83*(AD85/AD87),0)</f>
        <v>8017388</v>
      </c>
      <c r="M83" s="79">
        <f>ROUND(F83*(AD81/AD87),0)</f>
        <v>2222002</v>
      </c>
      <c r="N83" s="79">
        <f>L83+M83</f>
        <v>10239390</v>
      </c>
      <c r="P83" s="123" t="s">
        <v>547</v>
      </c>
      <c r="Q83" s="124">
        <f>D83</f>
        <v>23615629</v>
      </c>
      <c r="R83" s="125">
        <f>E83</f>
        <v>6545022</v>
      </c>
      <c r="S83" s="124"/>
      <c r="T83" s="125"/>
      <c r="U83" s="124"/>
      <c r="V83" s="126"/>
      <c r="W83" s="127"/>
      <c r="X83" s="124">
        <f>IF(AA83&lt;0,-AA83,0)</f>
        <v>0</v>
      </c>
      <c r="Y83" s="125">
        <f>IF(AA83&gt;0,-AA83,0)</f>
        <v>-30160651</v>
      </c>
      <c r="AA83" s="79">
        <f>SUM(Q83:V83)</f>
        <v>30160651</v>
      </c>
      <c r="AC83" s="76" t="s">
        <v>530</v>
      </c>
      <c r="AD83" s="103">
        <f>SUM(AD80:AD82)</f>
        <v>0.25345000000000001</v>
      </c>
    </row>
    <row r="84" spans="1:31" ht="14.1" customHeight="1" x14ac:dyDescent="0.2">
      <c r="B84" s="79"/>
      <c r="C84" s="79"/>
      <c r="D84" s="79"/>
      <c r="E84" s="79"/>
      <c r="F84" s="79"/>
      <c r="G84" s="79"/>
      <c r="H84" s="79"/>
      <c r="I84" s="79"/>
      <c r="J84" s="79"/>
      <c r="K84" s="79"/>
      <c r="P84" s="128" t="s">
        <v>532</v>
      </c>
      <c r="Q84" s="124">
        <f>L83</f>
        <v>8017388</v>
      </c>
      <c r="R84" s="125">
        <f>M83</f>
        <v>2222002</v>
      </c>
      <c r="S84" s="124"/>
      <c r="T84" s="125"/>
      <c r="U84" s="124"/>
      <c r="V84" s="126"/>
      <c r="W84" s="127"/>
      <c r="X84" s="124">
        <f>IF(AA84&lt;0,-AA84,0)</f>
        <v>0</v>
      </c>
      <c r="Y84" s="125">
        <f>IF(AA84&gt;0,-AA84,0)</f>
        <v>-10239390</v>
      </c>
      <c r="AA84" s="79">
        <f>SUM(Q84:V84)</f>
        <v>10239390</v>
      </c>
    </row>
    <row r="85" spans="1:31" ht="14.1" customHeight="1" x14ac:dyDescent="0.2">
      <c r="A85" s="93"/>
      <c r="B85" s="94"/>
      <c r="C85" s="94"/>
      <c r="D85" s="94"/>
      <c r="E85" s="94"/>
      <c r="F85" s="94"/>
      <c r="G85" s="94"/>
      <c r="H85" s="94"/>
      <c r="I85" s="94"/>
      <c r="J85" s="94"/>
      <c r="K85" s="94"/>
      <c r="L85" s="94"/>
      <c r="M85" s="94"/>
      <c r="N85" s="94"/>
      <c r="P85" s="89"/>
      <c r="Q85" s="107"/>
      <c r="R85" s="106"/>
      <c r="S85" s="107"/>
      <c r="T85" s="106"/>
      <c r="U85" s="107"/>
      <c r="V85" s="106"/>
      <c r="W85" s="122"/>
      <c r="X85" s="107"/>
      <c r="Y85" s="106"/>
      <c r="AC85" s="76" t="s">
        <v>534</v>
      </c>
      <c r="AD85" s="108">
        <f>AD80+AD82</f>
        <v>0.19844999999999999</v>
      </c>
    </row>
    <row r="86" spans="1:31" ht="14.1" customHeight="1" x14ac:dyDescent="0.2">
      <c r="B86" s="79"/>
      <c r="C86" s="79"/>
      <c r="D86" s="79"/>
      <c r="E86" s="79"/>
      <c r="F86" s="79"/>
      <c r="G86" s="79"/>
      <c r="H86" s="79"/>
      <c r="I86" s="79"/>
      <c r="J86" s="79"/>
      <c r="K86" s="79"/>
      <c r="P86" s="89"/>
      <c r="Q86" s="107"/>
      <c r="R86" s="106"/>
      <c r="S86" s="107"/>
      <c r="T86" s="106"/>
      <c r="U86" s="107"/>
      <c r="V86" s="106"/>
      <c r="W86" s="122"/>
      <c r="X86" s="107"/>
      <c r="Y86" s="106"/>
    </row>
    <row r="87" spans="1:31" ht="14.1" customHeight="1" x14ac:dyDescent="0.2">
      <c r="A87" s="76" t="s">
        <v>531</v>
      </c>
      <c r="B87" s="81">
        <v>-62122334.399999999</v>
      </c>
      <c r="C87" s="81"/>
      <c r="D87" s="81">
        <f>ROUND(B87*AD85,0)</f>
        <v>-12328177</v>
      </c>
      <c r="E87" s="81">
        <f>ROUND(B87*AD81,0)</f>
        <v>-3416728</v>
      </c>
      <c r="F87" s="81">
        <f>D87+E87</f>
        <v>-15744905</v>
      </c>
      <c r="G87" s="81"/>
      <c r="H87" s="81">
        <f>ROUND(F87/AD87,0)</f>
        <v>-21090222</v>
      </c>
      <c r="I87" s="81"/>
      <c r="J87" s="81">
        <f>H87-F87</f>
        <v>-5345317</v>
      </c>
      <c r="K87" s="81"/>
      <c r="L87" s="81">
        <f>ROUND(F87*(AD85/AD87),0)</f>
        <v>-4185354</v>
      </c>
      <c r="M87" s="81">
        <f>ROUND(F87*(AD81/AD87),0)</f>
        <v>-1159962</v>
      </c>
      <c r="N87" s="81">
        <f>L87+M87</f>
        <v>-5345316</v>
      </c>
      <c r="P87" s="129" t="s">
        <v>548</v>
      </c>
      <c r="Q87" s="130"/>
      <c r="R87" s="131"/>
      <c r="S87" s="132">
        <f>D89</f>
        <v>-11545467</v>
      </c>
      <c r="T87" s="133">
        <f>E89</f>
        <v>-3199802</v>
      </c>
      <c r="U87" s="130"/>
      <c r="V87" s="131"/>
      <c r="W87" s="134"/>
      <c r="X87" s="132">
        <f>IF(AA87&lt;0,-AA87,0)</f>
        <v>14745269</v>
      </c>
      <c r="Y87" s="133">
        <f>IF(AA87&gt;0,-AA87,0)</f>
        <v>0</v>
      </c>
      <c r="AA87" s="79">
        <f>SUM(Q87:V87)</f>
        <v>-14745269</v>
      </c>
      <c r="AC87" s="76" t="s">
        <v>536</v>
      </c>
      <c r="AD87" s="108">
        <f>1-AD83</f>
        <v>0.74655000000000005</v>
      </c>
      <c r="AE87" s="76" t="s">
        <v>537</v>
      </c>
    </row>
    <row r="88" spans="1:31" ht="14.1" customHeight="1" x14ac:dyDescent="0.2">
      <c r="A88" s="76" t="s">
        <v>533</v>
      </c>
      <c r="B88" s="81">
        <v>3944117.25</v>
      </c>
      <c r="C88" s="81"/>
      <c r="D88" s="81">
        <f>ROUND(B88*AD85,0)</f>
        <v>782710</v>
      </c>
      <c r="E88" s="81">
        <f>ROUND(B88*AD81,0)</f>
        <v>216926</v>
      </c>
      <c r="F88" s="81">
        <f>D88+E88</f>
        <v>999636</v>
      </c>
      <c r="G88" s="81"/>
      <c r="H88" s="81">
        <f>ROUND(F88/AD87,0)</f>
        <v>1339007</v>
      </c>
      <c r="I88" s="81"/>
      <c r="J88" s="81">
        <f>H88-F88</f>
        <v>339371</v>
      </c>
      <c r="K88" s="81"/>
      <c r="L88" s="81">
        <f>ROUND(F88*(AD85/AD87),0)</f>
        <v>265726</v>
      </c>
      <c r="M88" s="81">
        <f>ROUND(F88*(AD81/AD87),0)</f>
        <v>73645</v>
      </c>
      <c r="N88" s="81">
        <f>L88+M88</f>
        <v>339371</v>
      </c>
      <c r="P88" s="135" t="s">
        <v>549</v>
      </c>
      <c r="Q88" s="130"/>
      <c r="R88" s="131"/>
      <c r="S88" s="130"/>
      <c r="T88" s="131"/>
      <c r="U88" s="132">
        <f>L89</f>
        <v>-3919628</v>
      </c>
      <c r="V88" s="133">
        <f>M89</f>
        <v>-1086317</v>
      </c>
      <c r="W88" s="134"/>
      <c r="X88" s="132">
        <f>IF(AA88&lt;0,-AA88,0)</f>
        <v>5005945</v>
      </c>
      <c r="Y88" s="133">
        <f>IF(AA88&gt;0,-AA88,0)</f>
        <v>0</v>
      </c>
      <c r="AA88" s="79">
        <f>SUM(Q88:V88)</f>
        <v>-5005945</v>
      </c>
    </row>
    <row r="89" spans="1:31" ht="14.1" customHeight="1" thickBot="1" x14ac:dyDescent="0.25">
      <c r="A89" s="109" t="s">
        <v>535</v>
      </c>
      <c r="B89" s="110">
        <f>B87+B88</f>
        <v>-58178217.149999999</v>
      </c>
      <c r="C89" s="79"/>
      <c r="D89" s="110">
        <f>D87+D88</f>
        <v>-11545467</v>
      </c>
      <c r="E89" s="110">
        <f>E87+E88</f>
        <v>-3199802</v>
      </c>
      <c r="F89" s="110">
        <f>F87+F88</f>
        <v>-14745269</v>
      </c>
      <c r="G89" s="79"/>
      <c r="H89" s="110">
        <f>H87+H88</f>
        <v>-19751215</v>
      </c>
      <c r="I89" s="79"/>
      <c r="J89" s="110">
        <f>J87+J88</f>
        <v>-5005946</v>
      </c>
      <c r="K89" s="79"/>
      <c r="L89" s="110">
        <f>L87+L88</f>
        <v>-3919628</v>
      </c>
      <c r="M89" s="110">
        <f>M87+M88</f>
        <v>-1086317</v>
      </c>
      <c r="N89" s="110">
        <f>N87+N88</f>
        <v>-5005945</v>
      </c>
      <c r="P89" s="89"/>
      <c r="Q89" s="107"/>
      <c r="R89" s="106"/>
      <c r="S89" s="107"/>
      <c r="T89" s="106"/>
      <c r="U89" s="107"/>
      <c r="V89" s="106"/>
      <c r="W89" s="122"/>
      <c r="X89" s="107"/>
      <c r="Y89" s="106"/>
    </row>
    <row r="90" spans="1:31" ht="14.1" customHeight="1" thickTop="1" x14ac:dyDescent="0.2">
      <c r="P90" s="89"/>
      <c r="Q90" s="107"/>
      <c r="R90" s="106"/>
      <c r="S90" s="107"/>
      <c r="T90" s="106"/>
      <c r="U90" s="107"/>
      <c r="V90" s="106"/>
      <c r="W90" s="122"/>
      <c r="X90" s="107"/>
      <c r="Y90" s="106"/>
      <c r="AC90" s="76" t="s">
        <v>550</v>
      </c>
    </row>
    <row r="91" spans="1:31" ht="14.1" customHeight="1" x14ac:dyDescent="0.2">
      <c r="A91" s="93"/>
      <c r="B91" s="94"/>
      <c r="C91" s="94"/>
      <c r="D91" s="111"/>
      <c r="E91" s="111"/>
      <c r="F91" s="111"/>
      <c r="G91" s="94"/>
      <c r="H91" s="111"/>
      <c r="I91" s="94"/>
      <c r="J91" s="111"/>
      <c r="K91" s="111"/>
      <c r="L91" s="111"/>
      <c r="M91" s="111"/>
      <c r="N91" s="111"/>
      <c r="P91" s="89"/>
      <c r="Q91" s="107"/>
      <c r="R91" s="106"/>
      <c r="S91" s="107"/>
      <c r="T91" s="106"/>
      <c r="U91" s="107"/>
      <c r="V91" s="106"/>
      <c r="W91" s="122"/>
      <c r="X91" s="107"/>
      <c r="Y91" s="106"/>
    </row>
    <row r="92" spans="1:31" ht="14.1" customHeight="1" x14ac:dyDescent="0.2">
      <c r="P92" s="89"/>
      <c r="Q92" s="107"/>
      <c r="R92" s="106"/>
      <c r="S92" s="107"/>
      <c r="T92" s="106"/>
      <c r="U92" s="107"/>
      <c r="V92" s="106"/>
      <c r="W92" s="122"/>
      <c r="X92" s="107"/>
      <c r="Y92" s="106"/>
      <c r="AD92" s="79"/>
    </row>
    <row r="93" spans="1:31" ht="14.1" customHeight="1" x14ac:dyDescent="0.2">
      <c r="A93" s="76" t="s">
        <v>538</v>
      </c>
      <c r="B93" s="81">
        <v>-439706190.34000003</v>
      </c>
      <c r="C93" s="81"/>
      <c r="D93" s="81">
        <f>ROUND(B93*AD85,0)</f>
        <v>-87259693</v>
      </c>
      <c r="E93" s="81">
        <f>ROUND(B93*AD81,0)</f>
        <v>-24183840</v>
      </c>
      <c r="F93" s="81">
        <f>D93+E93</f>
        <v>-111443533</v>
      </c>
      <c r="G93" s="81"/>
      <c r="H93" s="81">
        <f>ROUND(F93/AD87,0)</f>
        <v>-149278056</v>
      </c>
      <c r="I93" s="81"/>
      <c r="J93" s="81">
        <f>H93-F93</f>
        <v>-37834523</v>
      </c>
      <c r="K93" s="81"/>
      <c r="L93" s="81">
        <f>ROUND(F93*(AD85/AD87),0)</f>
        <v>-29624230</v>
      </c>
      <c r="M93" s="81">
        <f>ROUND(F93*(AD81/AD87),0)</f>
        <v>-8210293</v>
      </c>
      <c r="N93" s="81">
        <f>L93+M93</f>
        <v>-37834523</v>
      </c>
      <c r="P93" s="123" t="s">
        <v>551</v>
      </c>
      <c r="Q93" s="124"/>
      <c r="R93" s="126"/>
      <c r="S93" s="124">
        <f>D95</f>
        <v>-106083409</v>
      </c>
      <c r="T93" s="125">
        <f>E95</f>
        <v>-29400793</v>
      </c>
      <c r="U93" s="124"/>
      <c r="V93" s="126"/>
      <c r="W93" s="127"/>
      <c r="X93" s="124">
        <f>IF(AA93&lt;0,-AA93,0)</f>
        <v>135484202</v>
      </c>
      <c r="Y93" s="125">
        <f>IF(AA93&gt;0,-AA93,0)</f>
        <v>0</v>
      </c>
      <c r="AA93" s="79">
        <f>SUM(Q93:V93)</f>
        <v>-135484202</v>
      </c>
      <c r="AD93" s="79"/>
    </row>
    <row r="94" spans="1:31" ht="14.1" customHeight="1" x14ac:dyDescent="0.2">
      <c r="A94" s="76" t="s">
        <v>540</v>
      </c>
      <c r="B94" s="81">
        <v>-94853697.370000005</v>
      </c>
      <c r="C94" s="81"/>
      <c r="D94" s="81">
        <f>ROUND(B94*AD85,0)</f>
        <v>-18823716</v>
      </c>
      <c r="E94" s="81">
        <f>ROUND(B94*AD81,0)</f>
        <v>-5216953</v>
      </c>
      <c r="F94" s="81">
        <f>D94+E94</f>
        <v>-24040669</v>
      </c>
      <c r="G94" s="81"/>
      <c r="H94" s="81">
        <f>ROUND(F94/AD87,0)</f>
        <v>-32202356</v>
      </c>
      <c r="I94" s="81"/>
      <c r="J94" s="81">
        <f>H94-F94</f>
        <v>-8161687</v>
      </c>
      <c r="K94" s="81"/>
      <c r="L94" s="81">
        <f>ROUND(F94*(AD85/AD87),0)</f>
        <v>-6390558</v>
      </c>
      <c r="M94" s="81">
        <f>ROUND(F94*(AD81/AD87),0)</f>
        <v>-1771130</v>
      </c>
      <c r="N94" s="81">
        <f>L94+M94</f>
        <v>-8161688</v>
      </c>
      <c r="P94" s="128" t="s">
        <v>552</v>
      </c>
      <c r="Q94" s="136"/>
      <c r="R94" s="126"/>
      <c r="S94" s="136"/>
      <c r="T94" s="126"/>
      <c r="U94" s="124">
        <f>L95</f>
        <v>-36014788</v>
      </c>
      <c r="V94" s="125">
        <f>M95</f>
        <v>-9981423</v>
      </c>
      <c r="W94" s="127"/>
      <c r="X94" s="124">
        <f>IF(AA94&lt;0,-AA94,0)</f>
        <v>45996211</v>
      </c>
      <c r="Y94" s="125">
        <f>IF(AA94&gt;0,-AA94,0)</f>
        <v>0</v>
      </c>
      <c r="AA94" s="79">
        <f>SUM(Q94:V94)</f>
        <v>-45996211</v>
      </c>
      <c r="AD94" s="79"/>
    </row>
    <row r="95" spans="1:31" ht="14.1" customHeight="1" thickBot="1" x14ac:dyDescent="0.25">
      <c r="A95" s="109" t="s">
        <v>541</v>
      </c>
      <c r="B95" s="110">
        <f>B93+B94</f>
        <v>-534559887.71000004</v>
      </c>
      <c r="C95" s="79"/>
      <c r="D95" s="110">
        <f>D93+D94</f>
        <v>-106083409</v>
      </c>
      <c r="E95" s="110">
        <f>E93+E94</f>
        <v>-29400793</v>
      </c>
      <c r="F95" s="110">
        <f>F93+F94</f>
        <v>-135484202</v>
      </c>
      <c r="G95" s="79"/>
      <c r="H95" s="110">
        <f>H93+H94</f>
        <v>-181480412</v>
      </c>
      <c r="I95" s="79"/>
      <c r="J95" s="110">
        <f>J93+J94</f>
        <v>-45996210</v>
      </c>
      <c r="K95" s="79"/>
      <c r="L95" s="110">
        <f>L93+L94</f>
        <v>-36014788</v>
      </c>
      <c r="M95" s="110">
        <f>M93+M94</f>
        <v>-9981423</v>
      </c>
      <c r="N95" s="110">
        <f>N93+N94</f>
        <v>-45996211</v>
      </c>
      <c r="P95" s="404"/>
      <c r="Q95" s="405"/>
      <c r="R95" s="406"/>
      <c r="S95" s="405"/>
      <c r="T95" s="406"/>
      <c r="U95" s="405"/>
      <c r="V95" s="406"/>
      <c r="W95" s="407"/>
      <c r="X95" s="405"/>
      <c r="Y95" s="406"/>
    </row>
    <row r="96" spans="1:31" ht="14.1" customHeight="1" thickTop="1" x14ac:dyDescent="0.2">
      <c r="P96" s="89"/>
      <c r="Q96" s="107"/>
      <c r="R96" s="106"/>
      <c r="S96" s="107"/>
      <c r="T96" s="106"/>
      <c r="U96" s="107"/>
      <c r="V96" s="106"/>
      <c r="W96" s="122"/>
      <c r="X96" s="107"/>
      <c r="Y96" s="106"/>
      <c r="AB96" s="79"/>
    </row>
    <row r="97" spans="1:28" ht="14.1" customHeight="1" x14ac:dyDescent="0.2">
      <c r="A97" s="93"/>
      <c r="B97" s="94"/>
      <c r="C97" s="94"/>
      <c r="D97" s="111"/>
      <c r="E97" s="111"/>
      <c r="F97" s="111"/>
      <c r="G97" s="94"/>
      <c r="H97" s="111"/>
      <c r="I97" s="94"/>
      <c r="J97" s="111"/>
      <c r="K97" s="111"/>
      <c r="L97" s="111"/>
      <c r="M97" s="111"/>
      <c r="N97" s="111"/>
      <c r="P97" s="89"/>
      <c r="Q97" s="107"/>
      <c r="R97" s="106"/>
      <c r="S97" s="107"/>
      <c r="T97" s="106"/>
      <c r="U97" s="107"/>
      <c r="V97" s="106"/>
      <c r="W97" s="122"/>
      <c r="X97" s="107"/>
      <c r="Y97" s="106"/>
    </row>
    <row r="98" spans="1:28" ht="14.1" customHeight="1" x14ac:dyDescent="0.2">
      <c r="P98" s="89"/>
      <c r="Q98" s="107"/>
      <c r="R98" s="106"/>
      <c r="S98" s="107"/>
      <c r="T98" s="106"/>
      <c r="U98" s="107"/>
      <c r="V98" s="106"/>
      <c r="W98" s="122"/>
      <c r="X98" s="107"/>
      <c r="Y98" s="106"/>
    </row>
    <row r="99" spans="1:28" ht="14.1" customHeight="1" x14ac:dyDescent="0.2">
      <c r="A99" s="76" t="s">
        <v>553</v>
      </c>
      <c r="P99" s="129" t="s">
        <v>554</v>
      </c>
      <c r="Q99" s="132">
        <f>D100</f>
        <v>-329422850</v>
      </c>
      <c r="R99" s="133">
        <f>E100</f>
        <v>0</v>
      </c>
      <c r="S99" s="130"/>
      <c r="T99" s="131"/>
      <c r="U99" s="130"/>
      <c r="V99" s="131"/>
      <c r="W99" s="134"/>
      <c r="X99" s="132">
        <f>IF(AA99&lt;0,-AA99,0)</f>
        <v>329422850</v>
      </c>
      <c r="Y99" s="133">
        <f>IF(AA99&gt;0,-AA99,0)</f>
        <v>0</v>
      </c>
      <c r="AA99" s="79">
        <f>SUM(Q99:V99)</f>
        <v>-329422850</v>
      </c>
    </row>
    <row r="100" spans="1:28" ht="14.1" customHeight="1" x14ac:dyDescent="0.2">
      <c r="A100" s="137" t="s">
        <v>494</v>
      </c>
      <c r="D100" s="317">
        <f>ROUND(-'FPL Excess ADIT'!I166,0)</f>
        <v>-329422850</v>
      </c>
      <c r="E100" s="79"/>
      <c r="F100" s="81">
        <f>D100+E100</f>
        <v>-329422850</v>
      </c>
      <c r="G100" s="79"/>
      <c r="H100" s="79">
        <f>ROUND(F100/AD87,0)</f>
        <v>-441260264</v>
      </c>
      <c r="I100" s="79"/>
      <c r="J100" s="79">
        <f>H100-F100</f>
        <v>-111837414</v>
      </c>
      <c r="K100" s="79"/>
      <c r="L100" s="79">
        <f>ROUND(F100*(AD85/AD87),0)</f>
        <v>-87568099</v>
      </c>
      <c r="M100" s="79">
        <f>ROUND(F100*(AD81/AD87),0)</f>
        <v>-24269315</v>
      </c>
      <c r="N100" s="79">
        <f>L100+M100</f>
        <v>-111837414</v>
      </c>
      <c r="P100" s="138" t="s">
        <v>543</v>
      </c>
      <c r="Q100" s="130"/>
      <c r="R100" s="131"/>
      <c r="S100" s="130"/>
      <c r="T100" s="131"/>
      <c r="U100" s="132">
        <f>L100</f>
        <v>-87568099</v>
      </c>
      <c r="V100" s="133">
        <f>M100</f>
        <v>-24269315</v>
      </c>
      <c r="W100" s="134"/>
      <c r="X100" s="132">
        <f>IF(AA100&lt;0,-AA100,0)</f>
        <v>111837414</v>
      </c>
      <c r="Y100" s="133">
        <f>IF(AA100&gt;0,-AA100,0)</f>
        <v>0</v>
      </c>
      <c r="AA100" s="79">
        <f>SUM(Q100:V100)</f>
        <v>-111837414</v>
      </c>
    </row>
    <row r="101" spans="1:28" ht="14.1" customHeight="1" x14ac:dyDescent="0.2">
      <c r="D101" s="317"/>
      <c r="P101" s="139"/>
      <c r="Q101" s="107"/>
      <c r="R101" s="106"/>
      <c r="S101" s="107"/>
      <c r="T101" s="106"/>
      <c r="U101" s="107"/>
      <c r="V101" s="106"/>
      <c r="W101" s="122"/>
      <c r="X101" s="104"/>
      <c r="Y101" s="105"/>
      <c r="AA101" s="79"/>
    </row>
    <row r="102" spans="1:28" ht="14.1" customHeight="1" x14ac:dyDescent="0.2">
      <c r="A102" s="137" t="s">
        <v>555</v>
      </c>
      <c r="B102" s="79"/>
      <c r="C102" s="79"/>
      <c r="D102" s="316">
        <v>7164860</v>
      </c>
      <c r="E102" s="81">
        <v>2242854</v>
      </c>
      <c r="F102" s="81">
        <f>D102+E102</f>
        <v>9407714</v>
      </c>
      <c r="G102" s="79"/>
      <c r="H102" s="79">
        <f>ROUND(F102/AD87,0)</f>
        <v>12601586</v>
      </c>
      <c r="I102" s="79"/>
      <c r="J102" s="79">
        <f>H102-F102</f>
        <v>3193872</v>
      </c>
      <c r="K102" s="79"/>
      <c r="L102" s="79">
        <f>ROUND(F102*(AD85/AD87),0)</f>
        <v>2500785</v>
      </c>
      <c r="M102" s="79">
        <f>ROUND(F102*(AD81/AD87),0)</f>
        <v>693087</v>
      </c>
      <c r="N102" s="79">
        <f>L102+M102</f>
        <v>3193872</v>
      </c>
      <c r="P102" s="123" t="s">
        <v>556</v>
      </c>
      <c r="Q102" s="136"/>
      <c r="R102" s="126"/>
      <c r="S102" s="124">
        <f>D104</f>
        <v>2907951561</v>
      </c>
      <c r="T102" s="125">
        <f>E104</f>
        <v>2242854</v>
      </c>
      <c r="U102" s="136"/>
      <c r="V102" s="126"/>
      <c r="W102" s="127"/>
      <c r="X102" s="124">
        <f>IF(AA102&lt;0,-AA102,0)</f>
        <v>0</v>
      </c>
      <c r="Y102" s="125">
        <f>IF(AA102&gt;0,-AA102,0)</f>
        <v>-2910194415</v>
      </c>
      <c r="AA102" s="79">
        <f>SUM(Q102:V102)</f>
        <v>2910194415</v>
      </c>
    </row>
    <row r="103" spans="1:28" ht="14.1" customHeight="1" x14ac:dyDescent="0.2">
      <c r="A103" s="137" t="s">
        <v>557</v>
      </c>
      <c r="B103" s="79"/>
      <c r="C103" s="79"/>
      <c r="D103" s="317">
        <f>ROUND(-'FPL Excess ADIT'!I167,0)</f>
        <v>2900786701</v>
      </c>
      <c r="E103" s="79"/>
      <c r="F103" s="81">
        <f>D103+E103</f>
        <v>2900786701</v>
      </c>
      <c r="G103" s="79"/>
      <c r="H103" s="79">
        <f>ROUND(F103/AD87,0)</f>
        <v>3885589312</v>
      </c>
      <c r="I103" s="79"/>
      <c r="J103" s="79">
        <f>H103-F103</f>
        <v>984802611</v>
      </c>
      <c r="K103" s="79"/>
      <c r="L103" s="79">
        <f>ROUND(F103*(AD85/AD87),0)</f>
        <v>771095199</v>
      </c>
      <c r="M103" s="79">
        <f>ROUND(F103*(AD81/AD87),0)</f>
        <v>213707412</v>
      </c>
      <c r="N103" s="79">
        <f>L103+M103</f>
        <v>984802611</v>
      </c>
      <c r="P103" s="140" t="s">
        <v>543</v>
      </c>
      <c r="Q103" s="124">
        <f>L104</f>
        <v>773595984</v>
      </c>
      <c r="R103" s="125">
        <f>M104</f>
        <v>214400499</v>
      </c>
      <c r="S103" s="136"/>
      <c r="T103" s="126"/>
      <c r="U103" s="136"/>
      <c r="V103" s="126"/>
      <c r="W103" s="127"/>
      <c r="X103" s="124">
        <f>IF(AA103&lt;0,-AA103,0)</f>
        <v>0</v>
      </c>
      <c r="Y103" s="125">
        <f>IF(AA103&gt;0,-AA103,0)</f>
        <v>-987996483</v>
      </c>
      <c r="AA103" s="79">
        <f>SUM(Q103:V103)</f>
        <v>987996483</v>
      </c>
      <c r="AB103" s="79"/>
    </row>
    <row r="104" spans="1:28" ht="14.1" customHeight="1" x14ac:dyDescent="0.2">
      <c r="A104" s="141" t="s">
        <v>558</v>
      </c>
      <c r="B104" s="79"/>
      <c r="C104" s="79"/>
      <c r="D104" s="142">
        <f>SUM(D102:D103)</f>
        <v>2907951561</v>
      </c>
      <c r="E104" s="142">
        <f>SUM(E102:E103)</f>
        <v>2242854</v>
      </c>
      <c r="F104" s="142">
        <f>SUM(F102:F103)</f>
        <v>2910194415</v>
      </c>
      <c r="G104" s="79"/>
      <c r="H104" s="142">
        <f>SUM(H102:H103)</f>
        <v>3898190898</v>
      </c>
      <c r="I104" s="79"/>
      <c r="J104" s="142">
        <f>SUM(J102:J103)</f>
        <v>987996483</v>
      </c>
      <c r="K104" s="79"/>
      <c r="L104" s="142">
        <f>SUM(L102:L103)</f>
        <v>773595984</v>
      </c>
      <c r="M104" s="142">
        <f>SUM(M102:M103)</f>
        <v>214400499</v>
      </c>
      <c r="N104" s="142">
        <f>SUM(N102:N103)</f>
        <v>987996483</v>
      </c>
      <c r="P104" s="139"/>
      <c r="Q104" s="104"/>
      <c r="R104" s="105"/>
      <c r="S104" s="104"/>
      <c r="T104" s="105"/>
      <c r="U104" s="104"/>
      <c r="V104" s="105"/>
      <c r="W104" s="81"/>
      <c r="X104" s="104"/>
      <c r="Y104" s="105"/>
      <c r="AB104" s="79"/>
    </row>
    <row r="105" spans="1:28" ht="14.1" customHeight="1" x14ac:dyDescent="0.2">
      <c r="D105" s="317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P105" s="129" t="s">
        <v>559</v>
      </c>
      <c r="Q105" s="132"/>
      <c r="R105" s="133"/>
      <c r="S105" s="132"/>
      <c r="T105" s="133"/>
      <c r="U105" s="319">
        <f>D106</f>
        <v>717713931</v>
      </c>
      <c r="V105" s="133">
        <f>E106</f>
        <v>0</v>
      </c>
      <c r="W105" s="143"/>
      <c r="X105" s="132">
        <f>IF(AA105&lt;0,-AA105,0)</f>
        <v>0</v>
      </c>
      <c r="Y105" s="133">
        <f>IF(AA105&gt;0,-AA105,0)</f>
        <v>-717713931</v>
      </c>
      <c r="AA105" s="79">
        <f>SUM(Q105:V105)</f>
        <v>717713931</v>
      </c>
    </row>
    <row r="106" spans="1:28" ht="14.1" customHeight="1" x14ac:dyDescent="0.2">
      <c r="A106" s="137" t="s">
        <v>496</v>
      </c>
      <c r="B106" s="79"/>
      <c r="C106" s="79"/>
      <c r="D106" s="317">
        <f>ROUND(-'FPL Excess ADIT'!I168,0)</f>
        <v>717713931</v>
      </c>
      <c r="E106" s="79"/>
      <c r="F106" s="81">
        <f>D106+E106</f>
        <v>717713931</v>
      </c>
      <c r="G106" s="79"/>
      <c r="H106" s="79">
        <f>ROUND(F106/AD87,0)</f>
        <v>961374229</v>
      </c>
      <c r="I106" s="79"/>
      <c r="J106" s="79">
        <f>H106-F106</f>
        <v>243660298</v>
      </c>
      <c r="K106" s="79"/>
      <c r="L106" s="79">
        <f>ROUND(F106*(AD85/AD87),0)</f>
        <v>190784716</v>
      </c>
      <c r="M106" s="79">
        <f>ROUND(F106*(AD81/AD87),0)</f>
        <v>52875583</v>
      </c>
      <c r="N106" s="79">
        <f>L106+M106</f>
        <v>243660299</v>
      </c>
      <c r="P106" s="138" t="s">
        <v>543</v>
      </c>
      <c r="Q106" s="132">
        <f>L106</f>
        <v>190784716</v>
      </c>
      <c r="R106" s="133">
        <f>M106</f>
        <v>52875583</v>
      </c>
      <c r="S106" s="132"/>
      <c r="T106" s="133"/>
      <c r="U106" s="132"/>
      <c r="V106" s="133"/>
      <c r="W106" s="143"/>
      <c r="X106" s="132">
        <f>IF(AA106&lt;0,-AA106,0)</f>
        <v>0</v>
      </c>
      <c r="Y106" s="133">
        <f>IF(AA106&gt;0,-AA106,0)</f>
        <v>-243660299</v>
      </c>
      <c r="AA106" s="79">
        <f>SUM(Q106:V106)</f>
        <v>243660299</v>
      </c>
    </row>
    <row r="107" spans="1:28" ht="14.1" customHeight="1" x14ac:dyDescent="0.2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P107" s="89"/>
      <c r="Q107" s="104"/>
      <c r="R107" s="105"/>
      <c r="S107" s="104"/>
      <c r="T107" s="105"/>
      <c r="U107" s="104"/>
      <c r="V107" s="105"/>
      <c r="W107" s="81"/>
      <c r="X107" s="104"/>
      <c r="Y107" s="105"/>
    </row>
    <row r="108" spans="1:28" ht="14.1" customHeight="1" thickBot="1" x14ac:dyDescent="0.25">
      <c r="A108" s="76" t="s">
        <v>560</v>
      </c>
      <c r="D108" s="110">
        <f>D100+D104+D106</f>
        <v>3296242642</v>
      </c>
      <c r="E108" s="110">
        <f>E100+E104+E106</f>
        <v>2242854</v>
      </c>
      <c r="F108" s="110">
        <f>F100+F104+F106</f>
        <v>3298485496</v>
      </c>
      <c r="G108" s="79"/>
      <c r="H108" s="110">
        <f>H100+H104+H106</f>
        <v>4418304863</v>
      </c>
      <c r="I108" s="79"/>
      <c r="J108" s="110">
        <f>J100+J104+J106</f>
        <v>1119819367</v>
      </c>
      <c r="K108" s="79"/>
      <c r="L108" s="110">
        <f>L100+L104+L106</f>
        <v>876812601</v>
      </c>
      <c r="M108" s="110">
        <f>M100+M104+M106</f>
        <v>243006767</v>
      </c>
      <c r="N108" s="110">
        <f>N100+N104+N106</f>
        <v>1119819368</v>
      </c>
      <c r="P108" s="89"/>
      <c r="Q108" s="107"/>
      <c r="R108" s="106"/>
      <c r="S108" s="107"/>
      <c r="T108" s="106"/>
      <c r="U108" s="107"/>
      <c r="V108" s="106"/>
      <c r="W108" s="122"/>
      <c r="X108" s="107"/>
      <c r="Y108" s="106"/>
    </row>
    <row r="109" spans="1:28" ht="14.1" customHeight="1" thickTop="1" x14ac:dyDescent="0.2">
      <c r="A109" s="79"/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112"/>
      <c r="P109" s="89"/>
      <c r="Q109" s="107"/>
      <c r="R109" s="106"/>
      <c r="S109" s="107"/>
      <c r="T109" s="106"/>
      <c r="U109" s="107"/>
      <c r="V109" s="106"/>
      <c r="W109" s="122"/>
      <c r="X109" s="107"/>
      <c r="Y109" s="106"/>
    </row>
    <row r="110" spans="1:28" ht="14.1" customHeight="1" x14ac:dyDescent="0.2">
      <c r="A110" s="93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P110" s="89"/>
      <c r="Q110" s="107"/>
      <c r="R110" s="106"/>
      <c r="S110" s="107"/>
      <c r="T110" s="106"/>
      <c r="U110" s="107"/>
      <c r="V110" s="106"/>
      <c r="W110" s="122"/>
      <c r="X110" s="107"/>
      <c r="Y110" s="106"/>
    </row>
    <row r="111" spans="1:28" ht="14.1" customHeight="1" thickBot="1" x14ac:dyDescent="0.25">
      <c r="A111" s="92" t="s">
        <v>372</v>
      </c>
      <c r="B111" s="116"/>
      <c r="C111" s="116"/>
      <c r="D111" s="117">
        <f>D83+D95+D108+D89</f>
        <v>3202229395</v>
      </c>
      <c r="E111" s="117">
        <f>E83+E95+E108+E89</f>
        <v>-23812719</v>
      </c>
      <c r="F111" s="117">
        <f>F83+F95+F108+F89</f>
        <v>3178416676</v>
      </c>
      <c r="G111" s="116"/>
      <c r="H111" s="117">
        <f>H83+H95+H108+H89</f>
        <v>4257473278</v>
      </c>
      <c r="I111" s="116"/>
      <c r="J111" s="117">
        <f>J83+J95+J108+J89</f>
        <v>1079056602</v>
      </c>
      <c r="K111" s="79"/>
      <c r="L111" s="117">
        <f>L83+L95+L108+L89</f>
        <v>844895573</v>
      </c>
      <c r="M111" s="117">
        <f>M83+M95+M108+M89</f>
        <v>234161029</v>
      </c>
      <c r="N111" s="117">
        <f>N83+N95+N108+N89</f>
        <v>1079056602</v>
      </c>
      <c r="O111" s="112"/>
      <c r="P111" s="89"/>
      <c r="Q111" s="113">
        <f t="shared" ref="Q111:V111" si="7">SUM(Q83:Q108)</f>
        <v>666590867</v>
      </c>
      <c r="R111" s="114">
        <f t="shared" si="7"/>
        <v>276043106</v>
      </c>
      <c r="S111" s="113">
        <f t="shared" si="7"/>
        <v>2790322685</v>
      </c>
      <c r="T111" s="114">
        <f t="shared" si="7"/>
        <v>-30357741</v>
      </c>
      <c r="U111" s="113">
        <f t="shared" si="7"/>
        <v>590211416</v>
      </c>
      <c r="V111" s="114">
        <f t="shared" si="7"/>
        <v>-35337055</v>
      </c>
      <c r="W111" s="122"/>
      <c r="X111" s="113">
        <f>SUM(X83:X108)</f>
        <v>642491891</v>
      </c>
      <c r="Y111" s="114">
        <f>SUM(Y83:Y108)</f>
        <v>-4899965169</v>
      </c>
    </row>
    <row r="112" spans="1:28" ht="14.1" customHeight="1" thickTop="1" x14ac:dyDescent="0.2">
      <c r="P112" s="89"/>
      <c r="Q112" s="107"/>
      <c r="R112" s="106"/>
      <c r="S112" s="107"/>
      <c r="T112" s="106"/>
      <c r="U112" s="107"/>
      <c r="V112" s="106"/>
      <c r="W112" s="122"/>
      <c r="X112" s="107"/>
      <c r="Y112" s="106"/>
    </row>
    <row r="113" spans="2:25" ht="14.1" customHeight="1" thickBot="1" x14ac:dyDescent="0.25">
      <c r="P113" s="89"/>
      <c r="Q113" s="104"/>
      <c r="R113" s="105"/>
      <c r="S113" s="104"/>
      <c r="T113" s="105"/>
      <c r="U113" s="104"/>
      <c r="V113" s="105"/>
      <c r="W113" s="81"/>
      <c r="X113" s="104"/>
      <c r="Y113" s="115">
        <f>X111+Y111</f>
        <v>-4257473278</v>
      </c>
    </row>
    <row r="114" spans="2:25" ht="14.1" customHeight="1" thickTop="1" x14ac:dyDescent="0.2">
      <c r="P114" s="118"/>
      <c r="Q114" s="144"/>
      <c r="R114" s="145"/>
      <c r="S114" s="144"/>
      <c r="T114" s="145"/>
      <c r="U114" s="144"/>
      <c r="V114" s="145"/>
      <c r="W114" s="146"/>
      <c r="X114" s="144"/>
      <c r="Y114" s="120"/>
    </row>
    <row r="115" spans="2:25" ht="14.1" customHeight="1" x14ac:dyDescent="0.2">
      <c r="Y115" s="79"/>
    </row>
    <row r="116" spans="2:25" ht="14.1" customHeight="1" x14ac:dyDescent="0.2">
      <c r="Y116" s="79"/>
    </row>
    <row r="117" spans="2:25" ht="14.1" customHeight="1" x14ac:dyDescent="0.2">
      <c r="B117" s="76" t="s">
        <v>534</v>
      </c>
      <c r="D117" s="79">
        <f>D102-E117</f>
        <v>7635859.3399999999</v>
      </c>
      <c r="E117" s="79">
        <f>E102*-0.21</f>
        <v>-470999.33999999997</v>
      </c>
      <c r="P117" s="76" t="s">
        <v>534</v>
      </c>
      <c r="Q117" s="79">
        <f>Q111-R117</f>
        <v>724559919.25999999</v>
      </c>
      <c r="R117" s="79">
        <f>R111*-0.21</f>
        <v>-57969052.259999998</v>
      </c>
      <c r="S117" s="79">
        <f>S111-T117</f>
        <v>2783947559.3899999</v>
      </c>
      <c r="T117" s="79">
        <f>T111*-0.21</f>
        <v>6375125.6099999994</v>
      </c>
      <c r="U117" s="79">
        <f>U111-V117</f>
        <v>582790634.45000005</v>
      </c>
      <c r="V117" s="79">
        <f>V111*-0.21</f>
        <v>7420781.5499999998</v>
      </c>
      <c r="Y117" s="79"/>
    </row>
    <row r="118" spans="2:25" ht="14.1" customHeight="1" x14ac:dyDescent="0.2">
      <c r="Y118" s="79"/>
    </row>
    <row r="119" spans="2:25" ht="14.1" customHeight="1" x14ac:dyDescent="0.2">
      <c r="Y119" s="79"/>
    </row>
    <row r="120" spans="2:25" ht="14.1" customHeight="1" x14ac:dyDescent="0.2">
      <c r="Y120" s="79"/>
    </row>
    <row r="121" spans="2:25" ht="14.1" customHeight="1" x14ac:dyDescent="0.2">
      <c r="Y121" s="79"/>
    </row>
  </sheetData>
  <mergeCells count="3">
    <mergeCell ref="A5:N5"/>
    <mergeCell ref="A36:N36"/>
    <mergeCell ref="A79:N79"/>
  </mergeCells>
  <pageMargins left="0.25" right="0" top="0.25" bottom="0.25" header="0.3" footer="0"/>
  <pageSetup paperSize="5" scale="65" orientation="landscape" r:id="rId1"/>
  <headerFooter>
    <oddFooter>&amp;L&amp;Z&amp;F&amp;R&amp;A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Normal="100" workbookViewId="0">
      <selection activeCell="D1" sqref="D1:E2"/>
    </sheetView>
  </sheetViews>
  <sheetFormatPr defaultColWidth="8" defaultRowHeight="14.1" customHeight="1" x14ac:dyDescent="0.2"/>
  <cols>
    <col min="1" max="1" width="20.7109375" style="150" customWidth="1"/>
    <col min="2" max="4" width="10.7109375" style="150" customWidth="1"/>
    <col min="5" max="5" width="2.28515625" style="150" customWidth="1"/>
    <col min="6" max="6" width="10.7109375" style="150" customWidth="1"/>
    <col min="7" max="7" width="1.5703125" style="150" customWidth="1"/>
    <col min="8" max="8" width="10.7109375" style="150" customWidth="1"/>
    <col min="9" max="9" width="1.5703125" style="150" customWidth="1"/>
    <col min="10" max="12" width="10.7109375" style="150" customWidth="1"/>
    <col min="13" max="13" width="7.42578125" style="150" customWidth="1"/>
    <col min="14" max="14" width="7.140625" style="150" customWidth="1"/>
    <col min="15" max="15" width="19.5703125" style="150" customWidth="1"/>
    <col min="16" max="16" width="10.7109375" style="150" customWidth="1"/>
    <col min="17" max="17" width="10.140625" style="150" customWidth="1"/>
    <col min="18" max="18" width="11.5703125" style="150" customWidth="1"/>
    <col min="19" max="19" width="10.5703125" style="150" customWidth="1"/>
    <col min="20" max="20" width="11.7109375" style="150" customWidth="1"/>
    <col min="21" max="21" width="10.7109375" style="150" customWidth="1"/>
    <col min="22" max="22" width="2.42578125" style="150" customWidth="1"/>
    <col min="23" max="23" width="11.28515625" style="150" customWidth="1"/>
    <col min="24" max="24" width="12.140625" style="150" customWidth="1"/>
    <col min="25" max="25" width="8" style="150"/>
    <col min="26" max="26" width="12.42578125" style="150" customWidth="1"/>
    <col min="27" max="27" width="9.85546875" style="150" bestFit="1" customWidth="1"/>
    <col min="28" max="28" width="9.42578125" style="150" bestFit="1" customWidth="1"/>
    <col min="29" max="16384" width="8" style="150"/>
  </cols>
  <sheetData>
    <row r="1" spans="1:26" ht="14.1" customHeight="1" x14ac:dyDescent="0.2">
      <c r="A1" s="149" t="s">
        <v>567</v>
      </c>
      <c r="D1" s="455" t="s">
        <v>720</v>
      </c>
      <c r="E1" s="455"/>
    </row>
    <row r="2" spans="1:26" ht="14.1" customHeight="1" x14ac:dyDescent="0.2">
      <c r="A2" s="149" t="s">
        <v>502</v>
      </c>
      <c r="D2" s="455" t="s">
        <v>710</v>
      </c>
      <c r="E2" s="455"/>
    </row>
    <row r="3" spans="1:26" ht="14.1" customHeight="1" x14ac:dyDescent="0.2">
      <c r="A3" s="151"/>
      <c r="O3" s="149" t="s">
        <v>568</v>
      </c>
    </row>
    <row r="5" spans="1:26" ht="14.1" customHeight="1" x14ac:dyDescent="0.2">
      <c r="A5" s="453" t="s">
        <v>569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O5" s="152"/>
      <c r="P5" s="153" t="s">
        <v>467</v>
      </c>
      <c r="Q5" s="154" t="s">
        <v>465</v>
      </c>
      <c r="R5" s="153" t="s">
        <v>467</v>
      </c>
      <c r="S5" s="154" t="s">
        <v>465</v>
      </c>
      <c r="T5" s="153" t="s">
        <v>467</v>
      </c>
      <c r="U5" s="154" t="s">
        <v>465</v>
      </c>
      <c r="V5" s="155"/>
      <c r="W5" s="156" t="s">
        <v>570</v>
      </c>
      <c r="X5" s="157" t="s">
        <v>571</v>
      </c>
    </row>
    <row r="6" spans="1:26" ht="14.1" customHeight="1" x14ac:dyDescent="0.2">
      <c r="O6" s="158"/>
      <c r="P6" s="159" t="s">
        <v>516</v>
      </c>
      <c r="Q6" s="160" t="s">
        <v>517</v>
      </c>
      <c r="R6" s="159" t="s">
        <v>518</v>
      </c>
      <c r="S6" s="160" t="s">
        <v>519</v>
      </c>
      <c r="T6" s="159" t="s">
        <v>520</v>
      </c>
      <c r="U6" s="160" t="s">
        <v>521</v>
      </c>
      <c r="V6" s="161"/>
      <c r="W6" s="159" t="s">
        <v>522</v>
      </c>
      <c r="X6" s="160" t="s">
        <v>523</v>
      </c>
    </row>
    <row r="7" spans="1:26" ht="14.1" customHeight="1" x14ac:dyDescent="0.2">
      <c r="A7" s="162" t="s">
        <v>505</v>
      </c>
      <c r="B7" s="162" t="s">
        <v>467</v>
      </c>
      <c r="C7" s="162" t="s">
        <v>465</v>
      </c>
      <c r="D7" s="162" t="s">
        <v>507</v>
      </c>
      <c r="E7" s="162"/>
      <c r="F7" s="162" t="s">
        <v>572</v>
      </c>
      <c r="G7" s="162"/>
      <c r="H7" s="162" t="s">
        <v>573</v>
      </c>
      <c r="J7" s="162" t="s">
        <v>467</v>
      </c>
      <c r="K7" s="162" t="s">
        <v>465</v>
      </c>
      <c r="L7" s="162" t="s">
        <v>507</v>
      </c>
      <c r="O7" s="163"/>
      <c r="P7" s="164" t="s">
        <v>525</v>
      </c>
      <c r="Q7" s="165" t="s">
        <v>525</v>
      </c>
      <c r="R7" s="164" t="s">
        <v>526</v>
      </c>
      <c r="S7" s="165" t="s">
        <v>526</v>
      </c>
      <c r="T7" s="164" t="s">
        <v>527</v>
      </c>
      <c r="U7" s="165" t="s">
        <v>527</v>
      </c>
      <c r="V7" s="166"/>
      <c r="W7" s="164" t="s">
        <v>574</v>
      </c>
      <c r="X7" s="165" t="s">
        <v>575</v>
      </c>
    </row>
    <row r="8" spans="1:26" ht="14.1" customHeight="1" x14ac:dyDescent="0.2">
      <c r="O8" s="158"/>
      <c r="P8" s="167"/>
      <c r="Q8" s="168"/>
      <c r="R8" s="167"/>
      <c r="S8" s="168"/>
      <c r="T8" s="167"/>
      <c r="U8" s="168"/>
      <c r="W8" s="167"/>
      <c r="X8" s="168"/>
    </row>
    <row r="9" spans="1:26" ht="14.1" customHeight="1" x14ac:dyDescent="0.2">
      <c r="A9" s="150" t="s">
        <v>553</v>
      </c>
      <c r="B9" s="169"/>
      <c r="C9" s="169"/>
      <c r="D9" s="169"/>
      <c r="E9" s="170"/>
      <c r="F9" s="170"/>
      <c r="G9" s="170"/>
      <c r="H9" s="170"/>
      <c r="I9" s="170"/>
      <c r="J9" s="170"/>
      <c r="K9" s="170"/>
      <c r="L9" s="170"/>
      <c r="O9" s="171" t="s">
        <v>554</v>
      </c>
      <c r="P9" s="172">
        <f>B10</f>
        <v>-2112621.8336999998</v>
      </c>
      <c r="Q9" s="173">
        <f>C10</f>
        <v>0</v>
      </c>
      <c r="R9" s="172"/>
      <c r="S9" s="173"/>
      <c r="T9" s="172"/>
      <c r="U9" s="174"/>
      <c r="V9" s="175"/>
      <c r="W9" s="172">
        <f>IF(Z9&lt;0,-Z9,0)</f>
        <v>2112621.8336999998</v>
      </c>
      <c r="X9" s="173">
        <f>IF(Z9&gt;0,-Z9,0)</f>
        <v>0</v>
      </c>
      <c r="Z9" s="170">
        <f t="shared" ref="Z9:Z16" si="0">SUM(P9:U9)</f>
        <v>-2112621.8336999998</v>
      </c>
    </row>
    <row r="10" spans="1:26" ht="14.1" customHeight="1" x14ac:dyDescent="0.2">
      <c r="A10" s="176" t="s">
        <v>494</v>
      </c>
      <c r="B10" s="177">
        <f>'CBAS Excess ADIT'!V11</f>
        <v>-2112621.8336999998</v>
      </c>
      <c r="C10" s="169">
        <v>0</v>
      </c>
      <c r="D10" s="169">
        <f>B10+C10</f>
        <v>-2112621.8336999998</v>
      </c>
      <c r="E10" s="170"/>
      <c r="F10" s="170">
        <f>ROUND(D10/$B$27,0)</f>
        <v>-2829846</v>
      </c>
      <c r="G10" s="170"/>
      <c r="H10" s="170">
        <f t="shared" ref="H10:H12" si="1">F10-D10</f>
        <v>-717224.16630000016</v>
      </c>
      <c r="I10" s="170"/>
      <c r="J10" s="170">
        <f>ROUND(D10*($B$25/$B$27),0)</f>
        <v>-561583</v>
      </c>
      <c r="K10" s="170">
        <f>ROUND(D10*($B$21/$B$27),0)</f>
        <v>-155642</v>
      </c>
      <c r="L10" s="170">
        <f>J10+K10</f>
        <v>-717225</v>
      </c>
      <c r="O10" s="178" t="s">
        <v>543</v>
      </c>
      <c r="P10" s="172"/>
      <c r="Q10" s="173"/>
      <c r="R10" s="172"/>
      <c r="S10" s="173"/>
      <c r="T10" s="172">
        <f>J10</f>
        <v>-561583</v>
      </c>
      <c r="U10" s="173">
        <f>K10</f>
        <v>-155642</v>
      </c>
      <c r="V10" s="179"/>
      <c r="W10" s="172">
        <f t="shared" ref="W10:W16" si="2">IF(Z10&lt;0,-Z10,0)</f>
        <v>717225</v>
      </c>
      <c r="X10" s="173">
        <f t="shared" ref="X10:X16" si="3">IF(Z10&gt;0,-Z10,0)</f>
        <v>0</v>
      </c>
      <c r="Z10" s="170">
        <f t="shared" si="0"/>
        <v>-717225</v>
      </c>
    </row>
    <row r="11" spans="1:26" ht="14.1" customHeight="1" x14ac:dyDescent="0.2">
      <c r="A11" s="176" t="s">
        <v>495</v>
      </c>
      <c r="B11" s="177">
        <f>'CBAS Excess ADIT'!V15</f>
        <v>2169231.6806999999</v>
      </c>
      <c r="C11" s="169"/>
      <c r="D11" s="169">
        <f>B11+C11</f>
        <v>2169231.6806999999</v>
      </c>
      <c r="E11" s="170"/>
      <c r="F11" s="170">
        <f>ROUND(D11/$B$27,0)</f>
        <v>2905675</v>
      </c>
      <c r="G11" s="170"/>
      <c r="H11" s="170">
        <f t="shared" si="1"/>
        <v>736443.31930000009</v>
      </c>
      <c r="I11" s="170"/>
      <c r="J11" s="170">
        <f>ROUND(D11*($B$25/$B$27),0)</f>
        <v>576631</v>
      </c>
      <c r="K11" s="170">
        <f>ROUND(D11*($B$21/$B$27),0)</f>
        <v>159812</v>
      </c>
      <c r="L11" s="170">
        <f>J11+K11</f>
        <v>736443</v>
      </c>
      <c r="O11" s="180"/>
      <c r="P11" s="181"/>
      <c r="Q11" s="182"/>
      <c r="R11" s="181"/>
      <c r="S11" s="182"/>
      <c r="T11" s="181"/>
      <c r="U11" s="182"/>
      <c r="V11" s="170"/>
      <c r="W11" s="183"/>
      <c r="X11" s="184"/>
      <c r="Z11" s="170"/>
    </row>
    <row r="12" spans="1:26" ht="14.1" customHeight="1" x14ac:dyDescent="0.2">
      <c r="A12" s="176" t="s">
        <v>496</v>
      </c>
      <c r="B12" s="177">
        <v>0</v>
      </c>
      <c r="C12" s="169">
        <v>0</v>
      </c>
      <c r="D12" s="169">
        <f>B12+C12</f>
        <v>0</v>
      </c>
      <c r="E12" s="170"/>
      <c r="F12" s="170">
        <f>ROUND(D12/$B$27,0)</f>
        <v>0</v>
      </c>
      <c r="G12" s="170"/>
      <c r="H12" s="170">
        <f t="shared" si="1"/>
        <v>0</v>
      </c>
      <c r="I12" s="170"/>
      <c r="J12" s="170">
        <f>ROUND(D12*($B$25/$B$27),0)</f>
        <v>0</v>
      </c>
      <c r="K12" s="170">
        <f>ROUND(D12*($B$21/$B$27),0)</f>
        <v>0</v>
      </c>
      <c r="L12" s="170">
        <f>J12+K12</f>
        <v>0</v>
      </c>
      <c r="O12" s="185" t="s">
        <v>556</v>
      </c>
      <c r="P12" s="186"/>
      <c r="Q12" s="187"/>
      <c r="R12" s="186">
        <f>B11</f>
        <v>2169231.6806999999</v>
      </c>
      <c r="S12" s="188">
        <f>C11</f>
        <v>0</v>
      </c>
      <c r="T12" s="186"/>
      <c r="U12" s="187"/>
      <c r="V12" s="189"/>
      <c r="W12" s="186">
        <f t="shared" si="2"/>
        <v>0</v>
      </c>
      <c r="X12" s="188">
        <f t="shared" si="3"/>
        <v>-2169231.6806999999</v>
      </c>
      <c r="Z12" s="170">
        <f t="shared" si="0"/>
        <v>2169231.6806999999</v>
      </c>
    </row>
    <row r="13" spans="1:26" ht="14.1" customHeight="1" x14ac:dyDescent="0.2">
      <c r="B13" s="170"/>
      <c r="C13" s="170"/>
      <c r="D13" s="170"/>
      <c r="E13" s="170"/>
      <c r="F13" s="170"/>
      <c r="G13" s="170"/>
      <c r="H13" s="170"/>
      <c r="I13" s="170"/>
      <c r="O13" s="190" t="s">
        <v>543</v>
      </c>
      <c r="P13" s="186">
        <f>J11</f>
        <v>576631</v>
      </c>
      <c r="Q13" s="188">
        <f>K11</f>
        <v>159812</v>
      </c>
      <c r="R13" s="186"/>
      <c r="S13" s="188"/>
      <c r="T13" s="186">
        <f>J8</f>
        <v>0</v>
      </c>
      <c r="U13" s="188">
        <f>K8</f>
        <v>0</v>
      </c>
      <c r="V13" s="191"/>
      <c r="W13" s="186">
        <f t="shared" si="2"/>
        <v>0</v>
      </c>
      <c r="X13" s="188">
        <f t="shared" si="3"/>
        <v>-736443</v>
      </c>
      <c r="Z13" s="170">
        <f t="shared" si="0"/>
        <v>736443</v>
      </c>
    </row>
    <row r="14" spans="1:26" ht="14.1" customHeight="1" thickBot="1" x14ac:dyDescent="0.25">
      <c r="A14" s="150" t="s">
        <v>560</v>
      </c>
      <c r="B14" s="192">
        <f>SUM(B9:B13)</f>
        <v>56609.847000000067</v>
      </c>
      <c r="C14" s="192">
        <f>SUM(C9:C13)</f>
        <v>0</v>
      </c>
      <c r="D14" s="192">
        <f>SUM(D9:D13)</f>
        <v>56609.847000000067</v>
      </c>
      <c r="E14" s="170"/>
      <c r="F14" s="192">
        <f>SUM(F9:F13)</f>
        <v>75829</v>
      </c>
      <c r="G14" s="170"/>
      <c r="H14" s="192">
        <f>SUM(H9:H13)</f>
        <v>19219.152999999933</v>
      </c>
      <c r="I14" s="170"/>
      <c r="J14" s="192">
        <f>SUM(J9:J13)</f>
        <v>15048</v>
      </c>
      <c r="K14" s="192">
        <f>SUM(K9:K13)</f>
        <v>4170</v>
      </c>
      <c r="L14" s="192">
        <f>SUM(L9:L13)</f>
        <v>19218</v>
      </c>
      <c r="O14" s="180"/>
      <c r="P14" s="181"/>
      <c r="Q14" s="182"/>
      <c r="R14" s="181"/>
      <c r="S14" s="182"/>
      <c r="T14" s="181"/>
      <c r="U14" s="182"/>
      <c r="V14" s="170"/>
      <c r="W14" s="183"/>
      <c r="X14" s="184"/>
      <c r="Z14" s="170"/>
    </row>
    <row r="15" spans="1:26" ht="14.1" customHeight="1" thickTop="1" x14ac:dyDescent="0.2">
      <c r="B15" s="170"/>
      <c r="C15" s="170"/>
      <c r="O15" s="171" t="s">
        <v>559</v>
      </c>
      <c r="P15" s="172"/>
      <c r="Q15" s="174"/>
      <c r="R15" s="172"/>
      <c r="S15" s="173"/>
      <c r="T15" s="172">
        <f>B12</f>
        <v>0</v>
      </c>
      <c r="U15" s="173">
        <f>C12</f>
        <v>0</v>
      </c>
      <c r="V15" s="175"/>
      <c r="W15" s="172">
        <f t="shared" si="2"/>
        <v>0</v>
      </c>
      <c r="X15" s="173">
        <f t="shared" si="3"/>
        <v>0</v>
      </c>
      <c r="Z15" s="170">
        <f t="shared" si="0"/>
        <v>0</v>
      </c>
    </row>
    <row r="16" spans="1:26" ht="14.1" customHeight="1" x14ac:dyDescent="0.2">
      <c r="B16" s="170"/>
      <c r="C16" s="170"/>
      <c r="O16" s="178" t="s">
        <v>543</v>
      </c>
      <c r="P16" s="172">
        <f>J12</f>
        <v>0</v>
      </c>
      <c r="Q16" s="173">
        <f>K12</f>
        <v>0</v>
      </c>
      <c r="R16" s="172"/>
      <c r="S16" s="173"/>
      <c r="T16" s="172"/>
      <c r="U16" s="173"/>
      <c r="V16" s="179"/>
      <c r="W16" s="172">
        <f t="shared" si="2"/>
        <v>0</v>
      </c>
      <c r="X16" s="173">
        <f t="shared" si="3"/>
        <v>0</v>
      </c>
      <c r="Z16" s="170">
        <f t="shared" si="0"/>
        <v>0</v>
      </c>
    </row>
    <row r="17" spans="1:24" ht="14.1" customHeight="1" thickBot="1" x14ac:dyDescent="0.25">
      <c r="B17" s="170"/>
      <c r="C17" s="170"/>
      <c r="O17" s="193"/>
      <c r="P17" s="194">
        <f t="shared" ref="P17:U17" si="4">SUM(P8:P16)</f>
        <v>-1535990.8336999998</v>
      </c>
      <c r="Q17" s="195">
        <f t="shared" si="4"/>
        <v>159812</v>
      </c>
      <c r="R17" s="194">
        <f t="shared" si="4"/>
        <v>2169231.6806999999</v>
      </c>
      <c r="S17" s="195">
        <f t="shared" si="4"/>
        <v>0</v>
      </c>
      <c r="T17" s="194">
        <f t="shared" si="4"/>
        <v>-561583</v>
      </c>
      <c r="U17" s="195">
        <f t="shared" si="4"/>
        <v>-155642</v>
      </c>
      <c r="V17" s="170"/>
      <c r="W17" s="194">
        <f>SUM(W8:W16)</f>
        <v>2829846.8336999998</v>
      </c>
      <c r="X17" s="195">
        <f>SUM(X8:X16)</f>
        <v>-2905674.6806999999</v>
      </c>
    </row>
    <row r="18" spans="1:24" ht="14.1" customHeight="1" thickTop="1" x14ac:dyDescent="0.2">
      <c r="B18" s="170"/>
      <c r="C18" s="170"/>
      <c r="O18" s="193"/>
      <c r="P18" s="183"/>
      <c r="Q18" s="184"/>
      <c r="R18" s="183"/>
      <c r="S18" s="184"/>
      <c r="T18" s="183"/>
      <c r="U18" s="184"/>
      <c r="V18" s="170"/>
      <c r="W18" s="183"/>
      <c r="X18" s="184"/>
    </row>
    <row r="19" spans="1:24" ht="14.1" customHeight="1" thickBot="1" x14ac:dyDescent="0.25">
      <c r="A19" s="196" t="s">
        <v>512</v>
      </c>
      <c r="O19" s="193"/>
      <c r="P19" s="183"/>
      <c r="Q19" s="184"/>
      <c r="R19" s="183"/>
      <c r="S19" s="184"/>
      <c r="T19" s="183"/>
      <c r="U19" s="184"/>
      <c r="V19" s="170"/>
      <c r="W19" s="183"/>
      <c r="X19" s="197">
        <f>W17+X17</f>
        <v>-75827.847000000067</v>
      </c>
    </row>
    <row r="20" spans="1:24" ht="14.1" customHeight="1" thickTop="1" x14ac:dyDescent="0.2">
      <c r="A20" s="150" t="s">
        <v>515</v>
      </c>
      <c r="B20" s="198">
        <v>0.21</v>
      </c>
      <c r="O20" s="199"/>
      <c r="P20" s="200"/>
      <c r="Q20" s="201"/>
      <c r="R20" s="200"/>
      <c r="S20" s="201"/>
      <c r="T20" s="200"/>
      <c r="U20" s="201"/>
      <c r="V20" s="170"/>
      <c r="W20" s="200"/>
      <c r="X20" s="201"/>
    </row>
    <row r="21" spans="1:24" ht="14.1" customHeight="1" x14ac:dyDescent="0.2">
      <c r="A21" s="150" t="s">
        <v>524</v>
      </c>
      <c r="B21" s="150">
        <v>5.5E-2</v>
      </c>
    </row>
    <row r="22" spans="1:24" ht="14.1" customHeight="1" x14ac:dyDescent="0.2">
      <c r="A22" s="150" t="s">
        <v>466</v>
      </c>
      <c r="B22" s="202">
        <f>B21*-B20</f>
        <v>-1.155E-2</v>
      </c>
    </row>
    <row r="23" spans="1:24" ht="14.1" customHeight="1" thickBot="1" x14ac:dyDescent="0.25">
      <c r="A23" s="150" t="s">
        <v>530</v>
      </c>
      <c r="B23" s="203">
        <f>SUM(B20:B22)</f>
        <v>0.25345000000000001</v>
      </c>
    </row>
    <row r="24" spans="1:24" ht="14.1" customHeight="1" thickTop="1" x14ac:dyDescent="0.2">
      <c r="O24" s="204" t="s">
        <v>440</v>
      </c>
      <c r="P24" s="205"/>
      <c r="Q24" s="205"/>
      <c r="R24" s="206"/>
    </row>
    <row r="25" spans="1:24" ht="14.1" customHeight="1" x14ac:dyDescent="0.2">
      <c r="A25" s="150" t="s">
        <v>534</v>
      </c>
      <c r="B25" s="202">
        <f>B20+B22</f>
        <v>0.19844999999999999</v>
      </c>
      <c r="O25" s="207" t="s">
        <v>576</v>
      </c>
      <c r="P25" s="208" t="s">
        <v>467</v>
      </c>
      <c r="Q25" s="208" t="s">
        <v>466</v>
      </c>
      <c r="R25" s="209" t="s">
        <v>465</v>
      </c>
    </row>
    <row r="26" spans="1:24" ht="14.1" customHeight="1" x14ac:dyDescent="0.2">
      <c r="O26" s="210"/>
      <c r="P26" s="211"/>
      <c r="Q26" s="211"/>
      <c r="R26" s="212"/>
    </row>
    <row r="27" spans="1:24" ht="14.1" customHeight="1" x14ac:dyDescent="0.2">
      <c r="A27" s="150" t="s">
        <v>577</v>
      </c>
      <c r="B27" s="202">
        <f>1-B23</f>
        <v>0.74655000000000005</v>
      </c>
      <c r="O27" s="213" t="s">
        <v>578</v>
      </c>
      <c r="P27" s="214">
        <f>P17-Q37</f>
        <v>-1502430.3136999998</v>
      </c>
      <c r="Q27" s="214"/>
      <c r="R27" s="215"/>
    </row>
    <row r="28" spans="1:24" ht="14.1" customHeight="1" x14ac:dyDescent="0.2">
      <c r="O28" s="213" t="s">
        <v>579</v>
      </c>
      <c r="P28" s="214">
        <f>R17-Q38</f>
        <v>2169231.6806999999</v>
      </c>
      <c r="Q28" s="214"/>
      <c r="R28" s="215"/>
    </row>
    <row r="29" spans="1:24" ht="14.1" customHeight="1" x14ac:dyDescent="0.2">
      <c r="O29" s="213" t="s">
        <v>580</v>
      </c>
      <c r="P29" s="214">
        <f>T17-Q39</f>
        <v>-594267.81999999995</v>
      </c>
      <c r="Q29" s="214"/>
      <c r="R29" s="215"/>
    </row>
    <row r="30" spans="1:24" ht="14.1" customHeight="1" x14ac:dyDescent="0.2">
      <c r="A30" s="150" t="s">
        <v>550</v>
      </c>
      <c r="O30" s="216"/>
      <c r="P30" s="214"/>
      <c r="Q30" s="214"/>
      <c r="R30" s="215"/>
    </row>
    <row r="31" spans="1:24" ht="14.1" customHeight="1" x14ac:dyDescent="0.2">
      <c r="O31" s="213" t="s">
        <v>386</v>
      </c>
      <c r="P31" s="214"/>
      <c r="Q31" s="214"/>
      <c r="R31" s="215">
        <f>Q17</f>
        <v>159812</v>
      </c>
    </row>
    <row r="32" spans="1:24" ht="14.1" customHeight="1" x14ac:dyDescent="0.2">
      <c r="O32" s="213" t="s">
        <v>384</v>
      </c>
      <c r="P32" s="214"/>
      <c r="Q32" s="214"/>
      <c r="R32" s="215">
        <f>S17</f>
        <v>0</v>
      </c>
    </row>
    <row r="33" spans="15:18" ht="14.1" customHeight="1" x14ac:dyDescent="0.2">
      <c r="O33" s="213" t="s">
        <v>382</v>
      </c>
      <c r="P33" s="214"/>
      <c r="Q33" s="214"/>
      <c r="R33" s="215">
        <f>U17</f>
        <v>-155642</v>
      </c>
    </row>
    <row r="34" spans="15:18" ht="14.1" customHeight="1" thickBot="1" x14ac:dyDescent="0.25">
      <c r="O34" s="217"/>
      <c r="P34" s="218"/>
      <c r="Q34" s="218"/>
      <c r="R34" s="219"/>
    </row>
    <row r="35" spans="15:18" ht="14.1" customHeight="1" thickTop="1" x14ac:dyDescent="0.2">
      <c r="O35" s="220"/>
      <c r="P35" s="221"/>
      <c r="Q35" s="221"/>
      <c r="R35" s="221"/>
    </row>
    <row r="36" spans="15:18" ht="14.1" customHeight="1" x14ac:dyDescent="0.2">
      <c r="O36" s="222" t="s">
        <v>581</v>
      </c>
    </row>
    <row r="37" spans="15:18" ht="14.1" customHeight="1" x14ac:dyDescent="0.2">
      <c r="O37" s="220" t="s">
        <v>582</v>
      </c>
      <c r="P37" s="221"/>
      <c r="Q37" s="221">
        <f>-R31*$B$20</f>
        <v>-33560.519999999997</v>
      </c>
      <c r="R37" s="221"/>
    </row>
    <row r="38" spans="15:18" ht="14.1" customHeight="1" x14ac:dyDescent="0.2">
      <c r="O38" s="220" t="s">
        <v>583</v>
      </c>
      <c r="P38" s="221"/>
      <c r="Q38" s="221">
        <f>-R32*$B$20</f>
        <v>0</v>
      </c>
      <c r="R38" s="221"/>
    </row>
    <row r="39" spans="15:18" ht="14.1" customHeight="1" x14ac:dyDescent="0.2">
      <c r="O39" s="220" t="s">
        <v>584</v>
      </c>
      <c r="P39" s="221"/>
      <c r="Q39" s="221">
        <f>-R33*$B$20</f>
        <v>32684.82</v>
      </c>
      <c r="R39" s="221"/>
    </row>
  </sheetData>
  <mergeCells count="1">
    <mergeCell ref="A5:L5"/>
  </mergeCells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Normal="100" workbookViewId="0">
      <selection activeCell="D1" sqref="D1:E2"/>
    </sheetView>
  </sheetViews>
  <sheetFormatPr defaultColWidth="8" defaultRowHeight="14.1" customHeight="1" x14ac:dyDescent="0.2"/>
  <cols>
    <col min="1" max="1" width="20.7109375" style="224" customWidth="1"/>
    <col min="2" max="4" width="10.7109375" style="224" customWidth="1"/>
    <col min="5" max="5" width="2.28515625" style="224" customWidth="1"/>
    <col min="6" max="6" width="10.7109375" style="224" customWidth="1"/>
    <col min="7" max="7" width="1.5703125" style="224" customWidth="1"/>
    <col min="8" max="8" width="10.7109375" style="224" customWidth="1"/>
    <col min="9" max="9" width="1.5703125" style="224" customWidth="1"/>
    <col min="10" max="12" width="10.7109375" style="224" customWidth="1"/>
    <col min="13" max="13" width="7.42578125" style="224" customWidth="1"/>
    <col min="14" max="14" width="7.140625" style="224" customWidth="1"/>
    <col min="15" max="15" width="19.5703125" style="224" customWidth="1"/>
    <col min="16" max="16" width="10.7109375" style="224" customWidth="1"/>
    <col min="17" max="17" width="10.140625" style="224" customWidth="1"/>
    <col min="18" max="18" width="11.5703125" style="224" customWidth="1"/>
    <col min="19" max="19" width="10.5703125" style="224" customWidth="1"/>
    <col min="20" max="20" width="11.7109375" style="224" customWidth="1"/>
    <col min="21" max="21" width="10.7109375" style="224" customWidth="1"/>
    <col min="22" max="22" width="2.42578125" style="224" customWidth="1"/>
    <col min="23" max="23" width="11.28515625" style="224" customWidth="1"/>
    <col min="24" max="24" width="12.140625" style="224" customWidth="1"/>
    <col min="25" max="25" width="8" style="224"/>
    <col min="26" max="26" width="12.42578125" style="224" customWidth="1"/>
    <col min="27" max="27" width="9.85546875" style="224" bestFit="1" customWidth="1"/>
    <col min="28" max="28" width="9.42578125" style="224" bestFit="1" customWidth="1"/>
    <col min="29" max="16384" width="8" style="224"/>
  </cols>
  <sheetData>
    <row r="1" spans="1:26" ht="14.1" customHeight="1" x14ac:dyDescent="0.2">
      <c r="A1" s="223" t="s">
        <v>585</v>
      </c>
      <c r="D1" s="455" t="s">
        <v>721</v>
      </c>
      <c r="E1" s="455"/>
    </row>
    <row r="2" spans="1:26" ht="14.1" customHeight="1" x14ac:dyDescent="0.2">
      <c r="A2" s="223" t="s">
        <v>502</v>
      </c>
      <c r="D2" s="455" t="s">
        <v>710</v>
      </c>
      <c r="E2" s="455"/>
    </row>
    <row r="3" spans="1:26" ht="14.1" customHeight="1" x14ac:dyDescent="0.2">
      <c r="A3" s="225"/>
      <c r="O3" s="223" t="s">
        <v>568</v>
      </c>
    </row>
    <row r="5" spans="1:26" ht="14.1" customHeight="1" x14ac:dyDescent="0.2">
      <c r="A5" s="453" t="s">
        <v>569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O5" s="226"/>
      <c r="P5" s="227" t="s">
        <v>467</v>
      </c>
      <c r="Q5" s="228" t="s">
        <v>465</v>
      </c>
      <c r="R5" s="227" t="s">
        <v>467</v>
      </c>
      <c r="S5" s="228" t="s">
        <v>465</v>
      </c>
      <c r="T5" s="227" t="s">
        <v>467</v>
      </c>
      <c r="U5" s="228" t="s">
        <v>465</v>
      </c>
      <c r="V5" s="229"/>
      <c r="W5" s="230" t="s">
        <v>570</v>
      </c>
      <c r="X5" s="231" t="s">
        <v>571</v>
      </c>
    </row>
    <row r="6" spans="1:26" ht="14.1" customHeight="1" x14ac:dyDescent="0.2">
      <c r="O6" s="232"/>
      <c r="P6" s="233" t="s">
        <v>516</v>
      </c>
      <c r="Q6" s="234" t="s">
        <v>517</v>
      </c>
      <c r="R6" s="233" t="s">
        <v>518</v>
      </c>
      <c r="S6" s="234" t="s">
        <v>519</v>
      </c>
      <c r="T6" s="233" t="s">
        <v>520</v>
      </c>
      <c r="U6" s="234" t="s">
        <v>521</v>
      </c>
      <c r="V6" s="235"/>
      <c r="W6" s="233" t="s">
        <v>522</v>
      </c>
      <c r="X6" s="234" t="s">
        <v>523</v>
      </c>
    </row>
    <row r="7" spans="1:26" ht="14.1" customHeight="1" x14ac:dyDescent="0.2">
      <c r="A7" s="236" t="s">
        <v>505</v>
      </c>
      <c r="B7" s="236" t="s">
        <v>467</v>
      </c>
      <c r="C7" s="236" t="s">
        <v>465</v>
      </c>
      <c r="D7" s="236" t="s">
        <v>507</v>
      </c>
      <c r="E7" s="236"/>
      <c r="F7" s="236" t="s">
        <v>572</v>
      </c>
      <c r="G7" s="236"/>
      <c r="H7" s="236" t="s">
        <v>573</v>
      </c>
      <c r="J7" s="236" t="s">
        <v>467</v>
      </c>
      <c r="K7" s="236" t="s">
        <v>465</v>
      </c>
      <c r="L7" s="236" t="s">
        <v>507</v>
      </c>
      <c r="O7" s="237"/>
      <c r="P7" s="238" t="s">
        <v>525</v>
      </c>
      <c r="Q7" s="239" t="s">
        <v>525</v>
      </c>
      <c r="R7" s="238" t="s">
        <v>526</v>
      </c>
      <c r="S7" s="239" t="s">
        <v>526</v>
      </c>
      <c r="T7" s="238" t="s">
        <v>527</v>
      </c>
      <c r="U7" s="239" t="s">
        <v>527</v>
      </c>
      <c r="V7" s="240"/>
      <c r="W7" s="238" t="s">
        <v>574</v>
      </c>
      <c r="X7" s="239" t="s">
        <v>575</v>
      </c>
    </row>
    <row r="8" spans="1:26" ht="14.1" customHeight="1" x14ac:dyDescent="0.2">
      <c r="O8" s="232"/>
      <c r="P8" s="241"/>
      <c r="Q8" s="242"/>
      <c r="R8" s="241"/>
      <c r="S8" s="242"/>
      <c r="T8" s="241"/>
      <c r="U8" s="242"/>
      <c r="W8" s="241"/>
      <c r="X8" s="242"/>
    </row>
    <row r="9" spans="1:26" ht="14.1" customHeight="1" x14ac:dyDescent="0.2">
      <c r="A9" s="224" t="s">
        <v>553</v>
      </c>
      <c r="B9" s="243"/>
      <c r="C9" s="243"/>
      <c r="D9" s="243"/>
      <c r="E9" s="244"/>
      <c r="F9" s="244"/>
      <c r="G9" s="244"/>
      <c r="H9" s="244"/>
      <c r="I9" s="244"/>
      <c r="J9" s="244"/>
      <c r="K9" s="244"/>
      <c r="L9" s="244"/>
      <c r="O9" s="245" t="s">
        <v>554</v>
      </c>
      <c r="P9" s="246">
        <f>B10</f>
        <v>0</v>
      </c>
      <c r="Q9" s="247">
        <f>C10</f>
        <v>0</v>
      </c>
      <c r="R9" s="246"/>
      <c r="S9" s="247"/>
      <c r="T9" s="246"/>
      <c r="U9" s="248"/>
      <c r="V9" s="249"/>
      <c r="W9" s="246">
        <f>IF(Z9&lt;0,-Z9,0)</f>
        <v>0</v>
      </c>
      <c r="X9" s="247">
        <f>IF(Z9&gt;0,-Z9,0)</f>
        <v>0</v>
      </c>
      <c r="Z9" s="244">
        <f t="shared" ref="Z9:Z16" si="0">SUM(P9:U9)</f>
        <v>0</v>
      </c>
    </row>
    <row r="10" spans="1:26" ht="14.1" customHeight="1" x14ac:dyDescent="0.2">
      <c r="A10" s="250" t="s">
        <v>494</v>
      </c>
      <c r="B10" s="251"/>
      <c r="C10" s="243">
        <v>0</v>
      </c>
      <c r="D10" s="243">
        <f>B10+C10</f>
        <v>0</v>
      </c>
      <c r="E10" s="244"/>
      <c r="F10" s="244">
        <f>ROUND(D10/$B$27,0)</f>
        <v>0</v>
      </c>
      <c r="G10" s="244"/>
      <c r="H10" s="244">
        <f t="shared" ref="H10:H12" si="1">F10-D10</f>
        <v>0</v>
      </c>
      <c r="I10" s="244"/>
      <c r="J10" s="244">
        <f>ROUND(D10*($B$25/$B$27),0)</f>
        <v>0</v>
      </c>
      <c r="K10" s="244">
        <f>ROUND(D10*($B$21/$B$27),0)</f>
        <v>0</v>
      </c>
      <c r="L10" s="244">
        <f>J10+K10</f>
        <v>0</v>
      </c>
      <c r="O10" s="252" t="s">
        <v>543</v>
      </c>
      <c r="P10" s="246"/>
      <c r="Q10" s="247"/>
      <c r="R10" s="246"/>
      <c r="S10" s="247"/>
      <c r="T10" s="246">
        <f>J10</f>
        <v>0</v>
      </c>
      <c r="U10" s="247">
        <f>K10</f>
        <v>0</v>
      </c>
      <c r="V10" s="253"/>
      <c r="W10" s="246">
        <f t="shared" ref="W10:W16" si="2">IF(Z10&lt;0,-Z10,0)</f>
        <v>0</v>
      </c>
      <c r="X10" s="247">
        <f t="shared" ref="X10:X16" si="3">IF(Z10&gt;0,-Z10,0)</f>
        <v>0</v>
      </c>
      <c r="Z10" s="244">
        <f t="shared" si="0"/>
        <v>0</v>
      </c>
    </row>
    <row r="11" spans="1:26" ht="14.1" customHeight="1" x14ac:dyDescent="0.2">
      <c r="A11" s="250" t="s">
        <v>495</v>
      </c>
      <c r="B11" s="251">
        <f>'ICL Excess ADIT'!V14</f>
        <v>-57493445.625</v>
      </c>
      <c r="C11" s="243"/>
      <c r="D11" s="243">
        <f>B11+C11</f>
        <v>-57493445.625</v>
      </c>
      <c r="E11" s="244"/>
      <c r="F11" s="244">
        <f>ROUND(D11/$B$27,0)</f>
        <v>-77012184</v>
      </c>
      <c r="G11" s="244"/>
      <c r="H11" s="244">
        <f t="shared" si="1"/>
        <v>-19518738.375</v>
      </c>
      <c r="I11" s="244"/>
      <c r="J11" s="244">
        <f>ROUND(D11*($B$25/$B$27),0)</f>
        <v>-15283068</v>
      </c>
      <c r="K11" s="244">
        <f>ROUND(D11*($B$21/$B$27),0)</f>
        <v>-4235670</v>
      </c>
      <c r="L11" s="244">
        <f>J11+K11</f>
        <v>-19518738</v>
      </c>
      <c r="O11" s="254"/>
      <c r="P11" s="255"/>
      <c r="Q11" s="256"/>
      <c r="R11" s="255"/>
      <c r="S11" s="256"/>
      <c r="T11" s="255"/>
      <c r="U11" s="256"/>
      <c r="V11" s="244"/>
      <c r="W11" s="257"/>
      <c r="X11" s="258"/>
      <c r="Z11" s="244"/>
    </row>
    <row r="12" spans="1:26" ht="14.1" customHeight="1" x14ac:dyDescent="0.2">
      <c r="A12" s="250" t="s">
        <v>496</v>
      </c>
      <c r="B12" s="251"/>
      <c r="C12" s="243">
        <v>0</v>
      </c>
      <c r="D12" s="243">
        <f>B12+C12</f>
        <v>0</v>
      </c>
      <c r="E12" s="244"/>
      <c r="F12" s="244">
        <f>ROUND(D12/$B$27,0)</f>
        <v>0</v>
      </c>
      <c r="G12" s="244"/>
      <c r="H12" s="244">
        <f t="shared" si="1"/>
        <v>0</v>
      </c>
      <c r="I12" s="244"/>
      <c r="J12" s="244">
        <f>ROUND(D12*($B$25/$B$27),0)</f>
        <v>0</v>
      </c>
      <c r="K12" s="244">
        <f>ROUND(D12*($B$21/$B$27),0)</f>
        <v>0</v>
      </c>
      <c r="L12" s="244">
        <f>J12+K12</f>
        <v>0</v>
      </c>
      <c r="O12" s="259" t="s">
        <v>556</v>
      </c>
      <c r="P12" s="260"/>
      <c r="Q12" s="261"/>
      <c r="R12" s="260">
        <f>B11</f>
        <v>-57493445.625</v>
      </c>
      <c r="S12" s="262">
        <f>C11</f>
        <v>0</v>
      </c>
      <c r="T12" s="260"/>
      <c r="U12" s="261"/>
      <c r="V12" s="263"/>
      <c r="W12" s="260">
        <f t="shared" si="2"/>
        <v>57493445.625</v>
      </c>
      <c r="X12" s="262">
        <f t="shared" si="3"/>
        <v>0</v>
      </c>
      <c r="Z12" s="244">
        <f t="shared" si="0"/>
        <v>-57493445.625</v>
      </c>
    </row>
    <row r="13" spans="1:26" ht="14.1" customHeight="1" x14ac:dyDescent="0.2">
      <c r="B13" s="244"/>
      <c r="C13" s="244"/>
      <c r="D13" s="244"/>
      <c r="E13" s="244"/>
      <c r="F13" s="244"/>
      <c r="G13" s="244"/>
      <c r="H13" s="244"/>
      <c r="I13" s="244"/>
      <c r="O13" s="264" t="s">
        <v>543</v>
      </c>
      <c r="P13" s="260"/>
      <c r="Q13" s="262"/>
      <c r="R13" s="260"/>
      <c r="S13" s="262"/>
      <c r="T13" s="260">
        <f>J11</f>
        <v>-15283068</v>
      </c>
      <c r="U13" s="262">
        <f>K11</f>
        <v>-4235670</v>
      </c>
      <c r="V13" s="265"/>
      <c r="W13" s="260">
        <f t="shared" si="2"/>
        <v>19518738</v>
      </c>
      <c r="X13" s="262">
        <f t="shared" si="3"/>
        <v>0</v>
      </c>
      <c r="Z13" s="244">
        <f t="shared" si="0"/>
        <v>-19518738</v>
      </c>
    </row>
    <row r="14" spans="1:26" ht="14.1" customHeight="1" thickBot="1" x14ac:dyDescent="0.25">
      <c r="A14" s="224" t="s">
        <v>560</v>
      </c>
      <c r="B14" s="266">
        <f>SUM(B9:B13)</f>
        <v>-57493445.625</v>
      </c>
      <c r="C14" s="266">
        <f>SUM(C9:C13)</f>
        <v>0</v>
      </c>
      <c r="D14" s="266">
        <f>SUM(D9:D13)</f>
        <v>-57493445.625</v>
      </c>
      <c r="E14" s="244"/>
      <c r="F14" s="266">
        <f>SUM(F9:F13)</f>
        <v>-77012184</v>
      </c>
      <c r="G14" s="244"/>
      <c r="H14" s="266">
        <f>SUM(H9:H13)</f>
        <v>-19518738.375</v>
      </c>
      <c r="I14" s="244"/>
      <c r="J14" s="266">
        <f>SUM(J9:J13)</f>
        <v>-15283068</v>
      </c>
      <c r="K14" s="266">
        <f>SUM(K9:K13)</f>
        <v>-4235670</v>
      </c>
      <c r="L14" s="266">
        <f>SUM(L9:L13)</f>
        <v>-19518738</v>
      </c>
      <c r="O14" s="254"/>
      <c r="P14" s="255"/>
      <c r="Q14" s="256"/>
      <c r="R14" s="255"/>
      <c r="S14" s="256"/>
      <c r="T14" s="255"/>
      <c r="U14" s="256"/>
      <c r="V14" s="244"/>
      <c r="W14" s="257"/>
      <c r="X14" s="258"/>
      <c r="Z14" s="244"/>
    </row>
    <row r="15" spans="1:26" ht="14.1" customHeight="1" thickTop="1" x14ac:dyDescent="0.2">
      <c r="B15" s="244"/>
      <c r="C15" s="244"/>
      <c r="O15" s="245" t="s">
        <v>559</v>
      </c>
      <c r="P15" s="246"/>
      <c r="Q15" s="248"/>
      <c r="R15" s="246"/>
      <c r="S15" s="247"/>
      <c r="T15" s="246">
        <f>B12</f>
        <v>0</v>
      </c>
      <c r="U15" s="247">
        <f>C12</f>
        <v>0</v>
      </c>
      <c r="V15" s="249"/>
      <c r="W15" s="246">
        <f t="shared" si="2"/>
        <v>0</v>
      </c>
      <c r="X15" s="247">
        <f t="shared" si="3"/>
        <v>0</v>
      </c>
      <c r="Z15" s="244">
        <f t="shared" si="0"/>
        <v>0</v>
      </c>
    </row>
    <row r="16" spans="1:26" ht="14.1" customHeight="1" x14ac:dyDescent="0.2">
      <c r="B16" s="244"/>
      <c r="C16" s="244"/>
      <c r="O16" s="252" t="s">
        <v>543</v>
      </c>
      <c r="P16" s="246">
        <f>J12</f>
        <v>0</v>
      </c>
      <c r="Q16" s="247">
        <f>K12</f>
        <v>0</v>
      </c>
      <c r="R16" s="246"/>
      <c r="S16" s="247"/>
      <c r="T16" s="246"/>
      <c r="U16" s="247"/>
      <c r="V16" s="253"/>
      <c r="W16" s="246">
        <f t="shared" si="2"/>
        <v>0</v>
      </c>
      <c r="X16" s="247">
        <f t="shared" si="3"/>
        <v>0</v>
      </c>
      <c r="Z16" s="244">
        <f t="shared" si="0"/>
        <v>0</v>
      </c>
    </row>
    <row r="17" spans="1:24" ht="14.1" customHeight="1" thickBot="1" x14ac:dyDescent="0.25">
      <c r="B17" s="244"/>
      <c r="C17" s="244"/>
      <c r="O17" s="267"/>
      <c r="P17" s="268">
        <f t="shared" ref="P17:U17" si="4">SUM(P8:P16)</f>
        <v>0</v>
      </c>
      <c r="Q17" s="269">
        <f t="shared" si="4"/>
        <v>0</v>
      </c>
      <c r="R17" s="268">
        <f t="shared" si="4"/>
        <v>-57493445.625</v>
      </c>
      <c r="S17" s="269">
        <f t="shared" si="4"/>
        <v>0</v>
      </c>
      <c r="T17" s="268">
        <f t="shared" si="4"/>
        <v>-15283068</v>
      </c>
      <c r="U17" s="269">
        <f t="shared" si="4"/>
        <v>-4235670</v>
      </c>
      <c r="V17" s="244"/>
      <c r="W17" s="268">
        <f>SUM(W8:W16)</f>
        <v>77012183.625</v>
      </c>
      <c r="X17" s="269">
        <f>SUM(X8:X16)</f>
        <v>0</v>
      </c>
    </row>
    <row r="18" spans="1:24" ht="14.1" customHeight="1" thickTop="1" x14ac:dyDescent="0.2">
      <c r="B18" s="244"/>
      <c r="C18" s="244"/>
      <c r="O18" s="267"/>
      <c r="P18" s="257"/>
      <c r="Q18" s="258"/>
      <c r="R18" s="257"/>
      <c r="S18" s="258"/>
      <c r="T18" s="257"/>
      <c r="U18" s="258"/>
      <c r="V18" s="244"/>
      <c r="W18" s="257"/>
      <c r="X18" s="258"/>
    </row>
    <row r="19" spans="1:24" ht="14.1" customHeight="1" thickBot="1" x14ac:dyDescent="0.25">
      <c r="A19" s="270" t="s">
        <v>512</v>
      </c>
      <c r="O19" s="267"/>
      <c r="P19" s="257"/>
      <c r="Q19" s="258"/>
      <c r="R19" s="257"/>
      <c r="S19" s="258"/>
      <c r="T19" s="257"/>
      <c r="U19" s="258"/>
      <c r="V19" s="244"/>
      <c r="W19" s="257"/>
      <c r="X19" s="271">
        <f>W17+X17</f>
        <v>77012183.625</v>
      </c>
    </row>
    <row r="20" spans="1:24" ht="14.1" customHeight="1" thickTop="1" x14ac:dyDescent="0.2">
      <c r="A20" s="224" t="s">
        <v>515</v>
      </c>
      <c r="B20" s="272">
        <v>0.21</v>
      </c>
      <c r="O20" s="273"/>
      <c r="P20" s="274"/>
      <c r="Q20" s="275"/>
      <c r="R20" s="274"/>
      <c r="S20" s="275"/>
      <c r="T20" s="274"/>
      <c r="U20" s="275"/>
      <c r="V20" s="244"/>
      <c r="W20" s="274"/>
      <c r="X20" s="275"/>
    </row>
    <row r="21" spans="1:24" ht="14.1" customHeight="1" x14ac:dyDescent="0.2">
      <c r="A21" s="224" t="s">
        <v>524</v>
      </c>
      <c r="B21" s="224">
        <v>5.5E-2</v>
      </c>
    </row>
    <row r="22" spans="1:24" ht="14.1" customHeight="1" x14ac:dyDescent="0.2">
      <c r="A22" s="224" t="s">
        <v>466</v>
      </c>
      <c r="B22" s="276">
        <f>B21*-B20</f>
        <v>-1.155E-2</v>
      </c>
    </row>
    <row r="23" spans="1:24" ht="14.1" customHeight="1" thickBot="1" x14ac:dyDescent="0.25">
      <c r="A23" s="224" t="s">
        <v>530</v>
      </c>
      <c r="B23" s="277">
        <f>SUM(B20:B22)</f>
        <v>0.25345000000000001</v>
      </c>
    </row>
    <row r="24" spans="1:24" ht="14.1" customHeight="1" thickTop="1" x14ac:dyDescent="0.2">
      <c r="O24" s="278" t="s">
        <v>440</v>
      </c>
      <c r="P24" s="279"/>
      <c r="Q24" s="279"/>
      <c r="R24" s="280"/>
    </row>
    <row r="25" spans="1:24" ht="14.1" customHeight="1" x14ac:dyDescent="0.2">
      <c r="A25" s="224" t="s">
        <v>534</v>
      </c>
      <c r="B25" s="276">
        <f>B20+B22</f>
        <v>0.19844999999999999</v>
      </c>
      <c r="O25" s="281" t="s">
        <v>576</v>
      </c>
      <c r="P25" s="282" t="s">
        <v>467</v>
      </c>
      <c r="Q25" s="282" t="s">
        <v>466</v>
      </c>
      <c r="R25" s="283" t="s">
        <v>465</v>
      </c>
    </row>
    <row r="26" spans="1:24" ht="14.1" customHeight="1" x14ac:dyDescent="0.2">
      <c r="O26" s="284"/>
      <c r="P26" s="285"/>
      <c r="Q26" s="285"/>
      <c r="R26" s="286"/>
    </row>
    <row r="27" spans="1:24" ht="14.1" customHeight="1" x14ac:dyDescent="0.2">
      <c r="A27" s="224" t="s">
        <v>577</v>
      </c>
      <c r="B27" s="276">
        <f>1-B23</f>
        <v>0.74655000000000005</v>
      </c>
      <c r="O27" s="287" t="s">
        <v>578</v>
      </c>
      <c r="P27" s="288">
        <f>P17-Q37</f>
        <v>0</v>
      </c>
      <c r="Q27" s="288"/>
      <c r="R27" s="289"/>
    </row>
    <row r="28" spans="1:24" ht="14.1" customHeight="1" x14ac:dyDescent="0.2">
      <c r="O28" s="287" t="s">
        <v>579</v>
      </c>
      <c r="P28" s="288">
        <f>R17-Q38</f>
        <v>-57493445.625</v>
      </c>
      <c r="Q28" s="288"/>
      <c r="R28" s="289"/>
    </row>
    <row r="29" spans="1:24" ht="14.1" customHeight="1" x14ac:dyDescent="0.2">
      <c r="O29" s="287" t="s">
        <v>580</v>
      </c>
      <c r="P29" s="288">
        <f>T17-Q39</f>
        <v>-16172558.699999999</v>
      </c>
      <c r="Q29" s="288"/>
      <c r="R29" s="289"/>
    </row>
    <row r="30" spans="1:24" ht="14.1" customHeight="1" x14ac:dyDescent="0.2">
      <c r="A30" s="224" t="s">
        <v>550</v>
      </c>
      <c r="O30" s="290"/>
      <c r="P30" s="288"/>
      <c r="Q30" s="288"/>
      <c r="R30" s="289"/>
    </row>
    <row r="31" spans="1:24" ht="14.1" customHeight="1" x14ac:dyDescent="0.2">
      <c r="O31" s="287" t="s">
        <v>386</v>
      </c>
      <c r="P31" s="288"/>
      <c r="Q31" s="288"/>
      <c r="R31" s="289">
        <f>Q17</f>
        <v>0</v>
      </c>
    </row>
    <row r="32" spans="1:24" ht="14.1" customHeight="1" x14ac:dyDescent="0.2">
      <c r="O32" s="287" t="s">
        <v>384</v>
      </c>
      <c r="P32" s="288"/>
      <c r="Q32" s="288"/>
      <c r="R32" s="289">
        <f>S17</f>
        <v>0</v>
      </c>
    </row>
    <row r="33" spans="15:18" ht="14.1" customHeight="1" x14ac:dyDescent="0.2">
      <c r="O33" s="287" t="s">
        <v>382</v>
      </c>
      <c r="P33" s="288"/>
      <c r="Q33" s="288"/>
      <c r="R33" s="289">
        <f>U17</f>
        <v>-4235670</v>
      </c>
    </row>
    <row r="34" spans="15:18" ht="14.1" customHeight="1" thickBot="1" x14ac:dyDescent="0.25">
      <c r="O34" s="291"/>
      <c r="P34" s="292"/>
      <c r="Q34" s="292"/>
      <c r="R34" s="293"/>
    </row>
    <row r="35" spans="15:18" ht="14.1" customHeight="1" thickTop="1" x14ac:dyDescent="0.2">
      <c r="O35" s="294"/>
      <c r="P35" s="59"/>
      <c r="Q35" s="59"/>
      <c r="R35" s="59"/>
    </row>
    <row r="36" spans="15:18" ht="14.1" customHeight="1" x14ac:dyDescent="0.2">
      <c r="O36" s="295" t="s">
        <v>581</v>
      </c>
    </row>
    <row r="37" spans="15:18" ht="14.1" customHeight="1" x14ac:dyDescent="0.2">
      <c r="O37" s="294" t="s">
        <v>582</v>
      </c>
      <c r="P37" s="59"/>
      <c r="Q37" s="59">
        <f>-R31*$B$20</f>
        <v>0</v>
      </c>
      <c r="R37" s="59"/>
    </row>
    <row r="38" spans="15:18" ht="14.1" customHeight="1" x14ac:dyDescent="0.2">
      <c r="O38" s="294" t="s">
        <v>583</v>
      </c>
      <c r="P38" s="59"/>
      <c r="Q38" s="59">
        <f>-R32*$B$20</f>
        <v>0</v>
      </c>
      <c r="R38" s="59"/>
    </row>
    <row r="39" spans="15:18" ht="14.1" customHeight="1" x14ac:dyDescent="0.2">
      <c r="O39" s="294" t="s">
        <v>584</v>
      </c>
      <c r="P39" s="59"/>
      <c r="Q39" s="59">
        <f>-R33*$B$20</f>
        <v>889490.7</v>
      </c>
      <c r="R39" s="59"/>
    </row>
  </sheetData>
  <mergeCells count="1">
    <mergeCell ref="A5:L5"/>
  </mergeCells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zoomScaleNormal="100" workbookViewId="0">
      <selection activeCell="D1" sqref="D1:E2"/>
    </sheetView>
  </sheetViews>
  <sheetFormatPr defaultColWidth="8" defaultRowHeight="14.1" customHeight="1" x14ac:dyDescent="0.2"/>
  <cols>
    <col min="1" max="1" width="20.7109375" style="297" customWidth="1"/>
    <col min="2" max="4" width="10.7109375" style="297" customWidth="1"/>
    <col min="5" max="5" width="2.28515625" style="297" customWidth="1"/>
    <col min="6" max="6" width="10.7109375" style="297" customWidth="1"/>
    <col min="7" max="7" width="1.5703125" style="297" customWidth="1"/>
    <col min="8" max="8" width="10.7109375" style="297" customWidth="1"/>
    <col min="9" max="9" width="1.5703125" style="297" customWidth="1"/>
    <col min="10" max="12" width="10.7109375" style="297" customWidth="1"/>
    <col min="13" max="13" width="7.42578125" style="297" customWidth="1"/>
    <col min="14" max="14" width="7.140625" style="297" customWidth="1"/>
    <col min="15" max="15" width="19.5703125" style="297" customWidth="1"/>
    <col min="16" max="16" width="10.7109375" style="297" customWidth="1"/>
    <col min="17" max="17" width="10.140625" style="297" customWidth="1"/>
    <col min="18" max="18" width="11.5703125" style="297" customWidth="1"/>
    <col min="19" max="19" width="10.5703125" style="297" customWidth="1"/>
    <col min="20" max="20" width="11.7109375" style="297" customWidth="1"/>
    <col min="21" max="21" width="10.7109375" style="297" customWidth="1"/>
    <col min="22" max="22" width="2.42578125" style="297" customWidth="1"/>
    <col min="23" max="23" width="11.28515625" style="297" customWidth="1"/>
    <col min="24" max="24" width="12.140625" style="297" customWidth="1"/>
    <col min="25" max="25" width="8" style="297"/>
    <col min="26" max="26" width="12.42578125" style="297" customWidth="1"/>
    <col min="27" max="27" width="9.85546875" style="297" bestFit="1" customWidth="1"/>
    <col min="28" max="28" width="9.42578125" style="297" bestFit="1" customWidth="1"/>
    <col min="29" max="16384" width="8" style="297"/>
  </cols>
  <sheetData>
    <row r="1" spans="1:26" ht="14.1" customHeight="1" x14ac:dyDescent="0.2">
      <c r="A1" s="296" t="s">
        <v>586</v>
      </c>
      <c r="D1" s="455" t="s">
        <v>722</v>
      </c>
      <c r="E1" s="455"/>
    </row>
    <row r="2" spans="1:26" ht="14.1" customHeight="1" x14ac:dyDescent="0.2">
      <c r="A2" s="296" t="s">
        <v>502</v>
      </c>
      <c r="D2" s="455" t="s">
        <v>710</v>
      </c>
      <c r="E2" s="455"/>
    </row>
    <row r="3" spans="1:26" ht="14.1" customHeight="1" x14ac:dyDescent="0.2">
      <c r="A3" s="298"/>
      <c r="O3" s="296" t="s">
        <v>568</v>
      </c>
    </row>
    <row r="5" spans="1:26" ht="14.1" customHeight="1" x14ac:dyDescent="0.2">
      <c r="A5" s="453" t="s">
        <v>569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O5" s="299"/>
      <c r="P5" s="300" t="s">
        <v>467</v>
      </c>
      <c r="Q5" s="301" t="s">
        <v>465</v>
      </c>
      <c r="R5" s="300" t="s">
        <v>467</v>
      </c>
      <c r="S5" s="301" t="s">
        <v>465</v>
      </c>
      <c r="T5" s="300" t="s">
        <v>467</v>
      </c>
      <c r="U5" s="301" t="s">
        <v>465</v>
      </c>
      <c r="V5" s="302"/>
      <c r="W5" s="303" t="s">
        <v>570</v>
      </c>
      <c r="X5" s="304" t="s">
        <v>571</v>
      </c>
    </row>
    <row r="6" spans="1:26" ht="14.1" customHeight="1" x14ac:dyDescent="0.2">
      <c r="O6" s="305"/>
      <c r="P6" s="306" t="s">
        <v>516</v>
      </c>
      <c r="Q6" s="307" t="s">
        <v>517</v>
      </c>
      <c r="R6" s="306" t="s">
        <v>518</v>
      </c>
      <c r="S6" s="307" t="s">
        <v>519</v>
      </c>
      <c r="T6" s="306" t="s">
        <v>520</v>
      </c>
      <c r="U6" s="307" t="s">
        <v>521</v>
      </c>
      <c r="V6" s="308"/>
      <c r="W6" s="306" t="s">
        <v>522</v>
      </c>
      <c r="X6" s="307" t="s">
        <v>523</v>
      </c>
    </row>
    <row r="7" spans="1:26" ht="14.1" customHeight="1" x14ac:dyDescent="0.2">
      <c r="A7" s="309" t="s">
        <v>505</v>
      </c>
      <c r="B7" s="309" t="s">
        <v>467</v>
      </c>
      <c r="C7" s="309" t="s">
        <v>465</v>
      </c>
      <c r="D7" s="309" t="s">
        <v>507</v>
      </c>
      <c r="E7" s="309"/>
      <c r="F7" s="309" t="s">
        <v>572</v>
      </c>
      <c r="G7" s="309"/>
      <c r="H7" s="309" t="s">
        <v>573</v>
      </c>
      <c r="J7" s="309" t="s">
        <v>467</v>
      </c>
      <c r="K7" s="309" t="s">
        <v>465</v>
      </c>
      <c r="L7" s="309" t="s">
        <v>507</v>
      </c>
      <c r="O7" s="310"/>
      <c r="P7" s="311" t="s">
        <v>525</v>
      </c>
      <c r="Q7" s="312" t="s">
        <v>525</v>
      </c>
      <c r="R7" s="311" t="s">
        <v>526</v>
      </c>
      <c r="S7" s="312" t="s">
        <v>526</v>
      </c>
      <c r="T7" s="311" t="s">
        <v>527</v>
      </c>
      <c r="U7" s="312" t="s">
        <v>527</v>
      </c>
      <c r="V7" s="313"/>
      <c r="W7" s="311" t="s">
        <v>574</v>
      </c>
      <c r="X7" s="312" t="s">
        <v>575</v>
      </c>
    </row>
    <row r="8" spans="1:26" ht="14.1" customHeight="1" x14ac:dyDescent="0.2">
      <c r="O8" s="305"/>
      <c r="P8" s="314"/>
      <c r="Q8" s="315"/>
      <c r="R8" s="314"/>
      <c r="S8" s="315"/>
      <c r="T8" s="314"/>
      <c r="U8" s="315"/>
      <c r="W8" s="314"/>
      <c r="X8" s="315"/>
    </row>
    <row r="9" spans="1:26" ht="14.1" customHeight="1" x14ac:dyDescent="0.2">
      <c r="A9" s="297" t="s">
        <v>553</v>
      </c>
      <c r="B9" s="316"/>
      <c r="C9" s="316"/>
      <c r="D9" s="316"/>
      <c r="E9" s="317"/>
      <c r="F9" s="317"/>
      <c r="G9" s="317"/>
      <c r="H9" s="317"/>
      <c r="I9" s="317"/>
      <c r="J9" s="317"/>
      <c r="K9" s="317"/>
      <c r="L9" s="317"/>
      <c r="O9" s="318" t="s">
        <v>554</v>
      </c>
      <c r="P9" s="319">
        <f>B10</f>
        <v>-186377.36040000001</v>
      </c>
      <c r="Q9" s="320">
        <f>C10</f>
        <v>0</v>
      </c>
      <c r="R9" s="319"/>
      <c r="S9" s="320"/>
      <c r="T9" s="319"/>
      <c r="U9" s="321"/>
      <c r="V9" s="322"/>
      <c r="W9" s="319">
        <f>IF(Z9&lt;0,-Z9,0)</f>
        <v>186377.36040000001</v>
      </c>
      <c r="X9" s="320">
        <f>IF(Z9&gt;0,-Z9,0)</f>
        <v>0</v>
      </c>
      <c r="Z9" s="317">
        <f t="shared" ref="Z9:Z16" si="0">SUM(P9:U9)</f>
        <v>-186377.36040000001</v>
      </c>
    </row>
    <row r="10" spans="1:26" ht="14.1" customHeight="1" x14ac:dyDescent="0.2">
      <c r="A10" s="323" t="s">
        <v>494</v>
      </c>
      <c r="B10" s="324">
        <f>'Enersys Excess ADIT'!V13</f>
        <v>-186377.36040000001</v>
      </c>
      <c r="C10" s="316">
        <v>0</v>
      </c>
      <c r="D10" s="316">
        <f>B10+C10</f>
        <v>-186377.36040000001</v>
      </c>
      <c r="E10" s="317"/>
      <c r="F10" s="317">
        <f>ROUND(D10/$B$31,0)</f>
        <v>-249652</v>
      </c>
      <c r="G10" s="317"/>
      <c r="H10" s="317">
        <f t="shared" ref="H10:H12" si="1">F10-D10</f>
        <v>-63274.639599999995</v>
      </c>
      <c r="I10" s="317"/>
      <c r="J10" s="317">
        <f>ROUND(D10*($B$29/$B$31),0)</f>
        <v>-49543</v>
      </c>
      <c r="K10" s="317">
        <f>ROUND(D10*($B$25/$B$31),0)</f>
        <v>-13731</v>
      </c>
      <c r="L10" s="317">
        <f>J10+K10</f>
        <v>-63274</v>
      </c>
      <c r="O10" s="325" t="s">
        <v>543</v>
      </c>
      <c r="P10" s="319"/>
      <c r="Q10" s="320"/>
      <c r="R10" s="319"/>
      <c r="S10" s="320"/>
      <c r="T10" s="319">
        <f>J10</f>
        <v>-49543</v>
      </c>
      <c r="U10" s="320">
        <f>K10</f>
        <v>-13731</v>
      </c>
      <c r="V10" s="326"/>
      <c r="W10" s="319">
        <f t="shared" ref="W10:W16" si="2">IF(Z10&lt;0,-Z10,0)</f>
        <v>63274</v>
      </c>
      <c r="X10" s="320">
        <f t="shared" ref="X10:X16" si="3">IF(Z10&gt;0,-Z10,0)</f>
        <v>0</v>
      </c>
      <c r="Z10" s="317">
        <f t="shared" si="0"/>
        <v>-63274</v>
      </c>
    </row>
    <row r="11" spans="1:26" ht="14.1" customHeight="1" x14ac:dyDescent="0.2">
      <c r="A11" s="323" t="s">
        <v>495</v>
      </c>
      <c r="B11" s="324"/>
      <c r="C11" s="316"/>
      <c r="D11" s="316">
        <f>B11+C11</f>
        <v>0</v>
      </c>
      <c r="E11" s="317"/>
      <c r="F11" s="317">
        <f>ROUND(D11/$B$31,0)</f>
        <v>0</v>
      </c>
      <c r="G11" s="317"/>
      <c r="H11" s="317">
        <f t="shared" si="1"/>
        <v>0</v>
      </c>
      <c r="I11" s="317"/>
      <c r="J11" s="317">
        <f>ROUND(D11*($B$29/$B$31),0)</f>
        <v>0</v>
      </c>
      <c r="K11" s="317">
        <f>ROUND(D11*($B$25/$B$31),0)</f>
        <v>0</v>
      </c>
      <c r="L11" s="317">
        <f>J11+K11</f>
        <v>0</v>
      </c>
      <c r="O11" s="327"/>
      <c r="P11" s="328"/>
      <c r="Q11" s="329"/>
      <c r="R11" s="328"/>
      <c r="S11" s="329"/>
      <c r="T11" s="328"/>
      <c r="U11" s="329"/>
      <c r="V11" s="317"/>
      <c r="W11" s="330"/>
      <c r="X11" s="331"/>
      <c r="Z11" s="317"/>
    </row>
    <row r="12" spans="1:26" ht="14.1" customHeight="1" x14ac:dyDescent="0.2">
      <c r="A12" s="323" t="s">
        <v>496</v>
      </c>
      <c r="B12" s="324"/>
      <c r="C12" s="316">
        <v>0</v>
      </c>
      <c r="D12" s="316">
        <f>B12+C12</f>
        <v>0</v>
      </c>
      <c r="E12" s="317"/>
      <c r="F12" s="317">
        <f>ROUND(D12/$B$31,0)</f>
        <v>0</v>
      </c>
      <c r="G12" s="317"/>
      <c r="H12" s="317">
        <f t="shared" si="1"/>
        <v>0</v>
      </c>
      <c r="I12" s="317"/>
      <c r="J12" s="317">
        <f>ROUND(D12*($B$29/$B$31),0)</f>
        <v>0</v>
      </c>
      <c r="K12" s="317">
        <f>ROUND(D12*($B$25/$B$31),0)</f>
        <v>0</v>
      </c>
      <c r="L12" s="317">
        <f>J12+K12</f>
        <v>0</v>
      </c>
      <c r="O12" s="332" t="s">
        <v>556</v>
      </c>
      <c r="P12" s="333"/>
      <c r="Q12" s="334"/>
      <c r="R12" s="333">
        <f>B11</f>
        <v>0</v>
      </c>
      <c r="S12" s="335">
        <f>C11</f>
        <v>0</v>
      </c>
      <c r="T12" s="333"/>
      <c r="U12" s="334"/>
      <c r="V12" s="336"/>
      <c r="W12" s="333">
        <f t="shared" si="2"/>
        <v>0</v>
      </c>
      <c r="X12" s="335">
        <f t="shared" si="3"/>
        <v>0</v>
      </c>
      <c r="Z12" s="317">
        <f t="shared" si="0"/>
        <v>0</v>
      </c>
    </row>
    <row r="13" spans="1:26" ht="14.1" customHeight="1" x14ac:dyDescent="0.2">
      <c r="B13" s="317"/>
      <c r="C13" s="317"/>
      <c r="D13" s="317"/>
      <c r="E13" s="317"/>
      <c r="F13" s="317"/>
      <c r="G13" s="317"/>
      <c r="H13" s="317"/>
      <c r="I13" s="317"/>
      <c r="O13" s="337" t="s">
        <v>543</v>
      </c>
      <c r="P13" s="333"/>
      <c r="Q13" s="335"/>
      <c r="R13" s="333"/>
      <c r="S13" s="335"/>
      <c r="T13" s="333">
        <f>J11</f>
        <v>0</v>
      </c>
      <c r="U13" s="335">
        <f>K11</f>
        <v>0</v>
      </c>
      <c r="V13" s="338"/>
      <c r="W13" s="333">
        <f t="shared" si="2"/>
        <v>0</v>
      </c>
      <c r="X13" s="335">
        <f t="shared" si="3"/>
        <v>0</v>
      </c>
      <c r="Z13" s="317">
        <f t="shared" si="0"/>
        <v>0</v>
      </c>
    </row>
    <row r="14" spans="1:26" ht="14.1" customHeight="1" thickBot="1" x14ac:dyDescent="0.25">
      <c r="A14" s="297" t="s">
        <v>560</v>
      </c>
      <c r="B14" s="339">
        <f>SUM(B9:B13)</f>
        <v>-186377.36040000001</v>
      </c>
      <c r="C14" s="339">
        <f>SUM(C9:C13)</f>
        <v>0</v>
      </c>
      <c r="D14" s="339">
        <f>SUM(D9:D13)</f>
        <v>-186377.36040000001</v>
      </c>
      <c r="E14" s="317"/>
      <c r="F14" s="339">
        <f>SUM(F9:F13)</f>
        <v>-249652</v>
      </c>
      <c r="G14" s="317"/>
      <c r="H14" s="339">
        <f>SUM(H9:H13)</f>
        <v>-63274.639599999995</v>
      </c>
      <c r="I14" s="317"/>
      <c r="J14" s="339">
        <f>SUM(J9:J13)</f>
        <v>-49543</v>
      </c>
      <c r="K14" s="339">
        <f>SUM(K9:K13)</f>
        <v>-13731</v>
      </c>
      <c r="L14" s="339">
        <f>SUM(L9:L13)</f>
        <v>-63274</v>
      </c>
      <c r="O14" s="327"/>
      <c r="P14" s="328"/>
      <c r="Q14" s="329"/>
      <c r="R14" s="328"/>
      <c r="S14" s="329"/>
      <c r="T14" s="328"/>
      <c r="U14" s="329"/>
      <c r="V14" s="317"/>
      <c r="W14" s="330"/>
      <c r="X14" s="331"/>
      <c r="Z14" s="317"/>
    </row>
    <row r="15" spans="1:26" ht="14.1" customHeight="1" thickTop="1" x14ac:dyDescent="0.2">
      <c r="B15" s="317"/>
      <c r="C15" s="317"/>
      <c r="O15" s="318" t="s">
        <v>559</v>
      </c>
      <c r="P15" s="319"/>
      <c r="Q15" s="321"/>
      <c r="R15" s="319"/>
      <c r="S15" s="320"/>
      <c r="T15" s="319">
        <f>B12</f>
        <v>0</v>
      </c>
      <c r="U15" s="320">
        <f>C12</f>
        <v>0</v>
      </c>
      <c r="V15" s="322"/>
      <c r="W15" s="319">
        <f t="shared" si="2"/>
        <v>0</v>
      </c>
      <c r="X15" s="320">
        <f t="shared" si="3"/>
        <v>0</v>
      </c>
      <c r="Z15" s="317">
        <f t="shared" si="0"/>
        <v>0</v>
      </c>
    </row>
    <row r="16" spans="1:26" ht="14.1" customHeight="1" x14ac:dyDescent="0.2">
      <c r="B16" s="317"/>
      <c r="C16" s="317"/>
      <c r="O16" s="325" t="s">
        <v>543</v>
      </c>
      <c r="P16" s="319">
        <f>J12</f>
        <v>0</v>
      </c>
      <c r="Q16" s="320">
        <f>K12</f>
        <v>0</v>
      </c>
      <c r="R16" s="319"/>
      <c r="S16" s="320"/>
      <c r="T16" s="319"/>
      <c r="U16" s="320"/>
      <c r="V16" s="326"/>
      <c r="W16" s="319">
        <f t="shared" si="2"/>
        <v>0</v>
      </c>
      <c r="X16" s="320">
        <f t="shared" si="3"/>
        <v>0</v>
      </c>
      <c r="Z16" s="317">
        <f t="shared" si="0"/>
        <v>0</v>
      </c>
    </row>
    <row r="17" spans="1:24" ht="14.1" customHeight="1" thickBot="1" x14ac:dyDescent="0.25">
      <c r="B17" s="317"/>
      <c r="C17" s="317"/>
      <c r="O17" s="340"/>
      <c r="P17" s="341">
        <f t="shared" ref="P17:U17" si="4">SUM(P8:P16)</f>
        <v>-186377.36040000001</v>
      </c>
      <c r="Q17" s="342">
        <f t="shared" si="4"/>
        <v>0</v>
      </c>
      <c r="R17" s="341">
        <f t="shared" si="4"/>
        <v>0</v>
      </c>
      <c r="S17" s="342">
        <f t="shared" si="4"/>
        <v>0</v>
      </c>
      <c r="T17" s="341">
        <f t="shared" si="4"/>
        <v>-49543</v>
      </c>
      <c r="U17" s="342">
        <f t="shared" si="4"/>
        <v>-13731</v>
      </c>
      <c r="V17" s="317"/>
      <c r="W17" s="341">
        <f>SUM(W8:W16)</f>
        <v>249651.36040000001</v>
      </c>
      <c r="X17" s="342">
        <f>SUM(X8:X16)</f>
        <v>0</v>
      </c>
    </row>
    <row r="18" spans="1:24" ht="14.1" customHeight="1" thickTop="1" x14ac:dyDescent="0.2">
      <c r="B18" s="317"/>
      <c r="C18" s="317"/>
      <c r="O18" s="340"/>
      <c r="P18" s="330"/>
      <c r="Q18" s="331"/>
      <c r="R18" s="330"/>
      <c r="S18" s="331"/>
      <c r="T18" s="330"/>
      <c r="U18" s="331"/>
      <c r="V18" s="317"/>
      <c r="W18" s="330"/>
      <c r="X18" s="331"/>
    </row>
    <row r="19" spans="1:24" ht="14.1" customHeight="1" thickBot="1" x14ac:dyDescent="0.25">
      <c r="O19" s="340"/>
      <c r="P19" s="330"/>
      <c r="Q19" s="331"/>
      <c r="R19" s="330"/>
      <c r="S19" s="331"/>
      <c r="T19" s="330"/>
      <c r="U19" s="331"/>
      <c r="V19" s="317"/>
      <c r="W19" s="330"/>
      <c r="X19" s="343">
        <f>W17+X17</f>
        <v>249651.36040000001</v>
      </c>
    </row>
    <row r="20" spans="1:24" ht="14.1" customHeight="1" thickTop="1" x14ac:dyDescent="0.2">
      <c r="O20" s="344"/>
      <c r="P20" s="345"/>
      <c r="Q20" s="346"/>
      <c r="R20" s="345"/>
      <c r="S20" s="346"/>
      <c r="T20" s="345"/>
      <c r="U20" s="346"/>
      <c r="V20" s="317"/>
      <c r="W20" s="345"/>
      <c r="X20" s="346"/>
    </row>
    <row r="23" spans="1:24" ht="14.1" customHeight="1" thickBot="1" x14ac:dyDescent="0.25">
      <c r="A23" s="347" t="s">
        <v>512</v>
      </c>
    </row>
    <row r="24" spans="1:24" ht="14.1" customHeight="1" thickTop="1" x14ac:dyDescent="0.2">
      <c r="A24" s="297" t="s">
        <v>515</v>
      </c>
      <c r="B24" s="348">
        <v>0.21</v>
      </c>
      <c r="O24" s="349" t="s">
        <v>440</v>
      </c>
      <c r="P24" s="350"/>
      <c r="Q24" s="350"/>
      <c r="R24" s="351"/>
    </row>
    <row r="25" spans="1:24" ht="14.1" customHeight="1" x14ac:dyDescent="0.2">
      <c r="A25" s="297" t="s">
        <v>524</v>
      </c>
      <c r="B25" s="297">
        <v>5.5E-2</v>
      </c>
      <c r="O25" s="27" t="s">
        <v>576</v>
      </c>
      <c r="P25" s="352" t="s">
        <v>467</v>
      </c>
      <c r="Q25" s="352" t="s">
        <v>466</v>
      </c>
      <c r="R25" s="353" t="s">
        <v>465</v>
      </c>
    </row>
    <row r="26" spans="1:24" ht="14.1" customHeight="1" x14ac:dyDescent="0.2">
      <c r="A26" s="297" t="s">
        <v>466</v>
      </c>
      <c r="B26" s="354">
        <f>B25*-B24</f>
        <v>-1.155E-2</v>
      </c>
      <c r="O26" s="21"/>
      <c r="P26" s="355"/>
      <c r="Q26" s="355"/>
      <c r="R26" s="356"/>
    </row>
    <row r="27" spans="1:24" ht="14.1" customHeight="1" x14ac:dyDescent="0.2">
      <c r="A27" s="297" t="s">
        <v>530</v>
      </c>
      <c r="B27" s="357">
        <f>SUM(B24:B26)</f>
        <v>0.25345000000000001</v>
      </c>
      <c r="O27" s="358" t="s">
        <v>578</v>
      </c>
      <c r="P27" s="40">
        <f>P17-Q37</f>
        <v>-186377.36040000001</v>
      </c>
      <c r="Q27" s="40"/>
      <c r="R27" s="359"/>
    </row>
    <row r="28" spans="1:24" ht="14.1" customHeight="1" x14ac:dyDescent="0.2">
      <c r="O28" s="358" t="s">
        <v>579</v>
      </c>
      <c r="P28" s="40">
        <f>R17-Q38</f>
        <v>0</v>
      </c>
      <c r="Q28" s="40"/>
      <c r="R28" s="359"/>
    </row>
    <row r="29" spans="1:24" ht="14.1" customHeight="1" x14ac:dyDescent="0.2">
      <c r="A29" s="297" t="s">
        <v>534</v>
      </c>
      <c r="B29" s="354">
        <f>B24+B26</f>
        <v>0.19844999999999999</v>
      </c>
      <c r="O29" s="358" t="s">
        <v>580</v>
      </c>
      <c r="P29" s="40">
        <f>T17-Q39</f>
        <v>-52426.51</v>
      </c>
      <c r="Q29" s="40"/>
      <c r="R29" s="359"/>
    </row>
    <row r="30" spans="1:24" ht="14.1" customHeight="1" x14ac:dyDescent="0.2">
      <c r="O30" s="360"/>
      <c r="P30" s="361"/>
      <c r="Q30" s="361"/>
      <c r="R30" s="359"/>
    </row>
    <row r="31" spans="1:24" ht="14.1" customHeight="1" x14ac:dyDescent="0.2">
      <c r="A31" s="297" t="s">
        <v>577</v>
      </c>
      <c r="B31" s="354">
        <f>1-B27</f>
        <v>0.74655000000000005</v>
      </c>
      <c r="O31" s="358" t="s">
        <v>386</v>
      </c>
      <c r="P31" s="361"/>
      <c r="Q31" s="40"/>
      <c r="R31" s="362">
        <f>Q17</f>
        <v>0</v>
      </c>
    </row>
    <row r="32" spans="1:24" ht="14.1" customHeight="1" x14ac:dyDescent="0.2">
      <c r="O32" s="358" t="s">
        <v>384</v>
      </c>
      <c r="P32" s="361"/>
      <c r="Q32" s="40"/>
      <c r="R32" s="362">
        <f>S17</f>
        <v>0</v>
      </c>
    </row>
    <row r="33" spans="1:18" ht="14.1" customHeight="1" x14ac:dyDescent="0.2">
      <c r="O33" s="358" t="s">
        <v>382</v>
      </c>
      <c r="P33" s="361"/>
      <c r="Q33" s="40"/>
      <c r="R33" s="362">
        <f>U17</f>
        <v>-13731</v>
      </c>
    </row>
    <row r="34" spans="1:18" ht="14.1" customHeight="1" thickBot="1" x14ac:dyDescent="0.25">
      <c r="A34" s="297" t="s">
        <v>550</v>
      </c>
      <c r="O34" s="363"/>
      <c r="P34" s="364"/>
      <c r="Q34" s="364"/>
      <c r="R34" s="365"/>
    </row>
    <row r="35" spans="1:18" ht="14.1" customHeight="1" thickTop="1" x14ac:dyDescent="0.2">
      <c r="O35" s="366"/>
      <c r="P35" s="15"/>
      <c r="Q35" s="15"/>
      <c r="R35" s="15"/>
    </row>
    <row r="36" spans="1:18" ht="14.1" customHeight="1" x14ac:dyDescent="0.2">
      <c r="O36" s="367" t="s">
        <v>581</v>
      </c>
    </row>
    <row r="37" spans="1:18" ht="14.1" customHeight="1" x14ac:dyDescent="0.2">
      <c r="O37" s="366" t="s">
        <v>582</v>
      </c>
      <c r="P37" s="15"/>
      <c r="Q37" s="15">
        <f>-R31*$B$24</f>
        <v>0</v>
      </c>
      <c r="R37" s="15"/>
    </row>
    <row r="38" spans="1:18" ht="14.1" customHeight="1" x14ac:dyDescent="0.2">
      <c r="O38" s="366" t="s">
        <v>583</v>
      </c>
      <c r="P38" s="15"/>
      <c r="Q38" s="15">
        <f>-R32*$B$24</f>
        <v>0</v>
      </c>
      <c r="R38" s="15"/>
    </row>
    <row r="39" spans="1:18" ht="14.1" customHeight="1" x14ac:dyDescent="0.2">
      <c r="O39" s="366" t="s">
        <v>584</v>
      </c>
      <c r="P39" s="15"/>
      <c r="Q39" s="15">
        <f>-R33*$B$24</f>
        <v>2883.5099999999998</v>
      </c>
      <c r="R39" s="15"/>
    </row>
  </sheetData>
  <mergeCells count="1">
    <mergeCell ref="A5:L5"/>
  </mergeCells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8"/>
  <sheetViews>
    <sheetView workbookViewId="0">
      <pane xSplit="2" ySplit="7" topLeftCell="C107" activePane="bottomRight" state="frozen"/>
      <selection pane="topRight" activeCell="C1" sqref="C1"/>
      <selection pane="bottomLeft" activeCell="A8" sqref="A8"/>
      <selection pane="bottomRight" activeCell="C1" sqref="C1:D2"/>
    </sheetView>
  </sheetViews>
  <sheetFormatPr defaultColWidth="9.140625" defaultRowHeight="14.1" customHeight="1" outlineLevelCol="1" x14ac:dyDescent="0.2"/>
  <cols>
    <col min="1" max="1" width="13.140625" style="54" customWidth="1"/>
    <col min="2" max="2" width="35.5703125" style="54" customWidth="1"/>
    <col min="3" max="3" width="17.7109375" style="54" customWidth="1"/>
    <col min="4" max="5" width="19.140625" style="54" hidden="1" customWidth="1" outlineLevel="1"/>
    <col min="6" max="6" width="17.42578125" style="67" customWidth="1" collapsed="1"/>
    <col min="7" max="7" width="15.5703125" style="54" customWidth="1"/>
    <col min="8" max="8" width="16.42578125" style="54" customWidth="1"/>
    <col min="9" max="9" width="17.7109375" style="54" customWidth="1"/>
    <col min="10" max="11" width="17.5703125" style="54" customWidth="1"/>
    <col min="12" max="16384" width="9.140625" style="54"/>
  </cols>
  <sheetData>
    <row r="1" spans="1:24" ht="14.1" customHeight="1" x14ac:dyDescent="0.2">
      <c r="A1" s="56"/>
      <c r="B1" s="56"/>
      <c r="C1" s="455" t="s">
        <v>723</v>
      </c>
      <c r="D1" s="455"/>
      <c r="E1" s="56"/>
      <c r="F1" s="374"/>
      <c r="G1" s="56"/>
      <c r="H1" s="56"/>
      <c r="I1" s="56"/>
      <c r="J1" s="56"/>
      <c r="K1" s="56"/>
    </row>
    <row r="2" spans="1:24" ht="14.1" customHeight="1" x14ac:dyDescent="0.2">
      <c r="A2" s="57" t="s">
        <v>0</v>
      </c>
      <c r="B2" s="56"/>
      <c r="C2" s="455" t="s">
        <v>710</v>
      </c>
      <c r="D2" s="455"/>
      <c r="E2" s="56"/>
      <c r="F2" s="374"/>
      <c r="G2" s="56"/>
      <c r="H2" s="56"/>
      <c r="I2" s="56"/>
      <c r="J2" s="56"/>
      <c r="K2" s="56"/>
    </row>
    <row r="3" spans="1:24" ht="14.1" customHeight="1" x14ac:dyDescent="0.2">
      <c r="A3" s="58" t="s">
        <v>615</v>
      </c>
      <c r="B3" s="56"/>
      <c r="C3" s="56"/>
      <c r="D3" s="56"/>
      <c r="E3" s="56"/>
      <c r="F3" s="374"/>
      <c r="G3" s="56"/>
      <c r="H3" s="56"/>
      <c r="I3" s="56"/>
      <c r="J3" s="56"/>
      <c r="K3" s="56"/>
    </row>
    <row r="4" spans="1:24" ht="14.1" customHeight="1" x14ac:dyDescent="0.2">
      <c r="A4" s="58" t="s">
        <v>594</v>
      </c>
      <c r="B4" s="56"/>
      <c r="C4" s="56"/>
      <c r="D4" s="56"/>
      <c r="E4" s="56"/>
      <c r="F4" s="374"/>
      <c r="G4" s="56"/>
      <c r="H4" s="56"/>
      <c r="I4" s="56"/>
      <c r="J4" s="56"/>
      <c r="K4" s="56"/>
    </row>
    <row r="5" spans="1:24" ht="14.1" customHeight="1" x14ac:dyDescent="0.2">
      <c r="A5" s="54" t="s">
        <v>1</v>
      </c>
      <c r="B5" s="54" t="s">
        <v>1</v>
      </c>
      <c r="C5" s="54" t="s">
        <v>1</v>
      </c>
      <c r="D5" s="54" t="s">
        <v>1</v>
      </c>
      <c r="E5" s="54" t="s">
        <v>1</v>
      </c>
      <c r="G5" s="54" t="s">
        <v>1</v>
      </c>
      <c r="H5" s="54" t="s">
        <v>1</v>
      </c>
      <c r="I5" s="54" t="s">
        <v>1</v>
      </c>
      <c r="J5" s="54" t="s">
        <v>1</v>
      </c>
      <c r="K5" s="54" t="s">
        <v>1</v>
      </c>
    </row>
    <row r="6" spans="1:24" ht="50.65" customHeight="1" x14ac:dyDescent="0.2">
      <c r="A6" s="54" t="s">
        <v>1</v>
      </c>
      <c r="B6" s="368" t="s">
        <v>1</v>
      </c>
      <c r="C6" s="8" t="s">
        <v>372</v>
      </c>
      <c r="D6" s="8" t="s">
        <v>374</v>
      </c>
      <c r="E6" s="8" t="s">
        <v>375</v>
      </c>
      <c r="F6" s="8" t="s">
        <v>614</v>
      </c>
      <c r="G6" s="8" t="s">
        <v>376</v>
      </c>
      <c r="H6" s="8" t="s">
        <v>377</v>
      </c>
      <c r="I6" s="8" t="s">
        <v>378</v>
      </c>
      <c r="J6" s="8" t="s">
        <v>379</v>
      </c>
      <c r="K6" s="8" t="s">
        <v>380</v>
      </c>
    </row>
    <row r="7" spans="1:24" ht="14.1" customHeight="1" x14ac:dyDescent="0.2">
      <c r="A7" s="7" t="s">
        <v>2</v>
      </c>
      <c r="B7" s="7" t="s">
        <v>188</v>
      </c>
      <c r="C7" s="7" t="s">
        <v>373</v>
      </c>
      <c r="D7" s="7" t="s">
        <v>373</v>
      </c>
      <c r="E7" s="7" t="s">
        <v>373</v>
      </c>
      <c r="F7" s="7" t="s">
        <v>373</v>
      </c>
      <c r="G7" s="7" t="s">
        <v>373</v>
      </c>
      <c r="H7" s="7" t="s">
        <v>373</v>
      </c>
      <c r="I7" s="7" t="s">
        <v>373</v>
      </c>
      <c r="J7" s="7" t="s">
        <v>373</v>
      </c>
      <c r="K7" s="7" t="s">
        <v>373</v>
      </c>
    </row>
    <row r="8" spans="1:24" ht="14.1" customHeight="1" x14ac:dyDescent="0.2">
      <c r="A8" s="54" t="s">
        <v>3</v>
      </c>
      <c r="B8" s="54" t="s">
        <v>189</v>
      </c>
      <c r="C8" s="370">
        <v>1</v>
      </c>
      <c r="D8" s="370">
        <v>1</v>
      </c>
      <c r="E8" s="370">
        <v>0</v>
      </c>
      <c r="F8" s="370">
        <f>D8+E8</f>
        <v>1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ht="14.1" customHeight="1" x14ac:dyDescent="0.2">
      <c r="A9" s="54" t="s">
        <v>4</v>
      </c>
      <c r="B9" s="54" t="s">
        <v>190</v>
      </c>
      <c r="C9" s="370">
        <v>0</v>
      </c>
      <c r="D9" s="370">
        <v>0</v>
      </c>
      <c r="E9" s="370">
        <v>0</v>
      </c>
      <c r="F9" s="370">
        <f t="shared" ref="F9:F72" si="0">D9+E9</f>
        <v>0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4.1" customHeight="1" x14ac:dyDescent="0.2">
      <c r="A10" s="54" t="s">
        <v>5</v>
      </c>
      <c r="B10" s="54" t="s">
        <v>191</v>
      </c>
      <c r="C10" s="370">
        <v>-33787292</v>
      </c>
      <c r="D10" s="370">
        <v>-33787292</v>
      </c>
      <c r="E10" s="370">
        <v>0</v>
      </c>
      <c r="F10" s="370">
        <f t="shared" si="0"/>
        <v>-33787292</v>
      </c>
      <c r="G10" s="370">
        <v>0</v>
      </c>
      <c r="H10" s="370">
        <v>0</v>
      </c>
      <c r="I10" s="370">
        <v>0</v>
      </c>
      <c r="J10" s="370">
        <v>0</v>
      </c>
      <c r="K10" s="370">
        <v>0</v>
      </c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1:24" ht="14.1" customHeight="1" x14ac:dyDescent="0.2">
      <c r="A11" s="54" t="s">
        <v>6</v>
      </c>
      <c r="B11" s="54" t="s">
        <v>192</v>
      </c>
      <c r="C11" s="370">
        <v>258666</v>
      </c>
      <c r="D11" s="370">
        <v>258666</v>
      </c>
      <c r="E11" s="370">
        <v>0</v>
      </c>
      <c r="F11" s="370">
        <f t="shared" si="0"/>
        <v>258666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24" ht="14.1" customHeight="1" x14ac:dyDescent="0.2">
      <c r="A12" s="54" t="s">
        <v>7</v>
      </c>
      <c r="B12" s="54" t="s">
        <v>193</v>
      </c>
      <c r="C12" s="370">
        <v>0</v>
      </c>
      <c r="D12" s="370">
        <v>0</v>
      </c>
      <c r="E12" s="370">
        <v>0</v>
      </c>
      <c r="F12" s="370">
        <f t="shared" si="0"/>
        <v>0</v>
      </c>
      <c r="G12" s="370">
        <v>0</v>
      </c>
      <c r="H12" s="370">
        <v>0</v>
      </c>
      <c r="I12" s="370">
        <v>0</v>
      </c>
      <c r="J12" s="370">
        <v>0</v>
      </c>
      <c r="K12" s="370">
        <v>0</v>
      </c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24" ht="14.1" customHeight="1" x14ac:dyDescent="0.2">
      <c r="A13" s="54" t="s">
        <v>589</v>
      </c>
      <c r="B13" s="54" t="s">
        <v>590</v>
      </c>
      <c r="C13" s="370">
        <v>0</v>
      </c>
      <c r="D13" s="370">
        <v>0</v>
      </c>
      <c r="E13" s="370">
        <v>0</v>
      </c>
      <c r="F13" s="370">
        <f t="shared" si="0"/>
        <v>0</v>
      </c>
      <c r="G13" s="370">
        <v>0</v>
      </c>
      <c r="H13" s="370">
        <v>0</v>
      </c>
      <c r="I13" s="370">
        <v>0</v>
      </c>
      <c r="J13" s="370">
        <v>0</v>
      </c>
      <c r="K13" s="370">
        <v>0</v>
      </c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</row>
    <row r="14" spans="1:24" ht="14.1" customHeight="1" x14ac:dyDescent="0.2">
      <c r="A14" s="54" t="s">
        <v>8</v>
      </c>
      <c r="B14" s="54" t="s">
        <v>194</v>
      </c>
      <c r="C14" s="370">
        <v>0</v>
      </c>
      <c r="D14" s="370">
        <v>0</v>
      </c>
      <c r="E14" s="370">
        <v>0</v>
      </c>
      <c r="F14" s="370">
        <f t="shared" si="0"/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</row>
    <row r="15" spans="1:24" ht="14.1" customHeight="1" x14ac:dyDescent="0.2">
      <c r="A15" s="54" t="s">
        <v>9</v>
      </c>
      <c r="B15" s="54" t="s">
        <v>195</v>
      </c>
      <c r="C15" s="370">
        <v>1</v>
      </c>
      <c r="D15" s="370">
        <v>1</v>
      </c>
      <c r="E15" s="370">
        <v>0</v>
      </c>
      <c r="F15" s="370">
        <f t="shared" si="0"/>
        <v>1</v>
      </c>
      <c r="G15" s="370">
        <v>0</v>
      </c>
      <c r="H15" s="370">
        <v>0</v>
      </c>
      <c r="I15" s="370">
        <v>0</v>
      </c>
      <c r="J15" s="370">
        <v>0</v>
      </c>
      <c r="K15" s="370">
        <v>0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</row>
    <row r="16" spans="1:24" ht="14.1" customHeight="1" x14ac:dyDescent="0.2">
      <c r="A16" s="54" t="s">
        <v>10</v>
      </c>
      <c r="B16" s="54" t="s">
        <v>196</v>
      </c>
      <c r="C16" s="370">
        <v>0</v>
      </c>
      <c r="D16" s="370">
        <v>0</v>
      </c>
      <c r="E16" s="370">
        <v>0</v>
      </c>
      <c r="F16" s="370">
        <f t="shared" si="0"/>
        <v>0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</row>
    <row r="17" spans="1:24" ht="14.1" customHeight="1" x14ac:dyDescent="0.2">
      <c r="A17" s="54" t="s">
        <v>11</v>
      </c>
      <c r="B17" s="54" t="s">
        <v>197</v>
      </c>
      <c r="C17" s="370">
        <v>49560</v>
      </c>
      <c r="D17" s="370">
        <v>0</v>
      </c>
      <c r="E17" s="370">
        <v>49560</v>
      </c>
      <c r="F17" s="370">
        <f t="shared" si="0"/>
        <v>49560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24" ht="14.1" customHeight="1" x14ac:dyDescent="0.2">
      <c r="A18" s="54" t="s">
        <v>12</v>
      </c>
      <c r="B18" s="54" t="s">
        <v>198</v>
      </c>
      <c r="C18" s="370">
        <v>-1737676</v>
      </c>
      <c r="D18" s="370">
        <v>-1737676</v>
      </c>
      <c r="E18" s="370">
        <v>0</v>
      </c>
      <c r="F18" s="370">
        <f t="shared" si="0"/>
        <v>-1737676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 ht="14.1" customHeight="1" x14ac:dyDescent="0.2">
      <c r="A19" s="54" t="s">
        <v>13</v>
      </c>
      <c r="B19" s="54" t="s">
        <v>199</v>
      </c>
      <c r="C19" s="370">
        <v>33013660</v>
      </c>
      <c r="D19" s="370">
        <v>33013660</v>
      </c>
      <c r="E19" s="370">
        <v>0</v>
      </c>
      <c r="F19" s="370">
        <f t="shared" si="0"/>
        <v>33013660</v>
      </c>
      <c r="G19" s="370">
        <v>0</v>
      </c>
      <c r="H19" s="370">
        <v>0</v>
      </c>
      <c r="I19" s="370">
        <v>0</v>
      </c>
      <c r="J19" s="370">
        <v>0</v>
      </c>
      <c r="K19" s="370">
        <v>0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24" ht="14.1" customHeight="1" x14ac:dyDescent="0.2">
      <c r="A20" s="54" t="s">
        <v>14</v>
      </c>
      <c r="B20" s="54" t="s">
        <v>200</v>
      </c>
      <c r="C20" s="370">
        <v>-193657</v>
      </c>
      <c r="D20" s="370">
        <v>-193657</v>
      </c>
      <c r="E20" s="370">
        <v>0</v>
      </c>
      <c r="F20" s="370">
        <f t="shared" si="0"/>
        <v>-193657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24" ht="14.1" customHeight="1" x14ac:dyDescent="0.2">
      <c r="A21" s="54" t="s">
        <v>15</v>
      </c>
      <c r="B21" s="54" t="s">
        <v>201</v>
      </c>
      <c r="C21" s="370">
        <v>-1208675515</v>
      </c>
      <c r="D21" s="370">
        <v>-1208675515</v>
      </c>
      <c r="E21" s="370">
        <v>0</v>
      </c>
      <c r="F21" s="370">
        <f t="shared" si="0"/>
        <v>-1208675515</v>
      </c>
      <c r="G21" s="370">
        <v>0</v>
      </c>
      <c r="H21" s="370">
        <v>0</v>
      </c>
      <c r="I21" s="370">
        <v>0</v>
      </c>
      <c r="J21" s="370">
        <v>0</v>
      </c>
      <c r="K21" s="370">
        <v>0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4" ht="14.1" customHeight="1" x14ac:dyDescent="0.2">
      <c r="A22" s="54" t="s">
        <v>16</v>
      </c>
      <c r="B22" s="54" t="s">
        <v>202</v>
      </c>
      <c r="C22" s="370">
        <v>0</v>
      </c>
      <c r="D22" s="370">
        <v>0</v>
      </c>
      <c r="E22" s="370">
        <v>0</v>
      </c>
      <c r="F22" s="370">
        <f t="shared" si="0"/>
        <v>0</v>
      </c>
      <c r="G22" s="370">
        <v>0</v>
      </c>
      <c r="H22" s="370">
        <v>0</v>
      </c>
      <c r="I22" s="370">
        <v>0</v>
      </c>
      <c r="J22" s="370">
        <v>0</v>
      </c>
      <c r="K22" s="370">
        <v>0</v>
      </c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4" ht="14.1" customHeight="1" x14ac:dyDescent="0.2">
      <c r="A23" s="54" t="s">
        <v>17</v>
      </c>
      <c r="B23" s="54" t="s">
        <v>203</v>
      </c>
      <c r="C23" s="370">
        <v>0</v>
      </c>
      <c r="D23" s="370">
        <v>0</v>
      </c>
      <c r="E23" s="370">
        <v>0</v>
      </c>
      <c r="F23" s="370">
        <f t="shared" si="0"/>
        <v>0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24" ht="14.1" customHeight="1" x14ac:dyDescent="0.2">
      <c r="A24" s="54" t="s">
        <v>18</v>
      </c>
      <c r="B24" s="54" t="s">
        <v>204</v>
      </c>
      <c r="C24" s="370">
        <v>4526984</v>
      </c>
      <c r="D24" s="370">
        <v>4526984</v>
      </c>
      <c r="E24" s="370">
        <v>0</v>
      </c>
      <c r="F24" s="370">
        <f t="shared" si="0"/>
        <v>4526984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4" ht="14.1" customHeight="1" x14ac:dyDescent="0.2">
      <c r="A25" s="54" t="s">
        <v>19</v>
      </c>
      <c r="B25" s="54" t="s">
        <v>205</v>
      </c>
      <c r="C25" s="370">
        <v>-91533137</v>
      </c>
      <c r="D25" s="370">
        <v>-91533137</v>
      </c>
      <c r="E25" s="370">
        <v>0</v>
      </c>
      <c r="F25" s="370">
        <f t="shared" si="0"/>
        <v>-91533137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 ht="14.1" customHeight="1" x14ac:dyDescent="0.2">
      <c r="A26" s="54" t="s">
        <v>20</v>
      </c>
      <c r="B26" s="54" t="s">
        <v>206</v>
      </c>
      <c r="C26" s="370">
        <v>-146014234</v>
      </c>
      <c r="D26" s="370">
        <v>-146014234</v>
      </c>
      <c r="E26" s="370">
        <v>0</v>
      </c>
      <c r="F26" s="370">
        <f t="shared" si="0"/>
        <v>-146014234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 ht="14.1" customHeight="1" x14ac:dyDescent="0.2">
      <c r="A27" s="54" t="s">
        <v>21</v>
      </c>
      <c r="B27" s="54" t="s">
        <v>207</v>
      </c>
      <c r="C27" s="370">
        <v>46801764</v>
      </c>
      <c r="D27" s="370">
        <v>46801764</v>
      </c>
      <c r="E27" s="370">
        <v>0</v>
      </c>
      <c r="F27" s="370">
        <f t="shared" si="0"/>
        <v>46801764</v>
      </c>
      <c r="G27" s="370">
        <v>0</v>
      </c>
      <c r="H27" s="370">
        <v>0</v>
      </c>
      <c r="I27" s="370">
        <v>0</v>
      </c>
      <c r="J27" s="370">
        <v>0</v>
      </c>
      <c r="K27" s="370">
        <v>0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1:24" ht="14.1" customHeight="1" x14ac:dyDescent="0.2">
      <c r="A28" s="54" t="s">
        <v>22</v>
      </c>
      <c r="B28" s="54" t="s">
        <v>208</v>
      </c>
      <c r="C28" s="370">
        <v>-334607191</v>
      </c>
      <c r="D28" s="370">
        <v>-334607191</v>
      </c>
      <c r="E28" s="370">
        <v>0</v>
      </c>
      <c r="F28" s="370">
        <f t="shared" si="0"/>
        <v>-334607191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4" ht="14.1" customHeight="1" x14ac:dyDescent="0.2">
      <c r="A29" s="54" t="s">
        <v>23</v>
      </c>
      <c r="B29" s="54" t="s">
        <v>209</v>
      </c>
      <c r="C29" s="370">
        <v>-210133794</v>
      </c>
      <c r="D29" s="370">
        <v>-210133794</v>
      </c>
      <c r="E29" s="370">
        <v>0</v>
      </c>
      <c r="F29" s="370">
        <f t="shared" si="0"/>
        <v>-210133794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4" ht="14.1" customHeight="1" x14ac:dyDescent="0.2">
      <c r="A30" s="54" t="s">
        <v>24</v>
      </c>
      <c r="B30" s="54" t="s">
        <v>210</v>
      </c>
      <c r="C30" s="370">
        <v>14074913</v>
      </c>
      <c r="D30" s="370">
        <v>0</v>
      </c>
      <c r="E30" s="370">
        <v>0</v>
      </c>
      <c r="F30" s="370">
        <f t="shared" si="0"/>
        <v>0</v>
      </c>
      <c r="G30" s="370">
        <v>14074913</v>
      </c>
      <c r="H30" s="370">
        <v>0</v>
      </c>
      <c r="I30" s="370">
        <v>0</v>
      </c>
      <c r="J30" s="370">
        <v>0</v>
      </c>
      <c r="K30" s="370">
        <v>0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 ht="14.1" customHeight="1" x14ac:dyDescent="0.2">
      <c r="A31" s="54" t="s">
        <v>25</v>
      </c>
      <c r="B31" s="54" t="s">
        <v>211</v>
      </c>
      <c r="C31" s="370">
        <v>-55767857</v>
      </c>
      <c r="D31" s="370">
        <v>-55767857</v>
      </c>
      <c r="E31" s="370">
        <v>0</v>
      </c>
      <c r="F31" s="370">
        <f t="shared" si="0"/>
        <v>-55767857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 ht="14.1" customHeight="1" x14ac:dyDescent="0.2">
      <c r="A32" s="54" t="s">
        <v>26</v>
      </c>
      <c r="B32" s="54" t="s">
        <v>212</v>
      </c>
      <c r="C32" s="370">
        <v>-35022306</v>
      </c>
      <c r="D32" s="370">
        <v>-35022306</v>
      </c>
      <c r="E32" s="370">
        <v>0</v>
      </c>
      <c r="F32" s="370">
        <f t="shared" si="0"/>
        <v>-35022306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1:24" ht="14.1" customHeight="1" x14ac:dyDescent="0.2">
      <c r="A33" s="54" t="s">
        <v>27</v>
      </c>
      <c r="B33" s="54" t="s">
        <v>213</v>
      </c>
      <c r="C33" s="370">
        <v>1893506</v>
      </c>
      <c r="D33" s="370">
        <v>0</v>
      </c>
      <c r="E33" s="370">
        <v>0</v>
      </c>
      <c r="F33" s="370">
        <f t="shared" si="0"/>
        <v>0</v>
      </c>
      <c r="G33" s="370">
        <v>1893506</v>
      </c>
      <c r="H33" s="370">
        <v>0</v>
      </c>
      <c r="I33" s="370">
        <v>0</v>
      </c>
      <c r="J33" s="370">
        <v>0</v>
      </c>
      <c r="K33" s="370">
        <v>0</v>
      </c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24" ht="14.1" customHeight="1" x14ac:dyDescent="0.2">
      <c r="A34" s="54" t="s">
        <v>28</v>
      </c>
      <c r="B34" s="54" t="s">
        <v>214</v>
      </c>
      <c r="C34" s="370">
        <v>-112422793</v>
      </c>
      <c r="D34" s="370">
        <v>-112422793</v>
      </c>
      <c r="E34" s="370">
        <v>0</v>
      </c>
      <c r="F34" s="370">
        <f t="shared" si="0"/>
        <v>-112422793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1:24" ht="14.1" customHeight="1" x14ac:dyDescent="0.2">
      <c r="A35" s="54" t="s">
        <v>29</v>
      </c>
      <c r="B35" s="54" t="s">
        <v>215</v>
      </c>
      <c r="C35" s="370">
        <v>-401333333</v>
      </c>
      <c r="D35" s="370">
        <v>-401333333</v>
      </c>
      <c r="E35" s="370">
        <v>0</v>
      </c>
      <c r="F35" s="370">
        <f t="shared" si="0"/>
        <v>-401333333</v>
      </c>
      <c r="G35" s="370">
        <v>0</v>
      </c>
      <c r="H35" s="370">
        <v>0</v>
      </c>
      <c r="I35" s="370">
        <v>0</v>
      </c>
      <c r="J35" s="370">
        <v>0</v>
      </c>
      <c r="K35" s="370">
        <v>0</v>
      </c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1:24" ht="14.1" customHeight="1" x14ac:dyDescent="0.2">
      <c r="A36" s="54" t="s">
        <v>30</v>
      </c>
      <c r="B36" s="54" t="s">
        <v>216</v>
      </c>
      <c r="C36" s="370">
        <v>-687448</v>
      </c>
      <c r="D36" s="370">
        <v>-687448</v>
      </c>
      <c r="E36" s="370">
        <v>0</v>
      </c>
      <c r="F36" s="370">
        <f t="shared" si="0"/>
        <v>-687448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spans="1:24" ht="14.1" customHeight="1" x14ac:dyDescent="0.2">
      <c r="A37" s="54" t="s">
        <v>31</v>
      </c>
      <c r="B37" s="54" t="s">
        <v>217</v>
      </c>
      <c r="C37" s="370">
        <v>-1000000000</v>
      </c>
      <c r="D37" s="370">
        <v>-1000000000</v>
      </c>
      <c r="E37" s="370">
        <v>0</v>
      </c>
      <c r="F37" s="370">
        <f t="shared" si="0"/>
        <v>-1000000000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24" ht="14.1" customHeight="1" x14ac:dyDescent="0.2">
      <c r="A38" s="54" t="s">
        <v>32</v>
      </c>
      <c r="B38" s="54" t="s">
        <v>218</v>
      </c>
      <c r="C38" s="370">
        <v>0</v>
      </c>
      <c r="D38" s="370">
        <v>0</v>
      </c>
      <c r="E38" s="370">
        <v>0</v>
      </c>
      <c r="F38" s="370">
        <f t="shared" si="0"/>
        <v>0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</row>
    <row r="39" spans="1:24" ht="14.1" customHeight="1" x14ac:dyDescent="0.2">
      <c r="A39" s="54" t="s">
        <v>33</v>
      </c>
      <c r="B39" s="54" t="s">
        <v>219</v>
      </c>
      <c r="C39" s="370">
        <v>2533098</v>
      </c>
      <c r="D39" s="370">
        <v>2533098</v>
      </c>
      <c r="E39" s="370">
        <v>0</v>
      </c>
      <c r="F39" s="370">
        <f t="shared" si="0"/>
        <v>2533098</v>
      </c>
      <c r="G39" s="370">
        <v>0</v>
      </c>
      <c r="H39" s="370">
        <v>0</v>
      </c>
      <c r="I39" s="370">
        <v>0</v>
      </c>
      <c r="J39" s="370">
        <v>0</v>
      </c>
      <c r="K39" s="370">
        <v>0</v>
      </c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4" ht="14.1" customHeight="1" x14ac:dyDescent="0.2">
      <c r="A40" s="54" t="s">
        <v>34</v>
      </c>
      <c r="B40" s="54" t="s">
        <v>220</v>
      </c>
      <c r="C40" s="370">
        <v>0</v>
      </c>
      <c r="D40" s="370">
        <v>0</v>
      </c>
      <c r="E40" s="370">
        <v>0</v>
      </c>
      <c r="F40" s="370">
        <f t="shared" si="0"/>
        <v>0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</row>
    <row r="41" spans="1:24" ht="14.1" customHeight="1" x14ac:dyDescent="0.2">
      <c r="A41" s="54" t="s">
        <v>35</v>
      </c>
      <c r="B41" s="54" t="s">
        <v>221</v>
      </c>
      <c r="C41" s="370">
        <v>51177809</v>
      </c>
      <c r="D41" s="370">
        <v>51177809</v>
      </c>
      <c r="E41" s="370">
        <v>0</v>
      </c>
      <c r="F41" s="370">
        <f t="shared" si="0"/>
        <v>51177809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</row>
    <row r="42" spans="1:24" ht="14.1" customHeight="1" x14ac:dyDescent="0.2">
      <c r="A42" s="54" t="s">
        <v>36</v>
      </c>
      <c r="B42" s="54" t="s">
        <v>222</v>
      </c>
      <c r="C42" s="370">
        <v>661</v>
      </c>
      <c r="D42" s="370">
        <v>0</v>
      </c>
      <c r="E42" s="370">
        <v>661</v>
      </c>
      <c r="F42" s="370">
        <f t="shared" si="0"/>
        <v>661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4" ht="14.1" customHeight="1" x14ac:dyDescent="0.2">
      <c r="A43" s="54" t="s">
        <v>37</v>
      </c>
      <c r="B43" s="54" t="s">
        <v>223</v>
      </c>
      <c r="C43" s="370">
        <v>0</v>
      </c>
      <c r="D43" s="370">
        <v>0</v>
      </c>
      <c r="E43" s="370">
        <v>0</v>
      </c>
      <c r="F43" s="370">
        <f t="shared" si="0"/>
        <v>0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</row>
    <row r="44" spans="1:24" ht="14.1" customHeight="1" x14ac:dyDescent="0.2">
      <c r="A44" s="54" t="s">
        <v>38</v>
      </c>
      <c r="B44" s="54" t="s">
        <v>224</v>
      </c>
      <c r="C44" s="370">
        <v>-1812112</v>
      </c>
      <c r="D44" s="370">
        <v>-1812112</v>
      </c>
      <c r="E44" s="370">
        <v>0</v>
      </c>
      <c r="F44" s="370">
        <f t="shared" si="0"/>
        <v>-1812112</v>
      </c>
      <c r="G44" s="370">
        <v>0</v>
      </c>
      <c r="H44" s="370">
        <v>0</v>
      </c>
      <c r="I44" s="370">
        <v>0</v>
      </c>
      <c r="J44" s="370">
        <v>0</v>
      </c>
      <c r="K44" s="370">
        <v>0</v>
      </c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4" ht="14.1" customHeight="1" x14ac:dyDescent="0.2">
      <c r="A45" s="54" t="s">
        <v>39</v>
      </c>
      <c r="B45" s="54" t="s">
        <v>225</v>
      </c>
      <c r="C45" s="370">
        <v>-2519917</v>
      </c>
      <c r="D45" s="370">
        <v>-2519917</v>
      </c>
      <c r="E45" s="370">
        <v>0</v>
      </c>
      <c r="F45" s="370">
        <f t="shared" si="0"/>
        <v>-2519917</v>
      </c>
      <c r="G45" s="370">
        <v>0</v>
      </c>
      <c r="H45" s="370">
        <v>0</v>
      </c>
      <c r="I45" s="370">
        <v>0</v>
      </c>
      <c r="J45" s="370">
        <v>0</v>
      </c>
      <c r="K45" s="370">
        <v>0</v>
      </c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</row>
    <row r="46" spans="1:24" ht="14.1" customHeight="1" x14ac:dyDescent="0.2">
      <c r="A46" s="54" t="s">
        <v>40</v>
      </c>
      <c r="B46" s="54" t="s">
        <v>226</v>
      </c>
      <c r="C46" s="370">
        <v>-92180381</v>
      </c>
      <c r="D46" s="370">
        <v>-92180381</v>
      </c>
      <c r="E46" s="370">
        <v>0</v>
      </c>
      <c r="F46" s="370">
        <f t="shared" si="0"/>
        <v>-92180381</v>
      </c>
      <c r="G46" s="370">
        <v>0</v>
      </c>
      <c r="H46" s="370">
        <v>0</v>
      </c>
      <c r="I46" s="370">
        <v>0</v>
      </c>
      <c r="J46" s="370">
        <v>0</v>
      </c>
      <c r="K46" s="370">
        <v>0</v>
      </c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</row>
    <row r="47" spans="1:24" ht="14.1" customHeight="1" x14ac:dyDescent="0.2">
      <c r="A47" s="54" t="s">
        <v>41</v>
      </c>
      <c r="B47" s="54" t="s">
        <v>227</v>
      </c>
      <c r="C47" s="370">
        <v>1620377</v>
      </c>
      <c r="D47" s="370">
        <v>1620377</v>
      </c>
      <c r="E47" s="370">
        <v>0</v>
      </c>
      <c r="F47" s="370">
        <f t="shared" si="0"/>
        <v>1620377</v>
      </c>
      <c r="G47" s="370">
        <v>0</v>
      </c>
      <c r="H47" s="370">
        <v>0</v>
      </c>
      <c r="I47" s="370">
        <v>0</v>
      </c>
      <c r="J47" s="370">
        <v>0</v>
      </c>
      <c r="K47" s="370">
        <v>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</row>
    <row r="48" spans="1:24" ht="14.1" customHeight="1" x14ac:dyDescent="0.2">
      <c r="A48" s="54" t="s">
        <v>42</v>
      </c>
      <c r="B48" s="54" t="s">
        <v>228</v>
      </c>
      <c r="C48" s="370">
        <v>356332180</v>
      </c>
      <c r="D48" s="370">
        <v>356332180</v>
      </c>
      <c r="E48" s="370">
        <v>0</v>
      </c>
      <c r="F48" s="370">
        <f t="shared" si="0"/>
        <v>356332180</v>
      </c>
      <c r="G48" s="370">
        <v>0</v>
      </c>
      <c r="H48" s="370">
        <v>0</v>
      </c>
      <c r="I48" s="370">
        <v>0</v>
      </c>
      <c r="J48" s="370">
        <v>0</v>
      </c>
      <c r="K48" s="370">
        <v>0</v>
      </c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</row>
    <row r="49" spans="1:24" ht="14.1" customHeight="1" x14ac:dyDescent="0.2">
      <c r="A49" s="54" t="s">
        <v>43</v>
      </c>
      <c r="B49" s="54" t="s">
        <v>229</v>
      </c>
      <c r="C49" s="370">
        <v>711184357</v>
      </c>
      <c r="D49" s="370">
        <v>-2</v>
      </c>
      <c r="E49" s="370">
        <v>711184359</v>
      </c>
      <c r="F49" s="370">
        <f t="shared" si="0"/>
        <v>711184357</v>
      </c>
      <c r="G49" s="370">
        <v>0</v>
      </c>
      <c r="H49" s="370">
        <v>0</v>
      </c>
      <c r="I49" s="370">
        <v>0</v>
      </c>
      <c r="J49" s="370">
        <v>0</v>
      </c>
      <c r="K49" s="370">
        <v>0</v>
      </c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spans="1:24" ht="14.1" customHeight="1" x14ac:dyDescent="0.2">
      <c r="A50" s="54" t="s">
        <v>44</v>
      </c>
      <c r="B50" s="54" t="s">
        <v>230</v>
      </c>
      <c r="C50" s="370">
        <v>-2</v>
      </c>
      <c r="D50" s="370">
        <v>-2</v>
      </c>
      <c r="E50" s="370">
        <v>0</v>
      </c>
      <c r="F50" s="370">
        <f t="shared" si="0"/>
        <v>-2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 spans="1:24" ht="14.1" customHeight="1" x14ac:dyDescent="0.2">
      <c r="A51" s="54" t="s">
        <v>45</v>
      </c>
      <c r="B51" s="54" t="s">
        <v>231</v>
      </c>
      <c r="C51" s="370">
        <v>-760680003</v>
      </c>
      <c r="D51" s="370">
        <v>-1184329452</v>
      </c>
      <c r="E51" s="370">
        <v>-63831</v>
      </c>
      <c r="F51" s="370">
        <f t="shared" si="0"/>
        <v>-1184393283</v>
      </c>
      <c r="G51" s="370">
        <v>-10855470</v>
      </c>
      <c r="H51" s="370">
        <v>434568750</v>
      </c>
      <c r="I51" s="370">
        <v>0</v>
      </c>
      <c r="J51" s="370">
        <v>0</v>
      </c>
      <c r="K51" s="370">
        <v>0</v>
      </c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</row>
    <row r="52" spans="1:24" ht="14.1" customHeight="1" x14ac:dyDescent="0.2">
      <c r="A52" s="54" t="s">
        <v>46</v>
      </c>
      <c r="B52" s="54" t="s">
        <v>232</v>
      </c>
      <c r="C52" s="370">
        <v>365361054</v>
      </c>
      <c r="D52" s="370">
        <v>370901893</v>
      </c>
      <c r="E52" s="370">
        <v>0</v>
      </c>
      <c r="F52" s="370">
        <f t="shared" si="0"/>
        <v>370901893</v>
      </c>
      <c r="G52" s="370">
        <v>-5540839</v>
      </c>
      <c r="H52" s="370">
        <v>0</v>
      </c>
      <c r="I52" s="370">
        <v>0</v>
      </c>
      <c r="J52" s="370">
        <v>0</v>
      </c>
      <c r="K52" s="370">
        <v>0</v>
      </c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</row>
    <row r="53" spans="1:24" ht="14.1" customHeight="1" x14ac:dyDescent="0.2">
      <c r="A53" s="54" t="s">
        <v>47</v>
      </c>
      <c r="B53" s="54" t="s">
        <v>233</v>
      </c>
      <c r="C53" s="370">
        <v>2134862495</v>
      </c>
      <c r="D53" s="370">
        <v>2134862495</v>
      </c>
      <c r="E53" s="370">
        <v>0</v>
      </c>
      <c r="F53" s="370">
        <f t="shared" si="0"/>
        <v>2134862495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 spans="1:24" ht="14.1" customHeight="1" x14ac:dyDescent="0.2">
      <c r="A54" s="54" t="s">
        <v>48</v>
      </c>
      <c r="B54" s="54" t="s">
        <v>234</v>
      </c>
      <c r="C54" s="370">
        <v>-59841401</v>
      </c>
      <c r="D54" s="370">
        <v>-59841401</v>
      </c>
      <c r="E54" s="370">
        <v>0</v>
      </c>
      <c r="F54" s="370">
        <f t="shared" si="0"/>
        <v>-59841401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</row>
    <row r="55" spans="1:24" ht="14.1" customHeight="1" x14ac:dyDescent="0.2">
      <c r="A55" s="54" t="s">
        <v>49</v>
      </c>
      <c r="B55" s="54" t="s">
        <v>235</v>
      </c>
      <c r="C55" s="370">
        <v>6779781</v>
      </c>
      <c r="D55" s="370">
        <v>6779781</v>
      </c>
      <c r="E55" s="370">
        <v>0</v>
      </c>
      <c r="F55" s="370">
        <f t="shared" si="0"/>
        <v>6779781</v>
      </c>
      <c r="G55" s="370">
        <v>0</v>
      </c>
      <c r="H55" s="370">
        <v>0</v>
      </c>
      <c r="I55" s="370">
        <v>0</v>
      </c>
      <c r="J55" s="370">
        <v>0</v>
      </c>
      <c r="K55" s="370">
        <v>0</v>
      </c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</row>
    <row r="56" spans="1:24" ht="14.1" customHeight="1" x14ac:dyDescent="0.2">
      <c r="A56" s="54" t="s">
        <v>50</v>
      </c>
      <c r="B56" s="54" t="s">
        <v>236</v>
      </c>
      <c r="C56" s="370">
        <v>0</v>
      </c>
      <c r="D56" s="370">
        <v>0</v>
      </c>
      <c r="E56" s="370">
        <v>0</v>
      </c>
      <c r="F56" s="370">
        <f t="shared" si="0"/>
        <v>0</v>
      </c>
      <c r="G56" s="370">
        <v>0</v>
      </c>
      <c r="H56" s="370">
        <v>0</v>
      </c>
      <c r="I56" s="370">
        <v>0</v>
      </c>
      <c r="J56" s="370">
        <v>0</v>
      </c>
      <c r="K56" s="370">
        <v>0</v>
      </c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24" ht="14.1" customHeight="1" x14ac:dyDescent="0.2">
      <c r="A57" s="54" t="s">
        <v>51</v>
      </c>
      <c r="B57" s="54" t="s">
        <v>237</v>
      </c>
      <c r="C57" s="370">
        <v>0</v>
      </c>
      <c r="D57" s="370">
        <v>0</v>
      </c>
      <c r="E57" s="370">
        <v>0</v>
      </c>
      <c r="F57" s="370">
        <f t="shared" si="0"/>
        <v>0</v>
      </c>
      <c r="G57" s="370">
        <v>0</v>
      </c>
      <c r="H57" s="370">
        <v>0</v>
      </c>
      <c r="I57" s="370">
        <v>0</v>
      </c>
      <c r="J57" s="370">
        <v>0</v>
      </c>
      <c r="K57" s="370">
        <v>0</v>
      </c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24" ht="14.1" customHeight="1" x14ac:dyDescent="0.2">
      <c r="A58" s="54" t="s">
        <v>52</v>
      </c>
      <c r="B58" s="54" t="s">
        <v>238</v>
      </c>
      <c r="C58" s="370">
        <v>0</v>
      </c>
      <c r="D58" s="370">
        <v>0</v>
      </c>
      <c r="E58" s="370">
        <v>0</v>
      </c>
      <c r="F58" s="370">
        <f t="shared" si="0"/>
        <v>0</v>
      </c>
      <c r="G58" s="370">
        <v>0</v>
      </c>
      <c r="H58" s="370">
        <v>0</v>
      </c>
      <c r="I58" s="370">
        <v>0</v>
      </c>
      <c r="J58" s="370">
        <v>0</v>
      </c>
      <c r="K58" s="370">
        <v>0</v>
      </c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  <row r="59" spans="1:24" ht="14.1" customHeight="1" x14ac:dyDescent="0.2">
      <c r="A59" s="54" t="s">
        <v>53</v>
      </c>
      <c r="B59" s="54" t="s">
        <v>239</v>
      </c>
      <c r="C59" s="370">
        <v>0</v>
      </c>
      <c r="D59" s="370">
        <v>0</v>
      </c>
      <c r="E59" s="370">
        <v>0</v>
      </c>
      <c r="F59" s="370">
        <f t="shared" si="0"/>
        <v>0</v>
      </c>
      <c r="G59" s="370">
        <v>0</v>
      </c>
      <c r="H59" s="370">
        <v>0</v>
      </c>
      <c r="I59" s="370">
        <v>0</v>
      </c>
      <c r="J59" s="370">
        <v>0</v>
      </c>
      <c r="K59" s="370">
        <v>0</v>
      </c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</row>
    <row r="60" spans="1:24" ht="14.1" customHeight="1" x14ac:dyDescent="0.2">
      <c r="A60" s="54" t="s">
        <v>54</v>
      </c>
      <c r="B60" s="54" t="s">
        <v>240</v>
      </c>
      <c r="C60" s="370">
        <v>0</v>
      </c>
      <c r="D60" s="370">
        <v>0</v>
      </c>
      <c r="E60" s="370">
        <v>0</v>
      </c>
      <c r="F60" s="370">
        <f t="shared" si="0"/>
        <v>0</v>
      </c>
      <c r="G60" s="370">
        <v>0</v>
      </c>
      <c r="H60" s="370">
        <v>0</v>
      </c>
      <c r="I60" s="370">
        <v>0</v>
      </c>
      <c r="J60" s="370">
        <v>0</v>
      </c>
      <c r="K60" s="370">
        <v>0</v>
      </c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</row>
    <row r="61" spans="1:24" ht="14.1" customHeight="1" x14ac:dyDescent="0.2">
      <c r="A61" s="54" t="s">
        <v>55</v>
      </c>
      <c r="B61" s="54" t="s">
        <v>241</v>
      </c>
      <c r="C61" s="370">
        <v>0</v>
      </c>
      <c r="D61" s="370">
        <v>0</v>
      </c>
      <c r="E61" s="370">
        <v>0</v>
      </c>
      <c r="F61" s="370">
        <f t="shared" si="0"/>
        <v>0</v>
      </c>
      <c r="G61" s="370">
        <v>0</v>
      </c>
      <c r="H61" s="370">
        <v>0</v>
      </c>
      <c r="I61" s="370">
        <v>0</v>
      </c>
      <c r="J61" s="370">
        <v>0</v>
      </c>
      <c r="K61" s="370">
        <v>0</v>
      </c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</row>
    <row r="62" spans="1:24" ht="14.1" customHeight="1" x14ac:dyDescent="0.2">
      <c r="A62" s="54" t="s">
        <v>56</v>
      </c>
      <c r="B62" s="54" t="s">
        <v>242</v>
      </c>
      <c r="C62" s="370">
        <v>-1385050802</v>
      </c>
      <c r="D62" s="370">
        <v>-1384603982</v>
      </c>
      <c r="E62" s="370">
        <v>-446820</v>
      </c>
      <c r="F62" s="370">
        <f t="shared" si="0"/>
        <v>-1385050802</v>
      </c>
      <c r="G62" s="370">
        <v>0</v>
      </c>
      <c r="H62" s="370">
        <v>0</v>
      </c>
      <c r="I62" s="370">
        <v>0</v>
      </c>
      <c r="J62" s="370">
        <v>0</v>
      </c>
      <c r="K62" s="370">
        <v>0</v>
      </c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</row>
    <row r="63" spans="1:24" ht="14.1" customHeight="1" x14ac:dyDescent="0.2">
      <c r="A63" s="54" t="s">
        <v>57</v>
      </c>
      <c r="B63" s="54" t="s">
        <v>243</v>
      </c>
      <c r="C63" s="370">
        <v>87006154</v>
      </c>
      <c r="D63" s="370">
        <v>87006154</v>
      </c>
      <c r="E63" s="370">
        <v>0</v>
      </c>
      <c r="F63" s="370">
        <f t="shared" si="0"/>
        <v>87006154</v>
      </c>
      <c r="G63" s="370">
        <v>0</v>
      </c>
      <c r="H63" s="370">
        <v>0</v>
      </c>
      <c r="I63" s="370">
        <v>0</v>
      </c>
      <c r="J63" s="370">
        <v>0</v>
      </c>
      <c r="K63" s="370">
        <v>0</v>
      </c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</row>
    <row r="64" spans="1:24" ht="14.1" customHeight="1" x14ac:dyDescent="0.2">
      <c r="A64" s="54" t="s">
        <v>58</v>
      </c>
      <c r="B64" s="54" t="s">
        <v>244</v>
      </c>
      <c r="C64" s="370">
        <v>-3497935</v>
      </c>
      <c r="D64" s="370">
        <v>-3497935</v>
      </c>
      <c r="E64" s="370">
        <v>0</v>
      </c>
      <c r="F64" s="370">
        <f t="shared" si="0"/>
        <v>-3497935</v>
      </c>
      <c r="G64" s="370">
        <v>0</v>
      </c>
      <c r="H64" s="370">
        <v>0</v>
      </c>
      <c r="I64" s="370">
        <v>0</v>
      </c>
      <c r="J64" s="370">
        <v>0</v>
      </c>
      <c r="K64" s="370">
        <v>0</v>
      </c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</row>
    <row r="65" spans="1:24" ht="14.1" customHeight="1" x14ac:dyDescent="0.2">
      <c r="A65" s="54" t="s">
        <v>59</v>
      </c>
      <c r="B65" s="54" t="s">
        <v>245</v>
      </c>
      <c r="C65" s="370">
        <v>-2524080</v>
      </c>
      <c r="D65" s="370">
        <v>-2524080</v>
      </c>
      <c r="E65" s="370">
        <v>0</v>
      </c>
      <c r="F65" s="370">
        <f t="shared" si="0"/>
        <v>-2524080</v>
      </c>
      <c r="G65" s="370">
        <v>0</v>
      </c>
      <c r="H65" s="370">
        <v>0</v>
      </c>
      <c r="I65" s="370">
        <v>0</v>
      </c>
      <c r="J65" s="370">
        <v>0</v>
      </c>
      <c r="K65" s="370">
        <v>0</v>
      </c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</row>
    <row r="66" spans="1:24" ht="14.1" customHeight="1" x14ac:dyDescent="0.2">
      <c r="A66" s="54" t="s">
        <v>462</v>
      </c>
      <c r="B66" s="54" t="s">
        <v>461</v>
      </c>
      <c r="C66" s="370">
        <v>101066</v>
      </c>
      <c r="D66" s="370">
        <v>0</v>
      </c>
      <c r="E66" s="370">
        <v>101066</v>
      </c>
      <c r="F66" s="370">
        <f t="shared" si="0"/>
        <v>101066</v>
      </c>
      <c r="G66" s="370">
        <v>0</v>
      </c>
      <c r="H66" s="370">
        <v>0</v>
      </c>
      <c r="I66" s="370">
        <v>0</v>
      </c>
      <c r="J66" s="370">
        <v>0</v>
      </c>
      <c r="K66" s="370">
        <v>0</v>
      </c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</row>
    <row r="67" spans="1:24" ht="14.1" customHeight="1" x14ac:dyDescent="0.2">
      <c r="A67" s="54" t="s">
        <v>456</v>
      </c>
      <c r="B67" s="54" t="s">
        <v>455</v>
      </c>
      <c r="C67" s="370">
        <v>-21004256712</v>
      </c>
      <c r="D67" s="370">
        <v>-21004256712</v>
      </c>
      <c r="E67" s="370">
        <v>0</v>
      </c>
      <c r="F67" s="370">
        <f t="shared" si="0"/>
        <v>-21004256712</v>
      </c>
      <c r="G67" s="370">
        <v>0</v>
      </c>
      <c r="H67" s="370">
        <v>0</v>
      </c>
      <c r="I67" s="370">
        <v>0</v>
      </c>
      <c r="J67" s="370">
        <v>0</v>
      </c>
      <c r="K67" s="370">
        <v>0</v>
      </c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</row>
    <row r="68" spans="1:24" ht="14.1" customHeight="1" x14ac:dyDescent="0.2">
      <c r="A68" s="54" t="s">
        <v>60</v>
      </c>
      <c r="B68" s="54" t="s">
        <v>246</v>
      </c>
      <c r="C68" s="370">
        <v>10885315</v>
      </c>
      <c r="D68" s="370">
        <v>0</v>
      </c>
      <c r="E68" s="370">
        <v>0</v>
      </c>
      <c r="F68" s="370">
        <f t="shared" si="0"/>
        <v>0</v>
      </c>
      <c r="G68" s="370">
        <v>0</v>
      </c>
      <c r="H68" s="370">
        <v>10885315</v>
      </c>
      <c r="I68" s="370">
        <v>0</v>
      </c>
      <c r="J68" s="370">
        <v>0</v>
      </c>
      <c r="K68" s="370">
        <v>0</v>
      </c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</row>
    <row r="69" spans="1:24" ht="14.1" customHeight="1" x14ac:dyDescent="0.2">
      <c r="A69" s="54" t="s">
        <v>61</v>
      </c>
      <c r="B69" s="54" t="s">
        <v>247</v>
      </c>
      <c r="C69" s="370">
        <v>-10885315</v>
      </c>
      <c r="D69" s="370">
        <v>0</v>
      </c>
      <c r="E69" s="370">
        <v>0</v>
      </c>
      <c r="F69" s="370">
        <f t="shared" si="0"/>
        <v>0</v>
      </c>
      <c r="G69" s="370">
        <v>0</v>
      </c>
      <c r="H69" s="370">
        <v>-10885315</v>
      </c>
      <c r="I69" s="370">
        <v>0</v>
      </c>
      <c r="J69" s="370">
        <v>0</v>
      </c>
      <c r="K69" s="370">
        <v>0</v>
      </c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</row>
    <row r="70" spans="1:24" ht="14.1" customHeight="1" x14ac:dyDescent="0.2">
      <c r="A70" s="54" t="s">
        <v>62</v>
      </c>
      <c r="B70" s="54" t="s">
        <v>248</v>
      </c>
      <c r="C70" s="370">
        <v>0</v>
      </c>
      <c r="D70" s="370">
        <v>0</v>
      </c>
      <c r="E70" s="370">
        <v>0</v>
      </c>
      <c r="F70" s="370">
        <f t="shared" si="0"/>
        <v>0</v>
      </c>
      <c r="G70" s="370">
        <v>0</v>
      </c>
      <c r="H70" s="370">
        <v>0</v>
      </c>
      <c r="I70" s="370">
        <v>0</v>
      </c>
      <c r="J70" s="370">
        <v>0</v>
      </c>
      <c r="K70" s="370">
        <v>0</v>
      </c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</row>
    <row r="71" spans="1:24" ht="14.1" customHeight="1" x14ac:dyDescent="0.2">
      <c r="A71" s="54" t="s">
        <v>63</v>
      </c>
      <c r="B71" s="54" t="s">
        <v>249</v>
      </c>
      <c r="C71" s="370">
        <v>0</v>
      </c>
      <c r="D71" s="370">
        <v>0</v>
      </c>
      <c r="E71" s="370">
        <v>0</v>
      </c>
      <c r="F71" s="370">
        <f t="shared" si="0"/>
        <v>0</v>
      </c>
      <c r="G71" s="370">
        <v>0</v>
      </c>
      <c r="H71" s="370">
        <v>0</v>
      </c>
      <c r="I71" s="370">
        <v>0</v>
      </c>
      <c r="J71" s="370">
        <v>0</v>
      </c>
      <c r="K71" s="370">
        <v>0</v>
      </c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</row>
    <row r="72" spans="1:24" ht="14.1" customHeight="1" x14ac:dyDescent="0.2">
      <c r="A72" s="54" t="s">
        <v>64</v>
      </c>
      <c r="B72" s="54" t="s">
        <v>250</v>
      </c>
      <c r="C72" s="370">
        <v>0</v>
      </c>
      <c r="D72" s="370">
        <v>0</v>
      </c>
      <c r="E72" s="370">
        <v>0</v>
      </c>
      <c r="F72" s="370">
        <f t="shared" si="0"/>
        <v>0</v>
      </c>
      <c r="G72" s="370">
        <v>0</v>
      </c>
      <c r="H72" s="370">
        <v>0</v>
      </c>
      <c r="I72" s="370">
        <v>0</v>
      </c>
      <c r="J72" s="370">
        <v>0</v>
      </c>
      <c r="K72" s="370">
        <v>0</v>
      </c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</row>
    <row r="73" spans="1:24" ht="14.1" customHeight="1" x14ac:dyDescent="0.2">
      <c r="A73" s="54" t="s">
        <v>65</v>
      </c>
      <c r="B73" s="54" t="s">
        <v>251</v>
      </c>
      <c r="C73" s="370">
        <v>0</v>
      </c>
      <c r="D73" s="370">
        <v>0</v>
      </c>
      <c r="E73" s="370">
        <v>0</v>
      </c>
      <c r="F73" s="370">
        <f t="shared" ref="F73:F87" si="1">D73+E73</f>
        <v>0</v>
      </c>
      <c r="G73" s="370">
        <v>0</v>
      </c>
      <c r="H73" s="370">
        <v>0</v>
      </c>
      <c r="I73" s="370">
        <v>0</v>
      </c>
      <c r="J73" s="370">
        <v>0</v>
      </c>
      <c r="K73" s="370">
        <v>0</v>
      </c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</row>
    <row r="74" spans="1:24" ht="14.1" customHeight="1" x14ac:dyDescent="0.2">
      <c r="A74" s="54" t="s">
        <v>66</v>
      </c>
      <c r="B74" s="54" t="s">
        <v>252</v>
      </c>
      <c r="C74" s="370">
        <v>0</v>
      </c>
      <c r="D74" s="370">
        <v>0</v>
      </c>
      <c r="E74" s="370">
        <v>0</v>
      </c>
      <c r="F74" s="370">
        <f t="shared" si="1"/>
        <v>0</v>
      </c>
      <c r="G74" s="370">
        <v>0</v>
      </c>
      <c r="H74" s="370">
        <v>0</v>
      </c>
      <c r="I74" s="370">
        <v>0</v>
      </c>
      <c r="J74" s="370">
        <v>0</v>
      </c>
      <c r="K74" s="370">
        <v>0</v>
      </c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</row>
    <row r="75" spans="1:24" ht="14.1" customHeight="1" x14ac:dyDescent="0.2">
      <c r="A75" s="54" t="s">
        <v>67</v>
      </c>
      <c r="B75" s="54" t="s">
        <v>253</v>
      </c>
      <c r="C75" s="370">
        <v>0</v>
      </c>
      <c r="D75" s="370">
        <v>0</v>
      </c>
      <c r="E75" s="370">
        <v>0</v>
      </c>
      <c r="F75" s="370">
        <f t="shared" si="1"/>
        <v>0</v>
      </c>
      <c r="G75" s="370">
        <v>0</v>
      </c>
      <c r="H75" s="370">
        <v>0</v>
      </c>
      <c r="I75" s="370">
        <v>0</v>
      </c>
      <c r="J75" s="370">
        <v>0</v>
      </c>
      <c r="K75" s="370">
        <v>0</v>
      </c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</row>
    <row r="76" spans="1:24" ht="14.1" customHeight="1" x14ac:dyDescent="0.2">
      <c r="A76" s="54" t="s">
        <v>68</v>
      </c>
      <c r="B76" s="54" t="s">
        <v>254</v>
      </c>
      <c r="C76" s="370">
        <v>0</v>
      </c>
      <c r="D76" s="370">
        <v>0</v>
      </c>
      <c r="E76" s="370">
        <v>0</v>
      </c>
      <c r="F76" s="370">
        <f t="shared" si="1"/>
        <v>0</v>
      </c>
      <c r="G76" s="370">
        <v>0</v>
      </c>
      <c r="H76" s="370">
        <v>0</v>
      </c>
      <c r="I76" s="370">
        <v>0</v>
      </c>
      <c r="J76" s="370">
        <v>0</v>
      </c>
      <c r="K76" s="370">
        <v>0</v>
      </c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</row>
    <row r="77" spans="1:24" ht="14.1" customHeight="1" x14ac:dyDescent="0.2">
      <c r="A77" s="54" t="s">
        <v>69</v>
      </c>
      <c r="B77" s="54" t="s">
        <v>255</v>
      </c>
      <c r="C77" s="370">
        <v>0</v>
      </c>
      <c r="D77" s="370">
        <v>0</v>
      </c>
      <c r="E77" s="370">
        <v>0</v>
      </c>
      <c r="F77" s="370">
        <f t="shared" si="1"/>
        <v>0</v>
      </c>
      <c r="G77" s="370">
        <v>0</v>
      </c>
      <c r="H77" s="370">
        <v>0</v>
      </c>
      <c r="I77" s="370">
        <v>0</v>
      </c>
      <c r="J77" s="370">
        <v>0</v>
      </c>
      <c r="K77" s="370">
        <v>0</v>
      </c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</row>
    <row r="78" spans="1:24" ht="14.1" customHeight="1" x14ac:dyDescent="0.2">
      <c r="A78" s="54" t="s">
        <v>70</v>
      </c>
      <c r="B78" s="54" t="s">
        <v>256</v>
      </c>
      <c r="C78" s="370">
        <v>0</v>
      </c>
      <c r="D78" s="370">
        <v>0</v>
      </c>
      <c r="E78" s="370">
        <v>0</v>
      </c>
      <c r="F78" s="370">
        <f t="shared" si="1"/>
        <v>0</v>
      </c>
      <c r="G78" s="370">
        <v>0</v>
      </c>
      <c r="H78" s="370">
        <v>0</v>
      </c>
      <c r="I78" s="370">
        <v>0</v>
      </c>
      <c r="J78" s="370">
        <v>0</v>
      </c>
      <c r="K78" s="370">
        <v>0</v>
      </c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</row>
    <row r="79" spans="1:24" ht="14.1" customHeight="1" x14ac:dyDescent="0.2">
      <c r="A79" s="54" t="s">
        <v>71</v>
      </c>
      <c r="B79" s="54" t="s">
        <v>257</v>
      </c>
      <c r="C79" s="370">
        <v>0</v>
      </c>
      <c r="D79" s="370">
        <v>0</v>
      </c>
      <c r="E79" s="370">
        <v>0</v>
      </c>
      <c r="F79" s="370">
        <f t="shared" si="1"/>
        <v>0</v>
      </c>
      <c r="G79" s="370">
        <v>0</v>
      </c>
      <c r="H79" s="370">
        <v>0</v>
      </c>
      <c r="I79" s="370">
        <v>0</v>
      </c>
      <c r="J79" s="370">
        <v>0</v>
      </c>
      <c r="K79" s="370">
        <v>0</v>
      </c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</row>
    <row r="80" spans="1:24" ht="14.1" customHeight="1" x14ac:dyDescent="0.2">
      <c r="A80" s="54" t="s">
        <v>72</v>
      </c>
      <c r="B80" s="54" t="s">
        <v>258</v>
      </c>
      <c r="C80" s="370">
        <v>0</v>
      </c>
      <c r="D80" s="370">
        <v>0</v>
      </c>
      <c r="E80" s="370">
        <v>0</v>
      </c>
      <c r="F80" s="370">
        <f t="shared" si="1"/>
        <v>0</v>
      </c>
      <c r="G80" s="370">
        <v>0</v>
      </c>
      <c r="H80" s="370">
        <v>0</v>
      </c>
      <c r="I80" s="370">
        <v>0</v>
      </c>
      <c r="J80" s="370">
        <v>0</v>
      </c>
      <c r="K80" s="370">
        <v>0</v>
      </c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</row>
    <row r="81" spans="1:24" ht="14.1" customHeight="1" x14ac:dyDescent="0.2">
      <c r="A81" s="54" t="s">
        <v>73</v>
      </c>
      <c r="B81" s="54" t="s">
        <v>259</v>
      </c>
      <c r="C81" s="370">
        <v>0</v>
      </c>
      <c r="D81" s="370">
        <v>0</v>
      </c>
      <c r="E81" s="370">
        <v>0</v>
      </c>
      <c r="F81" s="370">
        <f t="shared" si="1"/>
        <v>0</v>
      </c>
      <c r="G81" s="370">
        <v>0</v>
      </c>
      <c r="H81" s="370">
        <v>0</v>
      </c>
      <c r="I81" s="370">
        <v>0</v>
      </c>
      <c r="J81" s="370">
        <v>0</v>
      </c>
      <c r="K81" s="370">
        <v>0</v>
      </c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</row>
    <row r="82" spans="1:24" ht="14.1" customHeight="1" x14ac:dyDescent="0.2">
      <c r="A82" s="54" t="s">
        <v>74</v>
      </c>
      <c r="B82" s="54" t="s">
        <v>260</v>
      </c>
      <c r="C82" s="370">
        <v>0</v>
      </c>
      <c r="D82" s="370">
        <v>0</v>
      </c>
      <c r="E82" s="370">
        <v>0</v>
      </c>
      <c r="F82" s="370">
        <f t="shared" si="1"/>
        <v>0</v>
      </c>
      <c r="G82" s="370">
        <v>0</v>
      </c>
      <c r="H82" s="370">
        <v>0</v>
      </c>
      <c r="I82" s="370">
        <v>0</v>
      </c>
      <c r="J82" s="370">
        <v>0</v>
      </c>
      <c r="K82" s="370">
        <v>0</v>
      </c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</row>
    <row r="83" spans="1:24" ht="14.1" customHeight="1" x14ac:dyDescent="0.2">
      <c r="A83" s="54" t="s">
        <v>75</v>
      </c>
      <c r="B83" s="54" t="s">
        <v>261</v>
      </c>
      <c r="C83" s="370">
        <v>-1350835622</v>
      </c>
      <c r="D83" s="370">
        <v>-1350835622</v>
      </c>
      <c r="E83" s="370">
        <v>0</v>
      </c>
      <c r="F83" s="370">
        <f t="shared" si="1"/>
        <v>-1350835622</v>
      </c>
      <c r="G83" s="370">
        <v>0</v>
      </c>
      <c r="H83" s="370">
        <v>0</v>
      </c>
      <c r="I83" s="370">
        <v>0</v>
      </c>
      <c r="J83" s="370">
        <v>0</v>
      </c>
      <c r="K83" s="370">
        <v>0</v>
      </c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</row>
    <row r="84" spans="1:24" ht="14.1" customHeight="1" x14ac:dyDescent="0.2">
      <c r="A84" s="54" t="s">
        <v>76</v>
      </c>
      <c r="B84" s="54" t="s">
        <v>262</v>
      </c>
      <c r="C84" s="370">
        <v>2700883</v>
      </c>
      <c r="D84" s="370">
        <v>2700883</v>
      </c>
      <c r="E84" s="370">
        <v>0</v>
      </c>
      <c r="F84" s="370">
        <f t="shared" si="1"/>
        <v>2700883</v>
      </c>
      <c r="G84" s="370">
        <v>0</v>
      </c>
      <c r="H84" s="370">
        <v>0</v>
      </c>
      <c r="I84" s="370">
        <v>0</v>
      </c>
      <c r="J84" s="370">
        <v>0</v>
      </c>
      <c r="K84" s="370">
        <v>0</v>
      </c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</row>
    <row r="85" spans="1:24" ht="14.1" customHeight="1" x14ac:dyDescent="0.2">
      <c r="A85" s="54" t="s">
        <v>77</v>
      </c>
      <c r="B85" s="54" t="s">
        <v>263</v>
      </c>
      <c r="C85" s="370">
        <v>112726470</v>
      </c>
      <c r="D85" s="370">
        <v>112726470</v>
      </c>
      <c r="E85" s="370">
        <v>0</v>
      </c>
      <c r="F85" s="370">
        <f t="shared" si="1"/>
        <v>112726470</v>
      </c>
      <c r="G85" s="370">
        <v>0</v>
      </c>
      <c r="H85" s="370">
        <v>0</v>
      </c>
      <c r="I85" s="370">
        <v>0</v>
      </c>
      <c r="J85" s="370">
        <v>0</v>
      </c>
      <c r="K85" s="370">
        <v>0</v>
      </c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</row>
    <row r="86" spans="1:24" ht="14.1" customHeight="1" x14ac:dyDescent="0.2">
      <c r="A86" s="54" t="s">
        <v>78</v>
      </c>
      <c r="B86" s="54" t="s">
        <v>264</v>
      </c>
      <c r="C86" s="370">
        <v>9163181</v>
      </c>
      <c r="D86" s="370">
        <v>9163181</v>
      </c>
      <c r="E86" s="370">
        <v>0</v>
      </c>
      <c r="F86" s="370">
        <f t="shared" si="1"/>
        <v>9163181</v>
      </c>
      <c r="G86" s="370">
        <v>0</v>
      </c>
      <c r="H86" s="370">
        <v>0</v>
      </c>
      <c r="I86" s="370">
        <v>0</v>
      </c>
      <c r="J86" s="370">
        <v>0</v>
      </c>
      <c r="K86" s="370">
        <v>0</v>
      </c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</row>
    <row r="87" spans="1:24" ht="14.1" customHeight="1" x14ac:dyDescent="0.2">
      <c r="A87" s="54" t="s">
        <v>79</v>
      </c>
      <c r="B87" s="54" t="s">
        <v>265</v>
      </c>
      <c r="C87" s="370">
        <v>19068000</v>
      </c>
      <c r="D87" s="370">
        <v>19068000</v>
      </c>
      <c r="E87" s="370">
        <v>0</v>
      </c>
      <c r="F87" s="370">
        <f t="shared" si="1"/>
        <v>19068000</v>
      </c>
      <c r="G87" s="370">
        <v>0</v>
      </c>
      <c r="H87" s="370">
        <v>0</v>
      </c>
      <c r="I87" s="370">
        <v>0</v>
      </c>
      <c r="J87" s="370">
        <v>0</v>
      </c>
      <c r="K87" s="370">
        <v>0</v>
      </c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</row>
    <row r="88" spans="1:24" ht="14.1" customHeight="1" x14ac:dyDescent="0.2">
      <c r="A88" s="54" t="s">
        <v>80</v>
      </c>
      <c r="B88" s="54" t="s">
        <v>266</v>
      </c>
      <c r="C88" s="370">
        <v>14306108</v>
      </c>
      <c r="D88" s="370">
        <v>14306108</v>
      </c>
      <c r="E88" s="370">
        <v>0</v>
      </c>
      <c r="F88" s="370">
        <f t="shared" ref="F88:F132" si="2">D88+E88</f>
        <v>14306108</v>
      </c>
      <c r="G88" s="370">
        <v>0</v>
      </c>
      <c r="H88" s="370">
        <v>0</v>
      </c>
      <c r="I88" s="370">
        <v>0</v>
      </c>
      <c r="J88" s="370">
        <v>0</v>
      </c>
      <c r="K88" s="370">
        <v>0</v>
      </c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</row>
    <row r="89" spans="1:24" ht="14.1" customHeight="1" x14ac:dyDescent="0.2">
      <c r="A89" s="54" t="s">
        <v>81</v>
      </c>
      <c r="B89" s="54" t="s">
        <v>267</v>
      </c>
      <c r="C89" s="370">
        <v>15845690</v>
      </c>
      <c r="D89" s="370">
        <v>15845690</v>
      </c>
      <c r="E89" s="370">
        <v>0</v>
      </c>
      <c r="F89" s="370">
        <f t="shared" si="2"/>
        <v>15845690</v>
      </c>
      <c r="G89" s="370">
        <v>0</v>
      </c>
      <c r="H89" s="370">
        <v>0</v>
      </c>
      <c r="I89" s="370">
        <v>0</v>
      </c>
      <c r="J89" s="370">
        <v>0</v>
      </c>
      <c r="K89" s="370">
        <v>0</v>
      </c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</row>
    <row r="90" spans="1:24" ht="14.1" customHeight="1" x14ac:dyDescent="0.2">
      <c r="A90" s="54" t="s">
        <v>82</v>
      </c>
      <c r="B90" s="54" t="s">
        <v>268</v>
      </c>
      <c r="C90" s="370">
        <v>188314186</v>
      </c>
      <c r="D90" s="370">
        <v>188314186</v>
      </c>
      <c r="E90" s="370">
        <v>0</v>
      </c>
      <c r="F90" s="370">
        <f t="shared" si="2"/>
        <v>188314186</v>
      </c>
      <c r="G90" s="370">
        <v>0</v>
      </c>
      <c r="H90" s="370">
        <v>0</v>
      </c>
      <c r="I90" s="370">
        <v>0</v>
      </c>
      <c r="J90" s="370">
        <v>0</v>
      </c>
      <c r="K90" s="370">
        <v>0</v>
      </c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</row>
    <row r="91" spans="1:24" ht="14.1" customHeight="1" x14ac:dyDescent="0.2">
      <c r="A91" s="54" t="s">
        <v>83</v>
      </c>
      <c r="B91" s="54" t="s">
        <v>269</v>
      </c>
      <c r="C91" s="370">
        <v>-4656347</v>
      </c>
      <c r="D91" s="370">
        <v>-4656347</v>
      </c>
      <c r="E91" s="370">
        <v>0</v>
      </c>
      <c r="F91" s="370">
        <f t="shared" si="2"/>
        <v>-4656347</v>
      </c>
      <c r="G91" s="370">
        <v>0</v>
      </c>
      <c r="H91" s="370">
        <v>0</v>
      </c>
      <c r="I91" s="370">
        <v>0</v>
      </c>
      <c r="J91" s="370">
        <v>0</v>
      </c>
      <c r="K91" s="370">
        <v>0</v>
      </c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</row>
    <row r="92" spans="1:24" ht="14.1" customHeight="1" x14ac:dyDescent="0.2">
      <c r="A92" s="54" t="s">
        <v>84</v>
      </c>
      <c r="B92" s="54" t="s">
        <v>270</v>
      </c>
      <c r="C92" s="370">
        <v>3387857</v>
      </c>
      <c r="D92" s="370">
        <v>3387857</v>
      </c>
      <c r="E92" s="370">
        <v>0</v>
      </c>
      <c r="F92" s="370">
        <f t="shared" si="2"/>
        <v>3387857</v>
      </c>
      <c r="G92" s="370">
        <v>0</v>
      </c>
      <c r="H92" s="370">
        <v>0</v>
      </c>
      <c r="I92" s="370">
        <v>0</v>
      </c>
      <c r="J92" s="370">
        <v>0</v>
      </c>
      <c r="K92" s="370">
        <v>0</v>
      </c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</row>
    <row r="93" spans="1:24" ht="14.1" customHeight="1" x14ac:dyDescent="0.2">
      <c r="A93" s="54" t="s">
        <v>85</v>
      </c>
      <c r="B93" s="54" t="s">
        <v>271</v>
      </c>
      <c r="C93" s="370">
        <v>360882</v>
      </c>
      <c r="D93" s="370">
        <v>360882</v>
      </c>
      <c r="E93" s="370">
        <v>0</v>
      </c>
      <c r="F93" s="370">
        <f t="shared" si="2"/>
        <v>360882</v>
      </c>
      <c r="G93" s="370">
        <v>0</v>
      </c>
      <c r="H93" s="370">
        <v>0</v>
      </c>
      <c r="I93" s="370">
        <v>0</v>
      </c>
      <c r="J93" s="370">
        <v>0</v>
      </c>
      <c r="K93" s="370">
        <v>0</v>
      </c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</row>
    <row r="94" spans="1:24" ht="14.1" customHeight="1" x14ac:dyDescent="0.2">
      <c r="A94" s="54" t="s">
        <v>86</v>
      </c>
      <c r="B94" s="54" t="s">
        <v>272</v>
      </c>
      <c r="C94" s="370">
        <v>7124177</v>
      </c>
      <c r="D94" s="370">
        <v>7124177</v>
      </c>
      <c r="E94" s="370">
        <v>0</v>
      </c>
      <c r="F94" s="370">
        <f t="shared" si="2"/>
        <v>7124177</v>
      </c>
      <c r="G94" s="370">
        <v>0</v>
      </c>
      <c r="H94" s="370">
        <v>0</v>
      </c>
      <c r="I94" s="370">
        <v>0</v>
      </c>
      <c r="J94" s="370">
        <v>0</v>
      </c>
      <c r="K94" s="370">
        <v>0</v>
      </c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</row>
    <row r="95" spans="1:24" ht="14.1" customHeight="1" x14ac:dyDescent="0.2">
      <c r="A95" s="54" t="s">
        <v>87</v>
      </c>
      <c r="B95" s="54" t="s">
        <v>273</v>
      </c>
      <c r="C95" s="370">
        <v>0</v>
      </c>
      <c r="D95" s="370">
        <v>0</v>
      </c>
      <c r="E95" s="370">
        <v>0</v>
      </c>
      <c r="F95" s="370">
        <f t="shared" si="2"/>
        <v>0</v>
      </c>
      <c r="G95" s="370">
        <v>0</v>
      </c>
      <c r="H95" s="370">
        <v>0</v>
      </c>
      <c r="I95" s="370">
        <v>0</v>
      </c>
      <c r="J95" s="370">
        <v>0</v>
      </c>
      <c r="K95" s="370">
        <v>0</v>
      </c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</row>
    <row r="96" spans="1:24" ht="14.1" customHeight="1" x14ac:dyDescent="0.2">
      <c r="A96" s="54" t="s">
        <v>88</v>
      </c>
      <c r="B96" s="54" t="s">
        <v>274</v>
      </c>
      <c r="C96" s="370">
        <v>0</v>
      </c>
      <c r="D96" s="370">
        <v>0</v>
      </c>
      <c r="E96" s="370">
        <v>0</v>
      </c>
      <c r="F96" s="370">
        <f t="shared" si="2"/>
        <v>0</v>
      </c>
      <c r="G96" s="370">
        <v>0</v>
      </c>
      <c r="H96" s="370">
        <v>0</v>
      </c>
      <c r="I96" s="370">
        <v>0</v>
      </c>
      <c r="J96" s="370">
        <v>0</v>
      </c>
      <c r="K96" s="370">
        <v>0</v>
      </c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</row>
    <row r="97" spans="1:24" ht="14.1" customHeight="1" x14ac:dyDescent="0.2">
      <c r="A97" s="54" t="s">
        <v>89</v>
      </c>
      <c r="B97" s="54" t="s">
        <v>275</v>
      </c>
      <c r="C97" s="370">
        <v>0</v>
      </c>
      <c r="D97" s="370">
        <v>0</v>
      </c>
      <c r="E97" s="370">
        <v>0</v>
      </c>
      <c r="F97" s="370">
        <f t="shared" si="2"/>
        <v>0</v>
      </c>
      <c r="G97" s="370">
        <v>0</v>
      </c>
      <c r="H97" s="370">
        <v>0</v>
      </c>
      <c r="I97" s="370">
        <v>0</v>
      </c>
      <c r="J97" s="370">
        <v>0</v>
      </c>
      <c r="K97" s="370">
        <v>0</v>
      </c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</row>
    <row r="98" spans="1:24" ht="14.1" customHeight="1" x14ac:dyDescent="0.2">
      <c r="A98" s="54" t="s">
        <v>90</v>
      </c>
      <c r="B98" s="54" t="s">
        <v>276</v>
      </c>
      <c r="C98" s="370">
        <v>964905</v>
      </c>
      <c r="D98" s="370">
        <v>964905</v>
      </c>
      <c r="E98" s="370">
        <v>0</v>
      </c>
      <c r="F98" s="370">
        <f t="shared" si="2"/>
        <v>964905</v>
      </c>
      <c r="G98" s="370">
        <v>0</v>
      </c>
      <c r="H98" s="370">
        <v>0</v>
      </c>
      <c r="I98" s="370">
        <v>0</v>
      </c>
      <c r="J98" s="370">
        <v>0</v>
      </c>
      <c r="K98" s="370">
        <v>0</v>
      </c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</row>
    <row r="99" spans="1:24" ht="14.1" customHeight="1" x14ac:dyDescent="0.2">
      <c r="A99" s="54" t="s">
        <v>91</v>
      </c>
      <c r="B99" s="54" t="s">
        <v>277</v>
      </c>
      <c r="C99" s="370">
        <v>-1358477</v>
      </c>
      <c r="D99" s="370">
        <v>-1358477</v>
      </c>
      <c r="E99" s="370">
        <v>0</v>
      </c>
      <c r="F99" s="370">
        <f t="shared" si="2"/>
        <v>-1358477</v>
      </c>
      <c r="G99" s="370">
        <v>0</v>
      </c>
      <c r="H99" s="370">
        <v>0</v>
      </c>
      <c r="I99" s="370">
        <v>0</v>
      </c>
      <c r="J99" s="370">
        <v>0</v>
      </c>
      <c r="K99" s="370">
        <v>0</v>
      </c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</row>
    <row r="100" spans="1:24" ht="14.1" customHeight="1" x14ac:dyDescent="0.2">
      <c r="A100" s="54" t="s">
        <v>92</v>
      </c>
      <c r="B100" s="54" t="s">
        <v>278</v>
      </c>
      <c r="C100" s="370">
        <v>393572</v>
      </c>
      <c r="D100" s="370">
        <v>393572</v>
      </c>
      <c r="E100" s="370">
        <v>0</v>
      </c>
      <c r="F100" s="370">
        <f t="shared" si="2"/>
        <v>393572</v>
      </c>
      <c r="G100" s="370">
        <v>0</v>
      </c>
      <c r="H100" s="370">
        <v>0</v>
      </c>
      <c r="I100" s="370">
        <v>0</v>
      </c>
      <c r="J100" s="370">
        <v>0</v>
      </c>
      <c r="K100" s="370">
        <v>0</v>
      </c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</row>
    <row r="101" spans="1:24" ht="14.1" customHeight="1" x14ac:dyDescent="0.2">
      <c r="A101" s="54" t="s">
        <v>93</v>
      </c>
      <c r="B101" s="54" t="s">
        <v>279</v>
      </c>
      <c r="C101" s="370">
        <v>0</v>
      </c>
      <c r="D101" s="370">
        <v>0</v>
      </c>
      <c r="E101" s="370">
        <v>0</v>
      </c>
      <c r="F101" s="370">
        <f t="shared" si="2"/>
        <v>0</v>
      </c>
      <c r="G101" s="370">
        <v>0</v>
      </c>
      <c r="H101" s="370">
        <v>0</v>
      </c>
      <c r="I101" s="370">
        <v>0</v>
      </c>
      <c r="J101" s="370">
        <v>0</v>
      </c>
      <c r="K101" s="370">
        <v>0</v>
      </c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</row>
    <row r="102" spans="1:24" ht="14.1" customHeight="1" x14ac:dyDescent="0.2">
      <c r="A102" s="54" t="s">
        <v>94</v>
      </c>
      <c r="B102" s="54" t="s">
        <v>280</v>
      </c>
      <c r="C102" s="370">
        <v>-30351</v>
      </c>
      <c r="D102" s="370">
        <v>-30351</v>
      </c>
      <c r="E102" s="370">
        <v>0</v>
      </c>
      <c r="F102" s="370">
        <f t="shared" si="2"/>
        <v>-30351</v>
      </c>
      <c r="G102" s="370">
        <v>0</v>
      </c>
      <c r="H102" s="370">
        <v>0</v>
      </c>
      <c r="I102" s="370">
        <v>0</v>
      </c>
      <c r="J102" s="370">
        <v>0</v>
      </c>
      <c r="K102" s="370">
        <v>0</v>
      </c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</row>
    <row r="103" spans="1:24" ht="14.1" customHeight="1" x14ac:dyDescent="0.2">
      <c r="A103" s="54" t="s">
        <v>95</v>
      </c>
      <c r="B103" s="54" t="s">
        <v>281</v>
      </c>
      <c r="C103" s="370">
        <v>-6358244</v>
      </c>
      <c r="D103" s="370">
        <v>-6358244</v>
      </c>
      <c r="E103" s="370">
        <v>0</v>
      </c>
      <c r="F103" s="370">
        <f t="shared" si="2"/>
        <v>-6358244</v>
      </c>
      <c r="G103" s="370">
        <v>0</v>
      </c>
      <c r="H103" s="370">
        <v>0</v>
      </c>
      <c r="I103" s="370">
        <v>0</v>
      </c>
      <c r="J103" s="370">
        <v>0</v>
      </c>
      <c r="K103" s="370">
        <v>0</v>
      </c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</row>
    <row r="104" spans="1:24" ht="14.1" customHeight="1" x14ac:dyDescent="0.2">
      <c r="A104" s="54" t="s">
        <v>96</v>
      </c>
      <c r="B104" s="54" t="s">
        <v>282</v>
      </c>
      <c r="C104" s="370">
        <v>0</v>
      </c>
      <c r="D104" s="370">
        <v>0</v>
      </c>
      <c r="E104" s="370">
        <v>0</v>
      </c>
      <c r="F104" s="370">
        <f t="shared" si="2"/>
        <v>0</v>
      </c>
      <c r="G104" s="370">
        <v>0</v>
      </c>
      <c r="H104" s="370">
        <v>0</v>
      </c>
      <c r="I104" s="370">
        <v>0</v>
      </c>
      <c r="J104" s="370">
        <v>0</v>
      </c>
      <c r="K104" s="370">
        <v>0</v>
      </c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</row>
    <row r="105" spans="1:24" ht="14.1" customHeight="1" x14ac:dyDescent="0.2">
      <c r="A105" s="54" t="s">
        <v>97</v>
      </c>
      <c r="B105" s="54" t="s">
        <v>283</v>
      </c>
      <c r="C105" s="370">
        <v>0</v>
      </c>
      <c r="D105" s="370">
        <v>0</v>
      </c>
      <c r="E105" s="370">
        <v>0</v>
      </c>
      <c r="F105" s="370">
        <f t="shared" si="2"/>
        <v>0</v>
      </c>
      <c r="G105" s="370">
        <v>0</v>
      </c>
      <c r="H105" s="370">
        <v>0</v>
      </c>
      <c r="I105" s="370">
        <v>0</v>
      </c>
      <c r="J105" s="370">
        <v>0</v>
      </c>
      <c r="K105" s="370">
        <v>0</v>
      </c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</row>
    <row r="106" spans="1:24" ht="14.1" customHeight="1" x14ac:dyDescent="0.2">
      <c r="A106" s="54" t="s">
        <v>98</v>
      </c>
      <c r="B106" s="54" t="s">
        <v>284</v>
      </c>
      <c r="C106" s="370">
        <v>0</v>
      </c>
      <c r="D106" s="370">
        <v>0</v>
      </c>
      <c r="E106" s="370">
        <v>0</v>
      </c>
      <c r="F106" s="370">
        <f t="shared" si="2"/>
        <v>0</v>
      </c>
      <c r="G106" s="370">
        <v>0</v>
      </c>
      <c r="H106" s="370">
        <v>0</v>
      </c>
      <c r="I106" s="370">
        <v>0</v>
      </c>
      <c r="J106" s="370">
        <v>0</v>
      </c>
      <c r="K106" s="370">
        <v>0</v>
      </c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</row>
    <row r="107" spans="1:24" ht="14.1" customHeight="1" x14ac:dyDescent="0.2">
      <c r="A107" s="54" t="s">
        <v>99</v>
      </c>
      <c r="B107" s="54" t="s">
        <v>285</v>
      </c>
      <c r="C107" s="370">
        <v>0</v>
      </c>
      <c r="D107" s="370">
        <v>0</v>
      </c>
      <c r="E107" s="370">
        <v>0</v>
      </c>
      <c r="F107" s="370">
        <f t="shared" si="2"/>
        <v>0</v>
      </c>
      <c r="G107" s="370">
        <v>0</v>
      </c>
      <c r="H107" s="370">
        <v>0</v>
      </c>
      <c r="I107" s="370">
        <v>0</v>
      </c>
      <c r="J107" s="370">
        <v>0</v>
      </c>
      <c r="K107" s="370">
        <v>0</v>
      </c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</row>
    <row r="108" spans="1:24" ht="14.1" customHeight="1" x14ac:dyDescent="0.2">
      <c r="A108" s="54" t="s">
        <v>100</v>
      </c>
      <c r="B108" s="54" t="s">
        <v>286</v>
      </c>
      <c r="C108" s="370">
        <v>-1008527</v>
      </c>
      <c r="D108" s="370">
        <v>-1008527</v>
      </c>
      <c r="E108" s="370">
        <v>0</v>
      </c>
      <c r="F108" s="370">
        <f t="shared" si="2"/>
        <v>-1008527</v>
      </c>
      <c r="G108" s="370">
        <v>0</v>
      </c>
      <c r="H108" s="370">
        <v>0</v>
      </c>
      <c r="I108" s="370">
        <v>0</v>
      </c>
      <c r="J108" s="370">
        <v>0</v>
      </c>
      <c r="K108" s="370">
        <v>0</v>
      </c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</row>
    <row r="109" spans="1:24" ht="14.1" customHeight="1" x14ac:dyDescent="0.2">
      <c r="A109" s="54" t="s">
        <v>101</v>
      </c>
      <c r="B109" s="54" t="s">
        <v>287</v>
      </c>
      <c r="C109" s="370">
        <v>7731068</v>
      </c>
      <c r="D109" s="370">
        <v>7731068</v>
      </c>
      <c r="E109" s="370">
        <v>0</v>
      </c>
      <c r="F109" s="370">
        <f t="shared" si="2"/>
        <v>7731068</v>
      </c>
      <c r="G109" s="370">
        <v>0</v>
      </c>
      <c r="H109" s="370">
        <v>0</v>
      </c>
      <c r="I109" s="370">
        <v>0</v>
      </c>
      <c r="J109" s="370">
        <v>0</v>
      </c>
      <c r="K109" s="370">
        <v>0</v>
      </c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</row>
    <row r="110" spans="1:24" ht="14.1" customHeight="1" x14ac:dyDescent="0.2">
      <c r="A110" s="54" t="s">
        <v>102</v>
      </c>
      <c r="B110" s="54" t="s">
        <v>288</v>
      </c>
      <c r="C110" s="370">
        <v>-3389162</v>
      </c>
      <c r="D110" s="370">
        <v>-3389162</v>
      </c>
      <c r="E110" s="370">
        <v>0</v>
      </c>
      <c r="F110" s="370">
        <f t="shared" si="2"/>
        <v>-3389162</v>
      </c>
      <c r="G110" s="370">
        <v>0</v>
      </c>
      <c r="H110" s="370">
        <v>0</v>
      </c>
      <c r="I110" s="370">
        <v>0</v>
      </c>
      <c r="J110" s="370">
        <v>0</v>
      </c>
      <c r="K110" s="370">
        <v>0</v>
      </c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</row>
    <row r="111" spans="1:24" ht="14.1" customHeight="1" x14ac:dyDescent="0.2">
      <c r="A111" s="54" t="s">
        <v>103</v>
      </c>
      <c r="B111" s="54" t="s">
        <v>289</v>
      </c>
      <c r="C111" s="370">
        <v>0</v>
      </c>
      <c r="D111" s="370">
        <v>0</v>
      </c>
      <c r="E111" s="370">
        <v>0</v>
      </c>
      <c r="F111" s="370">
        <f t="shared" si="2"/>
        <v>0</v>
      </c>
      <c r="G111" s="370">
        <v>0</v>
      </c>
      <c r="H111" s="370">
        <v>0</v>
      </c>
      <c r="I111" s="370">
        <v>0</v>
      </c>
      <c r="J111" s="370">
        <v>0</v>
      </c>
      <c r="K111" s="370">
        <v>0</v>
      </c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</row>
    <row r="112" spans="1:24" ht="14.1" customHeight="1" x14ac:dyDescent="0.2">
      <c r="A112" s="54" t="s">
        <v>104</v>
      </c>
      <c r="B112" s="54" t="s">
        <v>290</v>
      </c>
      <c r="C112" s="370">
        <v>6198290</v>
      </c>
      <c r="D112" s="370">
        <v>6198290</v>
      </c>
      <c r="E112" s="370">
        <v>0</v>
      </c>
      <c r="F112" s="370">
        <f t="shared" si="2"/>
        <v>6198290</v>
      </c>
      <c r="G112" s="370">
        <v>0</v>
      </c>
      <c r="H112" s="370">
        <v>0</v>
      </c>
      <c r="I112" s="370">
        <v>0</v>
      </c>
      <c r="J112" s="370">
        <v>0</v>
      </c>
      <c r="K112" s="370">
        <v>0</v>
      </c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</row>
    <row r="113" spans="1:24" ht="14.1" customHeight="1" x14ac:dyDescent="0.2">
      <c r="A113" s="54" t="s">
        <v>105</v>
      </c>
      <c r="B113" s="54" t="s">
        <v>291</v>
      </c>
      <c r="C113" s="370">
        <v>386594</v>
      </c>
      <c r="D113" s="370">
        <v>386594</v>
      </c>
      <c r="E113" s="370">
        <v>0</v>
      </c>
      <c r="F113" s="370">
        <f t="shared" si="2"/>
        <v>386594</v>
      </c>
      <c r="G113" s="370">
        <v>0</v>
      </c>
      <c r="H113" s="370">
        <v>0</v>
      </c>
      <c r="I113" s="370">
        <v>0</v>
      </c>
      <c r="J113" s="370">
        <v>0</v>
      </c>
      <c r="K113" s="370">
        <v>0</v>
      </c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</row>
    <row r="114" spans="1:24" ht="14.1" customHeight="1" x14ac:dyDescent="0.2">
      <c r="A114" s="54" t="s">
        <v>106</v>
      </c>
      <c r="B114" s="54" t="s">
        <v>292</v>
      </c>
      <c r="C114" s="370">
        <v>-9656036</v>
      </c>
      <c r="D114" s="370">
        <v>-9656036</v>
      </c>
      <c r="E114" s="370">
        <v>0</v>
      </c>
      <c r="F114" s="370">
        <f t="shared" si="2"/>
        <v>-9656036</v>
      </c>
      <c r="G114" s="370">
        <v>0</v>
      </c>
      <c r="H114" s="370">
        <v>0</v>
      </c>
      <c r="I114" s="370">
        <v>0</v>
      </c>
      <c r="J114" s="370">
        <v>0</v>
      </c>
      <c r="K114" s="370">
        <v>0</v>
      </c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</row>
    <row r="115" spans="1:24" ht="14.1" customHeight="1" x14ac:dyDescent="0.2">
      <c r="A115" s="54" t="s">
        <v>107</v>
      </c>
      <c r="B115" s="54" t="s">
        <v>293</v>
      </c>
      <c r="C115" s="370">
        <v>-10101485</v>
      </c>
      <c r="D115" s="370">
        <v>-10101485</v>
      </c>
      <c r="E115" s="370">
        <v>0</v>
      </c>
      <c r="F115" s="370">
        <f t="shared" si="2"/>
        <v>-10101485</v>
      </c>
      <c r="G115" s="370">
        <v>0</v>
      </c>
      <c r="H115" s="370">
        <v>0</v>
      </c>
      <c r="I115" s="370">
        <v>0</v>
      </c>
      <c r="J115" s="370">
        <v>0</v>
      </c>
      <c r="K115" s="370">
        <v>0</v>
      </c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</row>
    <row r="116" spans="1:24" ht="14.1" customHeight="1" x14ac:dyDescent="0.2">
      <c r="A116" s="54" t="s">
        <v>108</v>
      </c>
      <c r="B116" s="54" t="s">
        <v>294</v>
      </c>
      <c r="C116" s="370">
        <v>0</v>
      </c>
      <c r="D116" s="370">
        <v>0</v>
      </c>
      <c r="E116" s="370">
        <v>0</v>
      </c>
      <c r="F116" s="370">
        <f t="shared" si="2"/>
        <v>0</v>
      </c>
      <c r="G116" s="370">
        <v>0</v>
      </c>
      <c r="H116" s="370">
        <v>0</v>
      </c>
      <c r="I116" s="370">
        <v>0</v>
      </c>
      <c r="J116" s="370">
        <v>0</v>
      </c>
      <c r="K116" s="370">
        <v>0</v>
      </c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</row>
    <row r="117" spans="1:24" ht="14.1" customHeight="1" x14ac:dyDescent="0.2">
      <c r="A117" s="54" t="s">
        <v>109</v>
      </c>
      <c r="B117" s="54" t="s">
        <v>295</v>
      </c>
      <c r="C117" s="370">
        <v>17972160</v>
      </c>
      <c r="D117" s="370">
        <v>17972160</v>
      </c>
      <c r="E117" s="370">
        <v>0</v>
      </c>
      <c r="F117" s="370">
        <f t="shared" si="2"/>
        <v>17972160</v>
      </c>
      <c r="G117" s="370">
        <v>0</v>
      </c>
      <c r="H117" s="370">
        <v>0</v>
      </c>
      <c r="I117" s="370">
        <v>0</v>
      </c>
      <c r="J117" s="370">
        <v>0</v>
      </c>
      <c r="K117" s="370">
        <v>0</v>
      </c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</row>
    <row r="118" spans="1:24" ht="14.1" customHeight="1" x14ac:dyDescent="0.2">
      <c r="A118" s="54" t="s">
        <v>110</v>
      </c>
      <c r="B118" s="54" t="s">
        <v>296</v>
      </c>
      <c r="C118" s="370">
        <v>101239536</v>
      </c>
      <c r="D118" s="370">
        <v>101239536</v>
      </c>
      <c r="E118" s="370">
        <v>0</v>
      </c>
      <c r="F118" s="370">
        <f t="shared" si="2"/>
        <v>101239536</v>
      </c>
      <c r="G118" s="370">
        <v>0</v>
      </c>
      <c r="H118" s="370">
        <v>0</v>
      </c>
      <c r="I118" s="370">
        <v>0</v>
      </c>
      <c r="J118" s="370">
        <v>0</v>
      </c>
      <c r="K118" s="370">
        <v>0</v>
      </c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</row>
    <row r="119" spans="1:24" ht="14.1" customHeight="1" x14ac:dyDescent="0.2">
      <c r="A119" s="54" t="s">
        <v>111</v>
      </c>
      <c r="B119" s="54" t="s">
        <v>297</v>
      </c>
      <c r="C119" s="370">
        <v>52065738</v>
      </c>
      <c r="D119" s="370">
        <v>52065738</v>
      </c>
      <c r="E119" s="370">
        <v>0</v>
      </c>
      <c r="F119" s="370">
        <f t="shared" si="2"/>
        <v>52065738</v>
      </c>
      <c r="G119" s="370">
        <v>0</v>
      </c>
      <c r="H119" s="370">
        <v>0</v>
      </c>
      <c r="I119" s="370">
        <v>0</v>
      </c>
      <c r="J119" s="370">
        <v>0</v>
      </c>
      <c r="K119" s="370">
        <v>0</v>
      </c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</row>
    <row r="120" spans="1:24" ht="14.1" customHeight="1" x14ac:dyDescent="0.2">
      <c r="A120" s="54" t="s">
        <v>112</v>
      </c>
      <c r="B120" s="54" t="s">
        <v>298</v>
      </c>
      <c r="C120" s="370">
        <v>-26032853</v>
      </c>
      <c r="D120" s="370">
        <v>-26032853</v>
      </c>
      <c r="E120" s="370">
        <v>0</v>
      </c>
      <c r="F120" s="370">
        <f t="shared" si="2"/>
        <v>-26032853</v>
      </c>
      <c r="G120" s="370">
        <v>0</v>
      </c>
      <c r="H120" s="370">
        <v>0</v>
      </c>
      <c r="I120" s="370">
        <v>0</v>
      </c>
      <c r="J120" s="370">
        <v>0</v>
      </c>
      <c r="K120" s="370">
        <v>0</v>
      </c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</row>
    <row r="121" spans="1:24" ht="14.1" customHeight="1" x14ac:dyDescent="0.2">
      <c r="A121" s="54" t="s">
        <v>113</v>
      </c>
      <c r="B121" s="54" t="s">
        <v>299</v>
      </c>
      <c r="C121" s="370">
        <v>22292084</v>
      </c>
      <c r="D121" s="370">
        <v>22292084</v>
      </c>
      <c r="E121" s="370">
        <v>0</v>
      </c>
      <c r="F121" s="370">
        <f t="shared" si="2"/>
        <v>22292084</v>
      </c>
      <c r="G121" s="370">
        <v>0</v>
      </c>
      <c r="H121" s="370">
        <v>0</v>
      </c>
      <c r="I121" s="370">
        <v>0</v>
      </c>
      <c r="J121" s="370">
        <v>0</v>
      </c>
      <c r="K121" s="370">
        <v>0</v>
      </c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</row>
    <row r="122" spans="1:24" ht="14.1" customHeight="1" x14ac:dyDescent="0.2">
      <c r="A122" s="54" t="s">
        <v>114</v>
      </c>
      <c r="B122" s="54" t="s">
        <v>300</v>
      </c>
      <c r="C122" s="370">
        <v>-11146139</v>
      </c>
      <c r="D122" s="370">
        <v>-11146139</v>
      </c>
      <c r="E122" s="370">
        <v>0</v>
      </c>
      <c r="F122" s="370">
        <f t="shared" si="2"/>
        <v>-11146139</v>
      </c>
      <c r="G122" s="370">
        <v>0</v>
      </c>
      <c r="H122" s="370">
        <v>0</v>
      </c>
      <c r="I122" s="370">
        <v>0</v>
      </c>
      <c r="J122" s="370">
        <v>0</v>
      </c>
      <c r="K122" s="370">
        <v>0</v>
      </c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</row>
    <row r="123" spans="1:24" ht="14.1" customHeight="1" x14ac:dyDescent="0.2">
      <c r="A123" s="54" t="s">
        <v>115</v>
      </c>
      <c r="B123" s="54" t="s">
        <v>301</v>
      </c>
      <c r="C123" s="370">
        <v>154080973</v>
      </c>
      <c r="D123" s="370">
        <v>154080973</v>
      </c>
      <c r="E123" s="370">
        <v>0</v>
      </c>
      <c r="F123" s="370">
        <f t="shared" si="2"/>
        <v>154080973</v>
      </c>
      <c r="G123" s="370">
        <v>0</v>
      </c>
      <c r="H123" s="370">
        <v>0</v>
      </c>
      <c r="I123" s="370">
        <v>0</v>
      </c>
      <c r="J123" s="370">
        <v>0</v>
      </c>
      <c r="K123" s="370">
        <v>0</v>
      </c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</row>
    <row r="124" spans="1:24" ht="14.1" customHeight="1" x14ac:dyDescent="0.2">
      <c r="A124" s="54" t="s">
        <v>116</v>
      </c>
      <c r="B124" s="54" t="s">
        <v>302</v>
      </c>
      <c r="C124" s="370">
        <v>-77040475</v>
      </c>
      <c r="D124" s="370">
        <v>-77040475</v>
      </c>
      <c r="E124" s="370">
        <v>0</v>
      </c>
      <c r="F124" s="370">
        <f t="shared" si="2"/>
        <v>-77040475</v>
      </c>
      <c r="G124" s="370">
        <v>0</v>
      </c>
      <c r="H124" s="370">
        <v>0</v>
      </c>
      <c r="I124" s="370">
        <v>0</v>
      </c>
      <c r="J124" s="370">
        <v>0</v>
      </c>
      <c r="K124" s="370">
        <v>0</v>
      </c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</row>
    <row r="125" spans="1:24" ht="14.1" customHeight="1" x14ac:dyDescent="0.2">
      <c r="A125" s="54" t="s">
        <v>117</v>
      </c>
      <c r="B125" s="54" t="s">
        <v>303</v>
      </c>
      <c r="C125" s="370">
        <v>-442998</v>
      </c>
      <c r="D125" s="370">
        <v>-442998</v>
      </c>
      <c r="E125" s="370">
        <v>0</v>
      </c>
      <c r="F125" s="370">
        <f t="shared" si="2"/>
        <v>-442998</v>
      </c>
      <c r="G125" s="370">
        <v>0</v>
      </c>
      <c r="H125" s="370">
        <v>0</v>
      </c>
      <c r="I125" s="370">
        <v>0</v>
      </c>
      <c r="J125" s="370">
        <v>0</v>
      </c>
      <c r="K125" s="370">
        <v>0</v>
      </c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</row>
    <row r="126" spans="1:24" ht="14.1" customHeight="1" x14ac:dyDescent="0.2">
      <c r="A126" s="54" t="s">
        <v>118</v>
      </c>
      <c r="B126" s="54" t="s">
        <v>304</v>
      </c>
      <c r="C126" s="370">
        <v>-108316291</v>
      </c>
      <c r="D126" s="370">
        <v>-108316291</v>
      </c>
      <c r="E126" s="370">
        <v>0</v>
      </c>
      <c r="F126" s="370">
        <f t="shared" si="2"/>
        <v>-108316291</v>
      </c>
      <c r="G126" s="370">
        <v>0</v>
      </c>
      <c r="H126" s="370">
        <v>0</v>
      </c>
      <c r="I126" s="370">
        <v>0</v>
      </c>
      <c r="J126" s="370">
        <v>0</v>
      </c>
      <c r="K126" s="370">
        <v>0</v>
      </c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</row>
    <row r="127" spans="1:24" ht="14.1" customHeight="1" x14ac:dyDescent="0.2">
      <c r="A127" s="54" t="s">
        <v>119</v>
      </c>
      <c r="B127" s="54" t="s">
        <v>305</v>
      </c>
      <c r="C127" s="370">
        <v>0</v>
      </c>
      <c r="D127" s="370">
        <v>0</v>
      </c>
      <c r="E127" s="370">
        <v>0</v>
      </c>
      <c r="F127" s="370">
        <f t="shared" si="2"/>
        <v>0</v>
      </c>
      <c r="G127" s="370">
        <v>0</v>
      </c>
      <c r="H127" s="370">
        <v>0</v>
      </c>
      <c r="I127" s="370">
        <v>0</v>
      </c>
      <c r="J127" s="370">
        <v>0</v>
      </c>
      <c r="K127" s="370">
        <v>0</v>
      </c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</row>
    <row r="128" spans="1:24" ht="14.1" customHeight="1" x14ac:dyDescent="0.2">
      <c r="A128" s="54" t="s">
        <v>120</v>
      </c>
      <c r="B128" s="54" t="s">
        <v>306</v>
      </c>
      <c r="C128" s="370">
        <v>0</v>
      </c>
      <c r="D128" s="370">
        <v>0</v>
      </c>
      <c r="E128" s="370">
        <v>0</v>
      </c>
      <c r="F128" s="370">
        <f t="shared" si="2"/>
        <v>0</v>
      </c>
      <c r="G128" s="370">
        <v>0</v>
      </c>
      <c r="H128" s="370">
        <v>0</v>
      </c>
      <c r="I128" s="370">
        <v>0</v>
      </c>
      <c r="J128" s="370">
        <v>0</v>
      </c>
      <c r="K128" s="370">
        <v>0</v>
      </c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</row>
    <row r="129" spans="1:24" ht="14.1" customHeight="1" x14ac:dyDescent="0.2">
      <c r="A129" s="54" t="s">
        <v>121</v>
      </c>
      <c r="B129" s="54" t="s">
        <v>307</v>
      </c>
      <c r="C129" s="370">
        <v>0</v>
      </c>
      <c r="D129" s="370">
        <v>0</v>
      </c>
      <c r="E129" s="370">
        <v>0</v>
      </c>
      <c r="F129" s="370">
        <f t="shared" si="2"/>
        <v>0</v>
      </c>
      <c r="G129" s="370">
        <v>0</v>
      </c>
      <c r="H129" s="370">
        <v>0</v>
      </c>
      <c r="I129" s="370">
        <v>0</v>
      </c>
      <c r="J129" s="370">
        <v>0</v>
      </c>
      <c r="K129" s="370">
        <v>0</v>
      </c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</row>
    <row r="130" spans="1:24" ht="14.1" customHeight="1" x14ac:dyDescent="0.2">
      <c r="A130" s="54" t="s">
        <v>122</v>
      </c>
      <c r="B130" s="54" t="s">
        <v>308</v>
      </c>
      <c r="C130" s="370">
        <v>-29298885</v>
      </c>
      <c r="D130" s="370">
        <v>-29298885</v>
      </c>
      <c r="E130" s="370">
        <v>0</v>
      </c>
      <c r="F130" s="370">
        <f t="shared" si="2"/>
        <v>-29298885</v>
      </c>
      <c r="G130" s="370">
        <v>0</v>
      </c>
      <c r="H130" s="370">
        <v>0</v>
      </c>
      <c r="I130" s="370">
        <v>0</v>
      </c>
      <c r="J130" s="370">
        <v>0</v>
      </c>
      <c r="K130" s="370">
        <v>0</v>
      </c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</row>
    <row r="131" spans="1:24" ht="14.1" customHeight="1" x14ac:dyDescent="0.2">
      <c r="A131" s="54" t="s">
        <v>123</v>
      </c>
      <c r="B131" s="54" t="s">
        <v>309</v>
      </c>
      <c r="C131" s="370">
        <v>250215443</v>
      </c>
      <c r="D131" s="370">
        <v>250215443</v>
      </c>
      <c r="E131" s="370">
        <v>0</v>
      </c>
      <c r="F131" s="370">
        <f t="shared" si="2"/>
        <v>250215443</v>
      </c>
      <c r="G131" s="370">
        <v>0</v>
      </c>
      <c r="H131" s="370">
        <v>0</v>
      </c>
      <c r="I131" s="370">
        <v>0</v>
      </c>
      <c r="J131" s="370">
        <v>0</v>
      </c>
      <c r="K131" s="370">
        <v>0</v>
      </c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</row>
    <row r="132" spans="1:24" ht="14.1" customHeight="1" x14ac:dyDescent="0.2">
      <c r="A132" s="54" t="s">
        <v>124</v>
      </c>
      <c r="B132" s="54" t="s">
        <v>310</v>
      </c>
      <c r="C132" s="370">
        <v>7541981</v>
      </c>
      <c r="D132" s="370">
        <v>7541981</v>
      </c>
      <c r="E132" s="370">
        <v>0</v>
      </c>
      <c r="F132" s="370">
        <f t="shared" si="2"/>
        <v>7541981</v>
      </c>
      <c r="G132" s="370">
        <v>0</v>
      </c>
      <c r="H132" s="370">
        <v>0</v>
      </c>
      <c r="I132" s="370">
        <v>0</v>
      </c>
      <c r="J132" s="370">
        <v>0</v>
      </c>
      <c r="K132" s="370">
        <v>0</v>
      </c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</row>
    <row r="133" spans="1:24" ht="14.1" customHeight="1" x14ac:dyDescent="0.2">
      <c r="A133" s="54" t="s">
        <v>125</v>
      </c>
      <c r="B133" s="54" t="s">
        <v>311</v>
      </c>
      <c r="C133" s="370">
        <v>-12825069</v>
      </c>
      <c r="D133" s="370">
        <v>-12825069</v>
      </c>
      <c r="E133" s="370">
        <v>0</v>
      </c>
      <c r="F133" s="370">
        <f t="shared" ref="F133:F196" si="3">D133+E133</f>
        <v>-12825069</v>
      </c>
      <c r="G133" s="370">
        <v>0</v>
      </c>
      <c r="H133" s="370">
        <v>0</v>
      </c>
      <c r="I133" s="370">
        <v>0</v>
      </c>
      <c r="J133" s="370">
        <v>0</v>
      </c>
      <c r="K133" s="370">
        <v>0</v>
      </c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</row>
    <row r="134" spans="1:24" ht="14.1" customHeight="1" x14ac:dyDescent="0.2">
      <c r="A134" s="54" t="s">
        <v>126</v>
      </c>
      <c r="B134" s="54" t="s">
        <v>312</v>
      </c>
      <c r="C134" s="370">
        <v>0</v>
      </c>
      <c r="D134" s="370">
        <v>0</v>
      </c>
      <c r="E134" s="370">
        <v>0</v>
      </c>
      <c r="F134" s="370">
        <f t="shared" si="3"/>
        <v>0</v>
      </c>
      <c r="G134" s="370">
        <v>0</v>
      </c>
      <c r="H134" s="370">
        <v>0</v>
      </c>
      <c r="I134" s="370">
        <v>0</v>
      </c>
      <c r="J134" s="370">
        <v>0</v>
      </c>
      <c r="K134" s="370">
        <v>0</v>
      </c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</row>
    <row r="135" spans="1:24" ht="14.1" customHeight="1" x14ac:dyDescent="0.2">
      <c r="A135" s="54" t="s">
        <v>127</v>
      </c>
      <c r="B135" s="54" t="s">
        <v>313</v>
      </c>
      <c r="C135" s="370">
        <v>-14597066</v>
      </c>
      <c r="D135" s="370">
        <v>-14597066</v>
      </c>
      <c r="E135" s="370">
        <v>0</v>
      </c>
      <c r="F135" s="370">
        <f t="shared" si="3"/>
        <v>-14597066</v>
      </c>
      <c r="G135" s="370">
        <v>0</v>
      </c>
      <c r="H135" s="370">
        <v>0</v>
      </c>
      <c r="I135" s="370">
        <v>0</v>
      </c>
      <c r="J135" s="370">
        <v>0</v>
      </c>
      <c r="K135" s="370">
        <v>0</v>
      </c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</row>
    <row r="136" spans="1:24" ht="14.1" customHeight="1" x14ac:dyDescent="0.2">
      <c r="A136" s="54" t="s">
        <v>128</v>
      </c>
      <c r="B136" s="54" t="s">
        <v>314</v>
      </c>
      <c r="C136" s="370">
        <v>-742563</v>
      </c>
      <c r="D136" s="370">
        <v>-742563</v>
      </c>
      <c r="E136" s="370">
        <v>0</v>
      </c>
      <c r="F136" s="370">
        <f t="shared" si="3"/>
        <v>-742563</v>
      </c>
      <c r="G136" s="370">
        <v>0</v>
      </c>
      <c r="H136" s="370">
        <v>0</v>
      </c>
      <c r="I136" s="370">
        <v>0</v>
      </c>
      <c r="J136" s="370">
        <v>0</v>
      </c>
      <c r="K136" s="370">
        <v>0</v>
      </c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</row>
    <row r="137" spans="1:24" ht="14.1" customHeight="1" x14ac:dyDescent="0.2">
      <c r="A137" s="54" t="s">
        <v>129</v>
      </c>
      <c r="B137" s="54" t="s">
        <v>315</v>
      </c>
      <c r="C137" s="370">
        <v>0</v>
      </c>
      <c r="D137" s="370">
        <v>0</v>
      </c>
      <c r="E137" s="370">
        <v>0</v>
      </c>
      <c r="F137" s="370">
        <f t="shared" si="3"/>
        <v>0</v>
      </c>
      <c r="G137" s="370">
        <v>0</v>
      </c>
      <c r="H137" s="370">
        <v>0</v>
      </c>
      <c r="I137" s="370">
        <v>0</v>
      </c>
      <c r="J137" s="370">
        <v>0</v>
      </c>
      <c r="K137" s="370">
        <v>0</v>
      </c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</row>
    <row r="138" spans="1:24" ht="14.1" customHeight="1" x14ac:dyDescent="0.2">
      <c r="A138" s="54" t="s">
        <v>130</v>
      </c>
      <c r="B138" s="54" t="s">
        <v>316</v>
      </c>
      <c r="C138" s="370">
        <v>-8294334</v>
      </c>
      <c r="D138" s="370">
        <v>-8294334</v>
      </c>
      <c r="E138" s="370">
        <v>0</v>
      </c>
      <c r="F138" s="370">
        <f t="shared" si="3"/>
        <v>-8294334</v>
      </c>
      <c r="G138" s="370">
        <v>0</v>
      </c>
      <c r="H138" s="370">
        <v>0</v>
      </c>
      <c r="I138" s="370">
        <v>0</v>
      </c>
      <c r="J138" s="370">
        <v>0</v>
      </c>
      <c r="K138" s="370">
        <v>0</v>
      </c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</row>
    <row r="139" spans="1:24" ht="14.1" customHeight="1" x14ac:dyDescent="0.2">
      <c r="A139" s="54" t="s">
        <v>131</v>
      </c>
      <c r="B139" s="54" t="s">
        <v>317</v>
      </c>
      <c r="C139" s="370">
        <v>44414</v>
      </c>
      <c r="D139" s="370">
        <v>44414</v>
      </c>
      <c r="E139" s="370">
        <v>0</v>
      </c>
      <c r="F139" s="370">
        <f t="shared" si="3"/>
        <v>44414</v>
      </c>
      <c r="G139" s="370">
        <v>0</v>
      </c>
      <c r="H139" s="370">
        <v>0</v>
      </c>
      <c r="I139" s="370">
        <v>0</v>
      </c>
      <c r="J139" s="370">
        <v>0</v>
      </c>
      <c r="K139" s="370">
        <v>0</v>
      </c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</row>
    <row r="140" spans="1:24" ht="14.1" customHeight="1" x14ac:dyDescent="0.2">
      <c r="A140" s="54" t="s">
        <v>132</v>
      </c>
      <c r="B140" s="54" t="s">
        <v>318</v>
      </c>
      <c r="C140" s="370">
        <v>-223545316</v>
      </c>
      <c r="D140" s="370">
        <v>-223545316</v>
      </c>
      <c r="E140" s="370">
        <v>0</v>
      </c>
      <c r="F140" s="370">
        <f t="shared" si="3"/>
        <v>-223545316</v>
      </c>
      <c r="G140" s="370">
        <v>0</v>
      </c>
      <c r="H140" s="370">
        <v>0</v>
      </c>
      <c r="I140" s="370">
        <v>0</v>
      </c>
      <c r="J140" s="370">
        <v>0</v>
      </c>
      <c r="K140" s="370">
        <v>0</v>
      </c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</row>
    <row r="141" spans="1:24" ht="14.1" customHeight="1" x14ac:dyDescent="0.2">
      <c r="A141" s="54" t="s">
        <v>133</v>
      </c>
      <c r="B141" s="54" t="s">
        <v>319</v>
      </c>
      <c r="C141" s="370">
        <v>-368563094</v>
      </c>
      <c r="D141" s="370">
        <v>-368563094</v>
      </c>
      <c r="E141" s="370">
        <v>0</v>
      </c>
      <c r="F141" s="370">
        <f t="shared" si="3"/>
        <v>-368563094</v>
      </c>
      <c r="G141" s="370">
        <v>0</v>
      </c>
      <c r="H141" s="370">
        <v>0</v>
      </c>
      <c r="I141" s="370">
        <v>0</v>
      </c>
      <c r="J141" s="370">
        <v>0</v>
      </c>
      <c r="K141" s="370">
        <v>0</v>
      </c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</row>
    <row r="142" spans="1:24" ht="14.1" customHeight="1" x14ac:dyDescent="0.2">
      <c r="A142" s="54" t="s">
        <v>134</v>
      </c>
      <c r="B142" s="54" t="s">
        <v>320</v>
      </c>
      <c r="C142" s="370">
        <v>0</v>
      </c>
      <c r="D142" s="370">
        <v>0</v>
      </c>
      <c r="E142" s="370">
        <v>0</v>
      </c>
      <c r="F142" s="370">
        <f t="shared" si="3"/>
        <v>0</v>
      </c>
      <c r="G142" s="370">
        <v>0</v>
      </c>
      <c r="H142" s="370">
        <v>0</v>
      </c>
      <c r="I142" s="370">
        <v>0</v>
      </c>
      <c r="J142" s="370">
        <v>0</v>
      </c>
      <c r="K142" s="370">
        <v>0</v>
      </c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</row>
    <row r="143" spans="1:24" ht="14.1" customHeight="1" x14ac:dyDescent="0.2">
      <c r="A143" s="54" t="s">
        <v>135</v>
      </c>
      <c r="B143" s="54" t="s">
        <v>321</v>
      </c>
      <c r="C143" s="370">
        <v>0</v>
      </c>
      <c r="D143" s="370">
        <v>0</v>
      </c>
      <c r="E143" s="370">
        <v>0</v>
      </c>
      <c r="F143" s="370">
        <f t="shared" si="3"/>
        <v>0</v>
      </c>
      <c r="G143" s="370">
        <v>0</v>
      </c>
      <c r="H143" s="370">
        <v>0</v>
      </c>
      <c r="I143" s="370">
        <v>0</v>
      </c>
      <c r="J143" s="370">
        <v>0</v>
      </c>
      <c r="K143" s="370">
        <v>0</v>
      </c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</row>
    <row r="144" spans="1:24" ht="14.1" customHeight="1" x14ac:dyDescent="0.2">
      <c r="A144" s="54" t="s">
        <v>136</v>
      </c>
      <c r="B144" s="54" t="s">
        <v>322</v>
      </c>
      <c r="C144" s="370">
        <v>16580661</v>
      </c>
      <c r="D144" s="370">
        <v>16580661</v>
      </c>
      <c r="E144" s="370">
        <v>0</v>
      </c>
      <c r="F144" s="370">
        <f t="shared" si="3"/>
        <v>16580661</v>
      </c>
      <c r="G144" s="370">
        <v>0</v>
      </c>
      <c r="H144" s="370">
        <v>0</v>
      </c>
      <c r="I144" s="370">
        <v>0</v>
      </c>
      <c r="J144" s="370">
        <v>0</v>
      </c>
      <c r="K144" s="370">
        <v>0</v>
      </c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</row>
    <row r="145" spans="1:24" ht="14.1" customHeight="1" x14ac:dyDescent="0.2">
      <c r="A145" s="54" t="s">
        <v>137</v>
      </c>
      <c r="B145" s="54" t="s">
        <v>323</v>
      </c>
      <c r="C145" s="370">
        <v>0</v>
      </c>
      <c r="D145" s="370">
        <v>0</v>
      </c>
      <c r="E145" s="370">
        <v>0</v>
      </c>
      <c r="F145" s="370">
        <f t="shared" si="3"/>
        <v>0</v>
      </c>
      <c r="G145" s="370">
        <v>0</v>
      </c>
      <c r="H145" s="370">
        <v>0</v>
      </c>
      <c r="I145" s="370">
        <v>0</v>
      </c>
      <c r="J145" s="370">
        <v>0</v>
      </c>
      <c r="K145" s="370">
        <v>0</v>
      </c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</row>
    <row r="146" spans="1:24" ht="14.1" customHeight="1" x14ac:dyDescent="0.2">
      <c r="A146" s="54" t="s">
        <v>138</v>
      </c>
      <c r="B146" s="54" t="s">
        <v>324</v>
      </c>
      <c r="C146" s="370">
        <v>-1</v>
      </c>
      <c r="D146" s="370">
        <v>-1</v>
      </c>
      <c r="E146" s="370">
        <v>0</v>
      </c>
      <c r="F146" s="370">
        <f t="shared" si="3"/>
        <v>-1</v>
      </c>
      <c r="G146" s="370">
        <v>0</v>
      </c>
      <c r="H146" s="370">
        <v>0</v>
      </c>
      <c r="I146" s="370">
        <v>0</v>
      </c>
      <c r="J146" s="370">
        <v>0</v>
      </c>
      <c r="K146" s="370">
        <v>0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</row>
    <row r="147" spans="1:24" ht="14.1" customHeight="1" x14ac:dyDescent="0.2">
      <c r="A147" s="54" t="s">
        <v>139</v>
      </c>
      <c r="B147" s="54" t="s">
        <v>325</v>
      </c>
      <c r="C147" s="370">
        <v>7312500</v>
      </c>
      <c r="D147" s="370">
        <v>7312500</v>
      </c>
      <c r="E147" s="370">
        <v>0</v>
      </c>
      <c r="F147" s="370">
        <f t="shared" si="3"/>
        <v>7312500</v>
      </c>
      <c r="G147" s="370">
        <v>0</v>
      </c>
      <c r="H147" s="370">
        <v>0</v>
      </c>
      <c r="I147" s="370">
        <v>0</v>
      </c>
      <c r="J147" s="370">
        <v>0</v>
      </c>
      <c r="K147" s="370">
        <v>0</v>
      </c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</row>
    <row r="148" spans="1:24" ht="14.1" customHeight="1" x14ac:dyDescent="0.2">
      <c r="A148" s="54" t="s">
        <v>140</v>
      </c>
      <c r="B148" s="54" t="s">
        <v>326</v>
      </c>
      <c r="C148" s="370">
        <v>0</v>
      </c>
      <c r="D148" s="370">
        <v>0</v>
      </c>
      <c r="E148" s="370">
        <v>0</v>
      </c>
      <c r="F148" s="370">
        <f t="shared" si="3"/>
        <v>0</v>
      </c>
      <c r="G148" s="370">
        <v>0</v>
      </c>
      <c r="H148" s="370">
        <v>0</v>
      </c>
      <c r="I148" s="370">
        <v>0</v>
      </c>
      <c r="J148" s="370">
        <v>0</v>
      </c>
      <c r="K148" s="370">
        <v>0</v>
      </c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</row>
    <row r="149" spans="1:24" ht="14.1" customHeight="1" x14ac:dyDescent="0.2">
      <c r="A149" s="54" t="s">
        <v>141</v>
      </c>
      <c r="B149" s="54" t="s">
        <v>327</v>
      </c>
      <c r="C149" s="370">
        <v>5447994</v>
      </c>
      <c r="D149" s="370">
        <v>5447994</v>
      </c>
      <c r="E149" s="370">
        <v>0</v>
      </c>
      <c r="F149" s="370">
        <f t="shared" si="3"/>
        <v>5447994</v>
      </c>
      <c r="G149" s="370">
        <v>0</v>
      </c>
      <c r="H149" s="370">
        <v>0</v>
      </c>
      <c r="I149" s="370">
        <v>0</v>
      </c>
      <c r="J149" s="370">
        <v>0</v>
      </c>
      <c r="K149" s="370">
        <v>0</v>
      </c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</row>
    <row r="150" spans="1:24" ht="14.1" customHeight="1" x14ac:dyDescent="0.2">
      <c r="A150" s="54" t="s">
        <v>142</v>
      </c>
      <c r="B150" s="54" t="s">
        <v>328</v>
      </c>
      <c r="C150" s="370">
        <v>111722086</v>
      </c>
      <c r="D150" s="370">
        <v>111722086</v>
      </c>
      <c r="E150" s="370">
        <v>0</v>
      </c>
      <c r="F150" s="370">
        <f t="shared" si="3"/>
        <v>111722086</v>
      </c>
      <c r="G150" s="370">
        <v>0</v>
      </c>
      <c r="H150" s="370">
        <v>0</v>
      </c>
      <c r="I150" s="370">
        <v>0</v>
      </c>
      <c r="J150" s="370">
        <v>0</v>
      </c>
      <c r="K150" s="370">
        <v>0</v>
      </c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</row>
    <row r="151" spans="1:24" ht="14.1" customHeight="1" x14ac:dyDescent="0.2">
      <c r="A151" s="54" t="s">
        <v>143</v>
      </c>
      <c r="B151" s="54" t="s">
        <v>329</v>
      </c>
      <c r="C151" s="370">
        <v>24065820</v>
      </c>
      <c r="D151" s="370">
        <v>24065820</v>
      </c>
      <c r="E151" s="370">
        <v>0</v>
      </c>
      <c r="F151" s="370">
        <f t="shared" si="3"/>
        <v>24065820</v>
      </c>
      <c r="G151" s="370">
        <v>0</v>
      </c>
      <c r="H151" s="370">
        <v>0</v>
      </c>
      <c r="I151" s="370">
        <v>0</v>
      </c>
      <c r="J151" s="370">
        <v>0</v>
      </c>
      <c r="K151" s="370">
        <v>0</v>
      </c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</row>
    <row r="152" spans="1:24" ht="14.1" customHeight="1" x14ac:dyDescent="0.2">
      <c r="A152" s="54" t="s">
        <v>144</v>
      </c>
      <c r="B152" s="54" t="s">
        <v>330</v>
      </c>
      <c r="C152" s="370">
        <v>0</v>
      </c>
      <c r="D152" s="370">
        <v>0</v>
      </c>
      <c r="E152" s="370">
        <v>0</v>
      </c>
      <c r="F152" s="370">
        <f t="shared" si="3"/>
        <v>0</v>
      </c>
      <c r="G152" s="370">
        <v>0</v>
      </c>
      <c r="H152" s="370">
        <v>0</v>
      </c>
      <c r="I152" s="370">
        <v>0</v>
      </c>
      <c r="J152" s="370">
        <v>0</v>
      </c>
      <c r="K152" s="370">
        <v>0</v>
      </c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</row>
    <row r="153" spans="1:24" ht="14.1" customHeight="1" x14ac:dyDescent="0.2">
      <c r="A153" s="54" t="s">
        <v>145</v>
      </c>
      <c r="B153" s="54" t="s">
        <v>331</v>
      </c>
      <c r="C153" s="370">
        <v>9273516</v>
      </c>
      <c r="D153" s="370">
        <v>9273516</v>
      </c>
      <c r="E153" s="370">
        <v>0</v>
      </c>
      <c r="F153" s="370">
        <f t="shared" si="3"/>
        <v>9273516</v>
      </c>
      <c r="G153" s="370">
        <v>0</v>
      </c>
      <c r="H153" s="370">
        <v>0</v>
      </c>
      <c r="I153" s="370">
        <v>0</v>
      </c>
      <c r="J153" s="370">
        <v>0</v>
      </c>
      <c r="K153" s="370">
        <v>0</v>
      </c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</row>
    <row r="154" spans="1:24" ht="14.1" customHeight="1" x14ac:dyDescent="0.2">
      <c r="A154" s="54" t="s">
        <v>146</v>
      </c>
      <c r="B154" s="54" t="s">
        <v>332</v>
      </c>
      <c r="C154" s="370">
        <v>0</v>
      </c>
      <c r="D154" s="370">
        <v>0</v>
      </c>
      <c r="E154" s="370">
        <v>0</v>
      </c>
      <c r="F154" s="370">
        <f t="shared" si="3"/>
        <v>0</v>
      </c>
      <c r="G154" s="370">
        <v>0</v>
      </c>
      <c r="H154" s="370">
        <v>0</v>
      </c>
      <c r="I154" s="370">
        <v>0</v>
      </c>
      <c r="J154" s="370">
        <v>0</v>
      </c>
      <c r="K154" s="370">
        <v>0</v>
      </c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</row>
    <row r="155" spans="1:24" ht="14.1" customHeight="1" x14ac:dyDescent="0.2">
      <c r="A155" s="54" t="s">
        <v>147</v>
      </c>
      <c r="B155" s="54" t="s">
        <v>333</v>
      </c>
      <c r="C155" s="370">
        <v>0</v>
      </c>
      <c r="D155" s="370">
        <v>0</v>
      </c>
      <c r="E155" s="370">
        <v>0</v>
      </c>
      <c r="F155" s="370">
        <f t="shared" si="3"/>
        <v>0</v>
      </c>
      <c r="G155" s="370">
        <v>0</v>
      </c>
      <c r="H155" s="370">
        <v>0</v>
      </c>
      <c r="I155" s="370">
        <v>0</v>
      </c>
      <c r="J155" s="370">
        <v>0</v>
      </c>
      <c r="K155" s="370">
        <v>0</v>
      </c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</row>
    <row r="156" spans="1:24" ht="14.1" customHeight="1" x14ac:dyDescent="0.2">
      <c r="A156" s="54" t="s">
        <v>148</v>
      </c>
      <c r="B156" s="54" t="s">
        <v>334</v>
      </c>
      <c r="C156" s="370">
        <v>0</v>
      </c>
      <c r="D156" s="370">
        <v>0</v>
      </c>
      <c r="E156" s="370">
        <v>0</v>
      </c>
      <c r="F156" s="370">
        <f t="shared" si="3"/>
        <v>0</v>
      </c>
      <c r="G156" s="370">
        <v>0</v>
      </c>
      <c r="H156" s="370">
        <v>0</v>
      </c>
      <c r="I156" s="370">
        <v>0</v>
      </c>
      <c r="J156" s="370">
        <v>0</v>
      </c>
      <c r="K156" s="370">
        <v>0</v>
      </c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</row>
    <row r="157" spans="1:24" ht="14.1" customHeight="1" x14ac:dyDescent="0.2">
      <c r="A157" s="54" t="s">
        <v>149</v>
      </c>
      <c r="B157" s="54" t="s">
        <v>335</v>
      </c>
      <c r="C157" s="370">
        <v>1</v>
      </c>
      <c r="D157" s="370">
        <v>0</v>
      </c>
      <c r="E157" s="370">
        <v>1</v>
      </c>
      <c r="F157" s="370">
        <f t="shared" si="3"/>
        <v>1</v>
      </c>
      <c r="G157" s="370">
        <v>0</v>
      </c>
      <c r="H157" s="370">
        <v>0</v>
      </c>
      <c r="I157" s="370">
        <v>0</v>
      </c>
      <c r="J157" s="370">
        <v>0</v>
      </c>
      <c r="K157" s="370">
        <v>0</v>
      </c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</row>
    <row r="158" spans="1:24" ht="14.1" customHeight="1" x14ac:dyDescent="0.2">
      <c r="A158" s="54" t="s">
        <v>150</v>
      </c>
      <c r="B158" s="54" t="s">
        <v>336</v>
      </c>
      <c r="C158" s="370">
        <v>0</v>
      </c>
      <c r="D158" s="370">
        <v>0</v>
      </c>
      <c r="E158" s="370">
        <v>0</v>
      </c>
      <c r="F158" s="370">
        <f t="shared" si="3"/>
        <v>0</v>
      </c>
      <c r="G158" s="370">
        <v>0</v>
      </c>
      <c r="H158" s="370">
        <v>0</v>
      </c>
      <c r="I158" s="370">
        <v>0</v>
      </c>
      <c r="J158" s="370">
        <v>0</v>
      </c>
      <c r="K158" s="370">
        <v>0</v>
      </c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</row>
    <row r="159" spans="1:24" ht="14.1" customHeight="1" x14ac:dyDescent="0.2">
      <c r="A159" s="54" t="s">
        <v>151</v>
      </c>
      <c r="B159" s="54" t="s">
        <v>337</v>
      </c>
      <c r="C159" s="370">
        <v>161531</v>
      </c>
      <c r="D159" s="370">
        <v>42712</v>
      </c>
      <c r="E159" s="370">
        <v>0</v>
      </c>
      <c r="F159" s="370">
        <f t="shared" si="3"/>
        <v>42712</v>
      </c>
      <c r="G159" s="370">
        <v>0</v>
      </c>
      <c r="H159" s="370">
        <v>0</v>
      </c>
      <c r="I159" s="370">
        <v>118819</v>
      </c>
      <c r="J159" s="370">
        <v>0</v>
      </c>
      <c r="K159" s="370">
        <v>0</v>
      </c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</row>
    <row r="160" spans="1:24" ht="14.1" customHeight="1" x14ac:dyDescent="0.2">
      <c r="A160" s="54" t="s">
        <v>152</v>
      </c>
      <c r="B160" s="54" t="s">
        <v>338</v>
      </c>
      <c r="C160" s="370">
        <v>1</v>
      </c>
      <c r="D160" s="370">
        <v>1</v>
      </c>
      <c r="E160" s="370">
        <v>0</v>
      </c>
      <c r="F160" s="370">
        <f t="shared" si="3"/>
        <v>1</v>
      </c>
      <c r="G160" s="370">
        <v>0</v>
      </c>
      <c r="H160" s="370">
        <v>0</v>
      </c>
      <c r="I160" s="370">
        <v>0</v>
      </c>
      <c r="J160" s="370">
        <v>0</v>
      </c>
      <c r="K160" s="370">
        <v>0</v>
      </c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</row>
    <row r="161" spans="1:24" ht="14.1" customHeight="1" x14ac:dyDescent="0.2">
      <c r="A161" s="54" t="s">
        <v>153</v>
      </c>
      <c r="B161" s="54" t="s">
        <v>339</v>
      </c>
      <c r="C161" s="370">
        <v>6131708</v>
      </c>
      <c r="D161" s="370">
        <v>6131708</v>
      </c>
      <c r="E161" s="370">
        <v>0</v>
      </c>
      <c r="F161" s="370">
        <f t="shared" si="3"/>
        <v>6131708</v>
      </c>
      <c r="G161" s="370">
        <v>0</v>
      </c>
      <c r="H161" s="370">
        <v>0</v>
      </c>
      <c r="I161" s="370">
        <v>0</v>
      </c>
      <c r="J161" s="370">
        <v>0</v>
      </c>
      <c r="K161" s="370">
        <v>0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</row>
    <row r="162" spans="1:24" ht="14.1" customHeight="1" x14ac:dyDescent="0.2">
      <c r="A162" s="54" t="s">
        <v>154</v>
      </c>
      <c r="B162" s="54" t="s">
        <v>336</v>
      </c>
      <c r="C162" s="370">
        <v>0</v>
      </c>
      <c r="D162" s="370">
        <v>0</v>
      </c>
      <c r="E162" s="370">
        <v>0</v>
      </c>
      <c r="F162" s="370">
        <f t="shared" si="3"/>
        <v>0</v>
      </c>
      <c r="G162" s="370">
        <v>0</v>
      </c>
      <c r="H162" s="370">
        <v>0</v>
      </c>
      <c r="I162" s="370">
        <v>0</v>
      </c>
      <c r="J162" s="370">
        <v>0</v>
      </c>
      <c r="K162" s="370">
        <v>0</v>
      </c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</row>
    <row r="163" spans="1:24" ht="14.1" customHeight="1" x14ac:dyDescent="0.2">
      <c r="A163" s="54" t="s">
        <v>155</v>
      </c>
      <c r="B163" s="54" t="s">
        <v>340</v>
      </c>
      <c r="C163" s="370">
        <v>140458953</v>
      </c>
      <c r="D163" s="370">
        <v>140458953</v>
      </c>
      <c r="E163" s="370">
        <v>0</v>
      </c>
      <c r="F163" s="370">
        <f t="shared" si="3"/>
        <v>140458953</v>
      </c>
      <c r="G163" s="370">
        <v>0</v>
      </c>
      <c r="H163" s="370">
        <v>0</v>
      </c>
      <c r="I163" s="370">
        <v>0</v>
      </c>
      <c r="J163" s="370">
        <v>0</v>
      </c>
      <c r="K163" s="370">
        <v>0</v>
      </c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</row>
    <row r="164" spans="1:24" ht="14.1" customHeight="1" x14ac:dyDescent="0.2">
      <c r="A164" s="54" t="s">
        <v>156</v>
      </c>
      <c r="B164" s="54" t="s">
        <v>341</v>
      </c>
      <c r="C164" s="370">
        <v>5457391</v>
      </c>
      <c r="D164" s="370">
        <v>5457391</v>
      </c>
      <c r="E164" s="370">
        <v>0</v>
      </c>
      <c r="F164" s="370">
        <f t="shared" si="3"/>
        <v>5457391</v>
      </c>
      <c r="G164" s="370">
        <v>0</v>
      </c>
      <c r="H164" s="370">
        <v>0</v>
      </c>
      <c r="I164" s="370">
        <v>0</v>
      </c>
      <c r="J164" s="370">
        <v>0</v>
      </c>
      <c r="K164" s="370">
        <v>0</v>
      </c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</row>
    <row r="165" spans="1:24" ht="14.1" customHeight="1" x14ac:dyDescent="0.2">
      <c r="A165" s="54" t="s">
        <v>157</v>
      </c>
      <c r="B165" s="54" t="s">
        <v>342</v>
      </c>
      <c r="C165" s="370">
        <v>63554</v>
      </c>
      <c r="D165" s="370">
        <v>63554</v>
      </c>
      <c r="E165" s="370">
        <v>0</v>
      </c>
      <c r="F165" s="370">
        <f t="shared" si="3"/>
        <v>63554</v>
      </c>
      <c r="G165" s="370">
        <v>0</v>
      </c>
      <c r="H165" s="370">
        <v>0</v>
      </c>
      <c r="I165" s="370">
        <v>0</v>
      </c>
      <c r="J165" s="370">
        <v>0</v>
      </c>
      <c r="K165" s="370">
        <v>0</v>
      </c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</row>
    <row r="166" spans="1:24" ht="14.1" customHeight="1" x14ac:dyDescent="0.2">
      <c r="A166" s="54" t="s">
        <v>158</v>
      </c>
      <c r="B166" s="54" t="s">
        <v>343</v>
      </c>
      <c r="C166" s="370">
        <v>0</v>
      </c>
      <c r="D166" s="370">
        <v>0</v>
      </c>
      <c r="E166" s="370">
        <v>0</v>
      </c>
      <c r="F166" s="370">
        <f t="shared" si="3"/>
        <v>0</v>
      </c>
      <c r="G166" s="370">
        <v>0</v>
      </c>
      <c r="H166" s="370">
        <v>0</v>
      </c>
      <c r="I166" s="370">
        <v>0</v>
      </c>
      <c r="J166" s="370">
        <v>0</v>
      </c>
      <c r="K166" s="370">
        <v>0</v>
      </c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</row>
    <row r="167" spans="1:24" ht="14.1" customHeight="1" x14ac:dyDescent="0.2">
      <c r="A167" s="54" t="s">
        <v>159</v>
      </c>
      <c r="B167" s="54" t="s">
        <v>344</v>
      </c>
      <c r="C167" s="370">
        <v>0</v>
      </c>
      <c r="D167" s="370">
        <v>0</v>
      </c>
      <c r="E167" s="370">
        <v>0</v>
      </c>
      <c r="F167" s="370">
        <f t="shared" si="3"/>
        <v>0</v>
      </c>
      <c r="G167" s="370">
        <v>0</v>
      </c>
      <c r="H167" s="370">
        <v>0</v>
      </c>
      <c r="I167" s="370">
        <v>0</v>
      </c>
      <c r="J167" s="370">
        <v>0</v>
      </c>
      <c r="K167" s="370">
        <v>0</v>
      </c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</row>
    <row r="168" spans="1:24" ht="14.1" customHeight="1" x14ac:dyDescent="0.2">
      <c r="A168" s="54" t="s">
        <v>160</v>
      </c>
      <c r="B168" s="54" t="s">
        <v>345</v>
      </c>
      <c r="C168" s="370">
        <v>1289928</v>
      </c>
      <c r="D168" s="370">
        <v>-1</v>
      </c>
      <c r="E168" s="370">
        <v>0</v>
      </c>
      <c r="F168" s="370">
        <f t="shared" si="3"/>
        <v>-1</v>
      </c>
      <c r="G168" s="370">
        <v>0</v>
      </c>
      <c r="H168" s="370">
        <v>0</v>
      </c>
      <c r="I168" s="370">
        <v>1289929</v>
      </c>
      <c r="J168" s="370">
        <v>0</v>
      </c>
      <c r="K168" s="370">
        <v>0</v>
      </c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</row>
    <row r="169" spans="1:24" ht="14.1" customHeight="1" x14ac:dyDescent="0.2">
      <c r="A169" s="54" t="s">
        <v>161</v>
      </c>
      <c r="B169" s="54" t="s">
        <v>346</v>
      </c>
      <c r="C169" s="370">
        <v>0</v>
      </c>
      <c r="D169" s="370">
        <v>0</v>
      </c>
      <c r="E169" s="370">
        <v>0</v>
      </c>
      <c r="F169" s="370">
        <f t="shared" si="3"/>
        <v>0</v>
      </c>
      <c r="G169" s="370">
        <v>0</v>
      </c>
      <c r="H169" s="370">
        <v>0</v>
      </c>
      <c r="I169" s="370">
        <v>0</v>
      </c>
      <c r="J169" s="370">
        <v>0</v>
      </c>
      <c r="K169" s="370">
        <v>0</v>
      </c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</row>
    <row r="170" spans="1:24" ht="14.1" customHeight="1" x14ac:dyDescent="0.2">
      <c r="A170" s="54" t="s">
        <v>162</v>
      </c>
      <c r="B170" s="54" t="s">
        <v>347</v>
      </c>
      <c r="C170" s="370">
        <v>-70343869</v>
      </c>
      <c r="D170" s="370">
        <v>-70343869</v>
      </c>
      <c r="E170" s="370">
        <v>0</v>
      </c>
      <c r="F170" s="370">
        <f t="shared" si="3"/>
        <v>-70343869</v>
      </c>
      <c r="G170" s="370">
        <v>0</v>
      </c>
      <c r="H170" s="370">
        <v>0</v>
      </c>
      <c r="I170" s="370">
        <v>0</v>
      </c>
      <c r="J170" s="370">
        <v>0</v>
      </c>
      <c r="K170" s="370">
        <v>0</v>
      </c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</row>
    <row r="171" spans="1:24" ht="14.1" customHeight="1" x14ac:dyDescent="0.2">
      <c r="A171" s="54" t="s">
        <v>163</v>
      </c>
      <c r="B171" s="54" t="s">
        <v>348</v>
      </c>
      <c r="C171" s="370">
        <v>-2804913</v>
      </c>
      <c r="D171" s="370">
        <v>-2804913</v>
      </c>
      <c r="E171" s="370">
        <v>0</v>
      </c>
      <c r="F171" s="370">
        <f t="shared" si="3"/>
        <v>-2804913</v>
      </c>
      <c r="G171" s="370">
        <v>0</v>
      </c>
      <c r="H171" s="370">
        <v>0</v>
      </c>
      <c r="I171" s="370">
        <v>0</v>
      </c>
      <c r="J171" s="370">
        <v>0</v>
      </c>
      <c r="K171" s="370">
        <v>0</v>
      </c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</row>
    <row r="172" spans="1:24" ht="14.1" customHeight="1" x14ac:dyDescent="0.2">
      <c r="A172" s="54" t="s">
        <v>164</v>
      </c>
      <c r="B172" s="54" t="s">
        <v>349</v>
      </c>
      <c r="C172" s="370">
        <v>0</v>
      </c>
      <c r="D172" s="370">
        <v>0</v>
      </c>
      <c r="E172" s="370">
        <v>0</v>
      </c>
      <c r="F172" s="370">
        <f t="shared" si="3"/>
        <v>0</v>
      </c>
      <c r="G172" s="370">
        <v>0</v>
      </c>
      <c r="H172" s="370">
        <v>0</v>
      </c>
      <c r="I172" s="370">
        <v>0</v>
      </c>
      <c r="J172" s="370">
        <v>0</v>
      </c>
      <c r="K172" s="370">
        <v>0</v>
      </c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</row>
    <row r="173" spans="1:24" ht="14.1" customHeight="1" x14ac:dyDescent="0.2">
      <c r="A173" s="54" t="s">
        <v>165</v>
      </c>
      <c r="B173" s="54" t="s">
        <v>350</v>
      </c>
      <c r="C173" s="370">
        <v>1</v>
      </c>
      <c r="D173" s="370">
        <v>1</v>
      </c>
      <c r="E173" s="370">
        <v>0</v>
      </c>
      <c r="F173" s="370">
        <f t="shared" si="3"/>
        <v>1</v>
      </c>
      <c r="G173" s="370">
        <v>0</v>
      </c>
      <c r="H173" s="370">
        <v>0</v>
      </c>
      <c r="I173" s="370">
        <v>0</v>
      </c>
      <c r="J173" s="370">
        <v>0</v>
      </c>
      <c r="K173" s="370">
        <v>0</v>
      </c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</row>
    <row r="174" spans="1:24" ht="14.1" customHeight="1" x14ac:dyDescent="0.2">
      <c r="A174" s="54" t="s">
        <v>166</v>
      </c>
      <c r="B174" s="54" t="s">
        <v>351</v>
      </c>
      <c r="C174" s="370">
        <v>-37318093</v>
      </c>
      <c r="D174" s="370">
        <v>-37318093</v>
      </c>
      <c r="E174" s="370">
        <v>0</v>
      </c>
      <c r="F174" s="370">
        <f t="shared" si="3"/>
        <v>-37318093</v>
      </c>
      <c r="G174" s="370">
        <v>0</v>
      </c>
      <c r="H174" s="370">
        <v>0</v>
      </c>
      <c r="I174" s="370">
        <v>0</v>
      </c>
      <c r="J174" s="370">
        <v>0</v>
      </c>
      <c r="K174" s="370">
        <v>0</v>
      </c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</row>
    <row r="175" spans="1:24" ht="14.1" customHeight="1" x14ac:dyDescent="0.2">
      <c r="A175" s="54" t="s">
        <v>167</v>
      </c>
      <c r="B175" s="54" t="s">
        <v>352</v>
      </c>
      <c r="C175" s="370">
        <v>0</v>
      </c>
      <c r="D175" s="370">
        <v>0</v>
      </c>
      <c r="E175" s="370">
        <v>0</v>
      </c>
      <c r="F175" s="370">
        <f t="shared" si="3"/>
        <v>0</v>
      </c>
      <c r="G175" s="370">
        <v>0</v>
      </c>
      <c r="H175" s="370">
        <v>0</v>
      </c>
      <c r="I175" s="370">
        <v>0</v>
      </c>
      <c r="J175" s="370">
        <v>0</v>
      </c>
      <c r="K175" s="370">
        <v>0</v>
      </c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</row>
    <row r="176" spans="1:24" ht="14.1" customHeight="1" x14ac:dyDescent="0.2">
      <c r="A176" s="54" t="s">
        <v>168</v>
      </c>
      <c r="B176" s="54" t="s">
        <v>353</v>
      </c>
      <c r="C176" s="370">
        <v>886</v>
      </c>
      <c r="D176" s="370">
        <v>886</v>
      </c>
      <c r="E176" s="370">
        <v>0</v>
      </c>
      <c r="F176" s="370">
        <f t="shared" si="3"/>
        <v>886</v>
      </c>
      <c r="G176" s="370">
        <v>0</v>
      </c>
      <c r="H176" s="370">
        <v>0</v>
      </c>
      <c r="I176" s="370">
        <v>0</v>
      </c>
      <c r="J176" s="370">
        <v>0</v>
      </c>
      <c r="K176" s="370">
        <v>0</v>
      </c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</row>
    <row r="177" spans="1:24" ht="14.1" customHeight="1" x14ac:dyDescent="0.2">
      <c r="A177" s="54" t="s">
        <v>169</v>
      </c>
      <c r="B177" s="54" t="s">
        <v>354</v>
      </c>
      <c r="C177" s="370">
        <v>0</v>
      </c>
      <c r="D177" s="370">
        <v>0</v>
      </c>
      <c r="E177" s="370">
        <v>0</v>
      </c>
      <c r="F177" s="370">
        <f t="shared" si="3"/>
        <v>0</v>
      </c>
      <c r="G177" s="370">
        <v>0</v>
      </c>
      <c r="H177" s="370">
        <v>0</v>
      </c>
      <c r="I177" s="370">
        <v>0</v>
      </c>
      <c r="J177" s="370">
        <v>0</v>
      </c>
      <c r="K177" s="370">
        <v>0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</row>
    <row r="178" spans="1:24" ht="14.1" customHeight="1" x14ac:dyDescent="0.2">
      <c r="A178" s="54" t="s">
        <v>170</v>
      </c>
      <c r="B178" s="54" t="s">
        <v>355</v>
      </c>
      <c r="C178" s="370">
        <v>110606293</v>
      </c>
      <c r="D178" s="370">
        <v>110606293</v>
      </c>
      <c r="E178" s="370">
        <v>0</v>
      </c>
      <c r="F178" s="370">
        <f t="shared" si="3"/>
        <v>110606293</v>
      </c>
      <c r="G178" s="370">
        <v>0</v>
      </c>
      <c r="H178" s="370">
        <v>0</v>
      </c>
      <c r="I178" s="370">
        <v>0</v>
      </c>
      <c r="J178" s="370">
        <v>0</v>
      </c>
      <c r="K178" s="370">
        <v>0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</row>
    <row r="179" spans="1:24" ht="14.1" customHeight="1" x14ac:dyDescent="0.2">
      <c r="A179" s="54" t="s">
        <v>591</v>
      </c>
      <c r="B179" s="54" t="s">
        <v>592</v>
      </c>
      <c r="C179" s="370">
        <v>0</v>
      </c>
      <c r="D179" s="370">
        <v>0</v>
      </c>
      <c r="E179" s="370">
        <v>0</v>
      </c>
      <c r="F179" s="370">
        <f t="shared" si="3"/>
        <v>0</v>
      </c>
      <c r="G179" s="370">
        <v>0</v>
      </c>
      <c r="H179" s="370">
        <v>0</v>
      </c>
      <c r="I179" s="370">
        <v>0</v>
      </c>
      <c r="J179" s="370">
        <v>0</v>
      </c>
      <c r="K179" s="370">
        <v>0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</row>
    <row r="180" spans="1:24" ht="14.1" customHeight="1" x14ac:dyDescent="0.2">
      <c r="A180" s="54" t="s">
        <v>171</v>
      </c>
      <c r="B180" s="54" t="s">
        <v>356</v>
      </c>
      <c r="C180" s="370">
        <v>39923306</v>
      </c>
      <c r="D180" s="370">
        <v>39923306</v>
      </c>
      <c r="E180" s="370">
        <v>0</v>
      </c>
      <c r="F180" s="370">
        <f t="shared" si="3"/>
        <v>39923306</v>
      </c>
      <c r="G180" s="370">
        <v>0</v>
      </c>
      <c r="H180" s="370">
        <v>0</v>
      </c>
      <c r="I180" s="370">
        <v>0</v>
      </c>
      <c r="J180" s="370">
        <v>0</v>
      </c>
      <c r="K180" s="370">
        <v>0</v>
      </c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</row>
    <row r="181" spans="1:24" ht="14.1" customHeight="1" x14ac:dyDescent="0.2">
      <c r="A181" s="54" t="s">
        <v>172</v>
      </c>
      <c r="B181" s="54" t="s">
        <v>357</v>
      </c>
      <c r="C181" s="370">
        <v>12382353</v>
      </c>
      <c r="D181" s="370">
        <v>12382353</v>
      </c>
      <c r="E181" s="370">
        <v>0</v>
      </c>
      <c r="F181" s="370">
        <f t="shared" si="3"/>
        <v>12382353</v>
      </c>
      <c r="G181" s="370">
        <v>0</v>
      </c>
      <c r="H181" s="370">
        <v>0</v>
      </c>
      <c r="I181" s="370">
        <v>0</v>
      </c>
      <c r="J181" s="370">
        <v>0</v>
      </c>
      <c r="K181" s="370">
        <v>0</v>
      </c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</row>
    <row r="182" spans="1:24" ht="14.1" customHeight="1" x14ac:dyDescent="0.2">
      <c r="A182" s="54" t="s">
        <v>173</v>
      </c>
      <c r="B182" s="54" t="s">
        <v>358</v>
      </c>
      <c r="C182" s="370">
        <v>0</v>
      </c>
      <c r="D182" s="370">
        <v>0</v>
      </c>
      <c r="E182" s="370">
        <v>0</v>
      </c>
      <c r="F182" s="370">
        <f t="shared" si="3"/>
        <v>0</v>
      </c>
      <c r="G182" s="370">
        <v>0</v>
      </c>
      <c r="H182" s="370">
        <v>0</v>
      </c>
      <c r="I182" s="370">
        <v>0</v>
      </c>
      <c r="J182" s="370">
        <v>0</v>
      </c>
      <c r="K182" s="370">
        <v>0</v>
      </c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</row>
    <row r="183" spans="1:24" ht="14.1" customHeight="1" x14ac:dyDescent="0.2">
      <c r="A183" s="54" t="s">
        <v>174</v>
      </c>
      <c r="B183" s="54" t="s">
        <v>359</v>
      </c>
      <c r="C183" s="370">
        <v>0</v>
      </c>
      <c r="D183" s="370">
        <v>0</v>
      </c>
      <c r="E183" s="370">
        <v>0</v>
      </c>
      <c r="F183" s="370">
        <f t="shared" si="3"/>
        <v>0</v>
      </c>
      <c r="G183" s="370">
        <v>0</v>
      </c>
      <c r="H183" s="370">
        <v>0</v>
      </c>
      <c r="I183" s="370">
        <v>0</v>
      </c>
      <c r="J183" s="370">
        <v>0</v>
      </c>
      <c r="K183" s="370">
        <v>0</v>
      </c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</row>
    <row r="184" spans="1:24" ht="14.1" customHeight="1" x14ac:dyDescent="0.2">
      <c r="A184" s="54" t="s">
        <v>175</v>
      </c>
      <c r="B184" s="54" t="s">
        <v>360</v>
      </c>
      <c r="C184" s="370">
        <v>0</v>
      </c>
      <c r="D184" s="370">
        <v>0</v>
      </c>
      <c r="E184" s="370">
        <v>0</v>
      </c>
      <c r="F184" s="370">
        <f t="shared" si="3"/>
        <v>0</v>
      </c>
      <c r="G184" s="370">
        <v>0</v>
      </c>
      <c r="H184" s="370">
        <v>0</v>
      </c>
      <c r="I184" s="370">
        <v>0</v>
      </c>
      <c r="J184" s="370">
        <v>0</v>
      </c>
      <c r="K184" s="370">
        <v>0</v>
      </c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</row>
    <row r="185" spans="1:24" ht="14.1" customHeight="1" x14ac:dyDescent="0.2">
      <c r="A185" s="54" t="s">
        <v>176</v>
      </c>
      <c r="B185" s="54" t="s">
        <v>361</v>
      </c>
      <c r="C185" s="370">
        <v>-67547937</v>
      </c>
      <c r="D185" s="370">
        <v>-67547937</v>
      </c>
      <c r="E185" s="370">
        <v>0</v>
      </c>
      <c r="F185" s="370">
        <f t="shared" si="3"/>
        <v>-67547937</v>
      </c>
      <c r="G185" s="370">
        <v>0</v>
      </c>
      <c r="H185" s="370">
        <v>0</v>
      </c>
      <c r="I185" s="370">
        <v>0</v>
      </c>
      <c r="J185" s="370">
        <v>0</v>
      </c>
      <c r="K185" s="370">
        <v>0</v>
      </c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</row>
    <row r="186" spans="1:24" ht="14.1" customHeight="1" x14ac:dyDescent="0.2">
      <c r="A186" s="54" t="s">
        <v>177</v>
      </c>
      <c r="B186" s="54" t="s">
        <v>362</v>
      </c>
      <c r="C186" s="370">
        <v>4897596</v>
      </c>
      <c r="D186" s="370">
        <v>4897596</v>
      </c>
      <c r="E186" s="370">
        <v>0</v>
      </c>
      <c r="F186" s="370">
        <f t="shared" si="3"/>
        <v>4897596</v>
      </c>
      <c r="G186" s="370">
        <v>0</v>
      </c>
      <c r="H186" s="370">
        <v>0</v>
      </c>
      <c r="I186" s="370">
        <v>0</v>
      </c>
      <c r="J186" s="370">
        <v>0</v>
      </c>
      <c r="K186" s="370">
        <v>0</v>
      </c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</row>
    <row r="187" spans="1:24" ht="14.1" customHeight="1" x14ac:dyDescent="0.2">
      <c r="A187" s="54" t="s">
        <v>178</v>
      </c>
      <c r="B187" s="54" t="s">
        <v>363</v>
      </c>
      <c r="C187" s="370">
        <v>0</v>
      </c>
      <c r="D187" s="370">
        <v>0</v>
      </c>
      <c r="E187" s="370">
        <v>0</v>
      </c>
      <c r="F187" s="370">
        <f t="shared" si="3"/>
        <v>0</v>
      </c>
      <c r="G187" s="370">
        <v>0</v>
      </c>
      <c r="H187" s="370">
        <v>0</v>
      </c>
      <c r="I187" s="370">
        <v>0</v>
      </c>
      <c r="J187" s="370">
        <v>0</v>
      </c>
      <c r="K187" s="370">
        <v>0</v>
      </c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</row>
    <row r="188" spans="1:24" ht="14.1" customHeight="1" x14ac:dyDescent="0.2">
      <c r="A188" s="54" t="s">
        <v>179</v>
      </c>
      <c r="B188" s="54" t="s">
        <v>364</v>
      </c>
      <c r="C188" s="370">
        <v>-115491986</v>
      </c>
      <c r="D188" s="370">
        <v>-115491986</v>
      </c>
      <c r="E188" s="370">
        <v>0</v>
      </c>
      <c r="F188" s="370">
        <f t="shared" si="3"/>
        <v>-115491986</v>
      </c>
      <c r="G188" s="370">
        <v>0</v>
      </c>
      <c r="H188" s="370">
        <v>0</v>
      </c>
      <c r="I188" s="370">
        <v>0</v>
      </c>
      <c r="J188" s="370">
        <v>0</v>
      </c>
      <c r="K188" s="370">
        <v>0</v>
      </c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</row>
    <row r="189" spans="1:24" ht="14.1" customHeight="1" x14ac:dyDescent="0.2">
      <c r="A189" s="54" t="s">
        <v>180</v>
      </c>
      <c r="B189" s="54" t="s">
        <v>365</v>
      </c>
      <c r="C189" s="370">
        <v>5224057</v>
      </c>
      <c r="D189" s="370">
        <v>5224057</v>
      </c>
      <c r="E189" s="370">
        <v>0</v>
      </c>
      <c r="F189" s="370">
        <f t="shared" si="3"/>
        <v>5224057</v>
      </c>
      <c r="G189" s="370">
        <v>0</v>
      </c>
      <c r="H189" s="370">
        <v>0</v>
      </c>
      <c r="I189" s="370">
        <v>0</v>
      </c>
      <c r="J189" s="370">
        <v>0</v>
      </c>
      <c r="K189" s="370">
        <v>0</v>
      </c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</row>
    <row r="190" spans="1:24" ht="14.1" customHeight="1" x14ac:dyDescent="0.2">
      <c r="A190" s="54" t="s">
        <v>181</v>
      </c>
      <c r="B190" s="54" t="s">
        <v>366</v>
      </c>
      <c r="C190" s="370">
        <v>74274946</v>
      </c>
      <c r="D190" s="370">
        <v>74274946</v>
      </c>
      <c r="E190" s="370">
        <v>0</v>
      </c>
      <c r="F190" s="370">
        <f t="shared" si="3"/>
        <v>74274946</v>
      </c>
      <c r="G190" s="370">
        <v>0</v>
      </c>
      <c r="H190" s="370">
        <v>0</v>
      </c>
      <c r="I190" s="370">
        <v>0</v>
      </c>
      <c r="J190" s="370">
        <v>0</v>
      </c>
      <c r="K190" s="370">
        <v>0</v>
      </c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</row>
    <row r="191" spans="1:24" ht="14.1" customHeight="1" x14ac:dyDescent="0.2">
      <c r="A191" s="54" t="s">
        <v>182</v>
      </c>
      <c r="B191" s="54" t="s">
        <v>367</v>
      </c>
      <c r="C191" s="370">
        <v>0</v>
      </c>
      <c r="D191" s="370">
        <v>0</v>
      </c>
      <c r="E191" s="370">
        <v>0</v>
      </c>
      <c r="F191" s="370">
        <f t="shared" si="3"/>
        <v>0</v>
      </c>
      <c r="G191" s="370">
        <v>0</v>
      </c>
      <c r="H191" s="370">
        <v>0</v>
      </c>
      <c r="I191" s="370">
        <v>0</v>
      </c>
      <c r="J191" s="370">
        <v>0</v>
      </c>
      <c r="K191" s="370">
        <v>0</v>
      </c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</row>
    <row r="192" spans="1:24" ht="14.1" customHeight="1" x14ac:dyDescent="0.2">
      <c r="A192" s="54" t="s">
        <v>183</v>
      </c>
      <c r="B192" s="54" t="s">
        <v>368</v>
      </c>
      <c r="C192" s="370">
        <v>0</v>
      </c>
      <c r="D192" s="370">
        <v>0</v>
      </c>
      <c r="E192" s="370">
        <v>0</v>
      </c>
      <c r="F192" s="370">
        <f t="shared" si="3"/>
        <v>0</v>
      </c>
      <c r="G192" s="370">
        <v>0</v>
      </c>
      <c r="H192" s="370">
        <v>0</v>
      </c>
      <c r="I192" s="370">
        <v>0</v>
      </c>
      <c r="J192" s="370">
        <v>0</v>
      </c>
      <c r="K192" s="370">
        <v>0</v>
      </c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</row>
    <row r="193" spans="1:24" ht="14.1" customHeight="1" x14ac:dyDescent="0.2">
      <c r="A193" s="54" t="s">
        <v>184</v>
      </c>
      <c r="B193" s="54" t="s">
        <v>369</v>
      </c>
      <c r="C193" s="370">
        <v>-59333935</v>
      </c>
      <c r="D193" s="370">
        <v>-59333935</v>
      </c>
      <c r="E193" s="370">
        <v>0</v>
      </c>
      <c r="F193" s="370">
        <f t="shared" si="3"/>
        <v>-59333935</v>
      </c>
      <c r="G193" s="370">
        <v>0</v>
      </c>
      <c r="H193" s="370">
        <v>0</v>
      </c>
      <c r="I193" s="370">
        <v>0</v>
      </c>
      <c r="J193" s="370">
        <v>0</v>
      </c>
      <c r="K193" s="370">
        <v>0</v>
      </c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</row>
    <row r="194" spans="1:24" ht="14.1" customHeight="1" x14ac:dyDescent="0.2">
      <c r="A194" s="54" t="s">
        <v>185</v>
      </c>
      <c r="B194" s="54" t="s">
        <v>370</v>
      </c>
      <c r="C194" s="370">
        <v>0</v>
      </c>
      <c r="D194" s="370">
        <v>0</v>
      </c>
      <c r="E194" s="370">
        <v>0</v>
      </c>
      <c r="F194" s="370">
        <f t="shared" si="3"/>
        <v>0</v>
      </c>
      <c r="G194" s="370">
        <v>0</v>
      </c>
      <c r="H194" s="370">
        <v>0</v>
      </c>
      <c r="I194" s="370">
        <v>0</v>
      </c>
      <c r="J194" s="370">
        <v>0</v>
      </c>
      <c r="K194" s="370">
        <v>0</v>
      </c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</row>
    <row r="195" spans="1:24" ht="14.1" customHeight="1" x14ac:dyDescent="0.2">
      <c r="A195" s="54" t="s">
        <v>593</v>
      </c>
      <c r="B195" s="54" t="s">
        <v>459</v>
      </c>
      <c r="C195" s="370">
        <v>0</v>
      </c>
      <c r="D195" s="370">
        <v>0</v>
      </c>
      <c r="E195" s="370">
        <v>0</v>
      </c>
      <c r="F195" s="370">
        <f t="shared" si="3"/>
        <v>0</v>
      </c>
      <c r="G195" s="370">
        <v>0</v>
      </c>
      <c r="H195" s="370">
        <v>0</v>
      </c>
      <c r="I195" s="370">
        <v>0</v>
      </c>
      <c r="J195" s="370">
        <v>0</v>
      </c>
      <c r="K195" s="370">
        <v>0</v>
      </c>
    </row>
    <row r="196" spans="1:24" ht="14.1" customHeight="1" x14ac:dyDescent="0.2">
      <c r="A196" s="54" t="s">
        <v>186</v>
      </c>
      <c r="B196" s="54" t="s">
        <v>371</v>
      </c>
      <c r="C196" s="371">
        <v>22311769</v>
      </c>
      <c r="D196" s="371">
        <v>22311769</v>
      </c>
      <c r="E196" s="371">
        <v>0</v>
      </c>
      <c r="F196" s="370">
        <f t="shared" si="3"/>
        <v>22311769</v>
      </c>
      <c r="G196" s="371">
        <v>0</v>
      </c>
      <c r="H196" s="371">
        <v>0</v>
      </c>
      <c r="I196" s="371">
        <v>0</v>
      </c>
      <c r="J196" s="371">
        <v>0</v>
      </c>
      <c r="K196" s="371">
        <v>0</v>
      </c>
    </row>
    <row r="197" spans="1:24" ht="14.1" customHeight="1" thickBot="1" x14ac:dyDescent="0.25">
      <c r="A197" s="383" t="s">
        <v>187</v>
      </c>
      <c r="B197" s="383" t="s">
        <v>1</v>
      </c>
      <c r="C197" s="384">
        <v>-24156070515</v>
      </c>
      <c r="D197" s="384">
        <v>-25302445120</v>
      </c>
      <c r="E197" s="384">
        <v>710824996</v>
      </c>
      <c r="F197" s="384">
        <f>SUM(F8:F196)</f>
        <v>-24591620124</v>
      </c>
      <c r="G197" s="384">
        <v>-427890</v>
      </c>
      <c r="H197" s="384">
        <v>434568750</v>
      </c>
      <c r="I197" s="384">
        <v>1408748</v>
      </c>
      <c r="J197" s="384">
        <v>0</v>
      </c>
      <c r="K197" s="384">
        <v>0</v>
      </c>
    </row>
    <row r="198" spans="1:24" ht="14.1" customHeight="1" thickTop="1" x14ac:dyDescent="0.2">
      <c r="C198" s="59"/>
      <c r="D198" s="59"/>
      <c r="E198" s="59"/>
      <c r="F198" s="370"/>
      <c r="G198" s="59"/>
      <c r="H198" s="59"/>
      <c r="I198" s="59"/>
      <c r="J198" s="59"/>
      <c r="K198" s="59"/>
    </row>
    <row r="199" spans="1:24" ht="14.1" customHeight="1" x14ac:dyDescent="0.2">
      <c r="C199" s="59"/>
      <c r="D199" s="59"/>
      <c r="G199" s="59"/>
      <c r="H199" s="59"/>
      <c r="I199" s="59"/>
      <c r="J199" s="59"/>
      <c r="K199" s="59"/>
    </row>
    <row r="200" spans="1:24" ht="14.1" customHeight="1" x14ac:dyDescent="0.2">
      <c r="C200" s="59"/>
      <c r="D200" s="59"/>
      <c r="E200" s="59"/>
      <c r="F200" s="370"/>
      <c r="G200" s="59"/>
      <c r="H200" s="59"/>
      <c r="I200" s="59"/>
      <c r="J200" s="59"/>
      <c r="K200" s="59"/>
    </row>
    <row r="201" spans="1:24" ht="14.1" customHeight="1" x14ac:dyDescent="0.2">
      <c r="C201" s="59"/>
      <c r="D201" s="59"/>
      <c r="E201" s="59"/>
      <c r="F201" s="370"/>
      <c r="G201" s="59"/>
      <c r="H201" s="59"/>
      <c r="I201" s="59"/>
      <c r="J201" s="59"/>
      <c r="K201" s="59"/>
    </row>
    <row r="202" spans="1:24" ht="14.1" customHeight="1" x14ac:dyDescent="0.2">
      <c r="C202" s="59"/>
      <c r="D202" s="59"/>
      <c r="E202" s="59"/>
      <c r="F202" s="370"/>
      <c r="G202" s="59"/>
      <c r="H202" s="59"/>
      <c r="I202" s="59"/>
      <c r="J202" s="59"/>
      <c r="K202" s="59"/>
    </row>
    <row r="203" spans="1:24" ht="14.1" customHeight="1" x14ac:dyDescent="0.2">
      <c r="C203" s="59"/>
      <c r="D203" s="59"/>
      <c r="E203" s="59"/>
      <c r="F203" s="370"/>
      <c r="G203" s="59"/>
      <c r="H203" s="59"/>
      <c r="I203" s="59"/>
      <c r="J203" s="59"/>
      <c r="K203" s="59"/>
    </row>
    <row r="204" spans="1:24" ht="14.1" customHeight="1" x14ac:dyDescent="0.2">
      <c r="C204" s="59"/>
      <c r="D204" s="59"/>
      <c r="E204" s="59"/>
      <c r="F204" s="370"/>
      <c r="G204" s="59"/>
      <c r="H204" s="59"/>
      <c r="I204" s="59"/>
      <c r="J204" s="59"/>
      <c r="K204" s="59"/>
    </row>
    <row r="205" spans="1:24" ht="14.1" customHeight="1" x14ac:dyDescent="0.2">
      <c r="C205" s="59"/>
      <c r="D205" s="59"/>
      <c r="E205" s="59"/>
      <c r="F205" s="370"/>
      <c r="G205" s="59"/>
      <c r="H205" s="59"/>
      <c r="I205" s="59"/>
      <c r="J205" s="59"/>
      <c r="K205" s="59"/>
    </row>
    <row r="206" spans="1:24" ht="14.1" customHeight="1" x14ac:dyDescent="0.2">
      <c r="C206" s="59"/>
      <c r="D206" s="59"/>
      <c r="E206" s="59"/>
      <c r="F206" s="370"/>
      <c r="G206" s="59"/>
      <c r="H206" s="59"/>
      <c r="I206" s="59"/>
      <c r="J206" s="59"/>
      <c r="K206" s="59"/>
    </row>
    <row r="207" spans="1:24" ht="14.1" customHeight="1" x14ac:dyDescent="0.2">
      <c r="C207" s="59"/>
      <c r="D207" s="59"/>
      <c r="E207" s="59"/>
      <c r="F207" s="370"/>
      <c r="G207" s="59"/>
      <c r="H207" s="59"/>
      <c r="I207" s="59"/>
      <c r="J207" s="59"/>
      <c r="K207" s="59"/>
    </row>
    <row r="208" spans="1:24" ht="14.1" customHeight="1" x14ac:dyDescent="0.2">
      <c r="C208" s="59"/>
      <c r="D208" s="59"/>
      <c r="E208" s="59"/>
      <c r="F208" s="370"/>
      <c r="G208" s="59"/>
      <c r="H208" s="59"/>
      <c r="I208" s="59"/>
      <c r="J208" s="59"/>
      <c r="K208" s="59"/>
    </row>
    <row r="209" spans="3:11" ht="14.1" customHeight="1" x14ac:dyDescent="0.2">
      <c r="C209" s="59"/>
      <c r="D209" s="59"/>
      <c r="E209" s="59"/>
      <c r="F209" s="370"/>
      <c r="G209" s="59"/>
      <c r="H209" s="59"/>
      <c r="I209" s="59"/>
      <c r="J209" s="59"/>
      <c r="K209" s="59"/>
    </row>
    <row r="210" spans="3:11" ht="14.1" customHeight="1" x14ac:dyDescent="0.2">
      <c r="C210" s="59"/>
      <c r="D210" s="59"/>
      <c r="E210" s="59"/>
      <c r="F210" s="370"/>
      <c r="G210" s="59"/>
      <c r="H210" s="59"/>
      <c r="I210" s="59"/>
      <c r="J210" s="59"/>
      <c r="K210" s="59"/>
    </row>
    <row r="211" spans="3:11" ht="14.1" customHeight="1" x14ac:dyDescent="0.2">
      <c r="C211" s="59"/>
      <c r="D211" s="59"/>
      <c r="E211" s="59"/>
      <c r="F211" s="370"/>
      <c r="G211" s="59"/>
      <c r="H211" s="59"/>
      <c r="I211" s="59"/>
      <c r="J211" s="59"/>
      <c r="K211" s="59"/>
    </row>
    <row r="212" spans="3:11" ht="14.1" customHeight="1" x14ac:dyDescent="0.2">
      <c r="C212" s="59"/>
      <c r="D212" s="59"/>
      <c r="E212" s="59"/>
      <c r="F212" s="370"/>
      <c r="G212" s="59"/>
      <c r="H212" s="59"/>
      <c r="I212" s="59"/>
      <c r="J212" s="59"/>
      <c r="K212" s="59"/>
    </row>
    <row r="213" spans="3:11" ht="14.1" customHeight="1" x14ac:dyDescent="0.2">
      <c r="C213" s="59"/>
      <c r="D213" s="59"/>
      <c r="E213" s="59"/>
      <c r="F213" s="370"/>
      <c r="G213" s="59"/>
      <c r="H213" s="59"/>
      <c r="I213" s="59"/>
      <c r="J213" s="59"/>
      <c r="K213" s="59"/>
    </row>
    <row r="214" spans="3:11" ht="14.1" customHeight="1" x14ac:dyDescent="0.2">
      <c r="C214" s="59"/>
      <c r="D214" s="59"/>
      <c r="E214" s="59"/>
      <c r="F214" s="370"/>
      <c r="G214" s="59"/>
      <c r="H214" s="59"/>
      <c r="I214" s="59"/>
      <c r="J214" s="59"/>
      <c r="K214" s="59"/>
    </row>
    <row r="215" spans="3:11" ht="14.1" customHeight="1" x14ac:dyDescent="0.2">
      <c r="C215" s="59"/>
      <c r="D215" s="59"/>
      <c r="E215" s="59"/>
      <c r="F215" s="370"/>
      <c r="G215" s="59"/>
      <c r="H215" s="59"/>
      <c r="I215" s="59"/>
      <c r="J215" s="59"/>
      <c r="K215" s="59"/>
    </row>
    <row r="216" spans="3:11" ht="14.1" customHeight="1" x14ac:dyDescent="0.2">
      <c r="C216" s="59"/>
      <c r="D216" s="59"/>
      <c r="E216" s="59"/>
      <c r="F216" s="370"/>
      <c r="G216" s="59"/>
      <c r="H216" s="59"/>
      <c r="I216" s="59"/>
      <c r="J216" s="59"/>
      <c r="K216" s="59"/>
    </row>
    <row r="217" spans="3:11" ht="14.1" customHeight="1" x14ac:dyDescent="0.2">
      <c r="C217" s="59"/>
      <c r="D217" s="59"/>
      <c r="E217" s="59"/>
      <c r="F217" s="370"/>
      <c r="G217" s="59"/>
      <c r="H217" s="59"/>
      <c r="I217" s="59"/>
      <c r="J217" s="59"/>
      <c r="K217" s="59"/>
    </row>
    <row r="218" spans="3:11" ht="14.1" customHeight="1" x14ac:dyDescent="0.2">
      <c r="C218" s="59"/>
      <c r="D218" s="59"/>
      <c r="E218" s="59"/>
      <c r="F218" s="370"/>
      <c r="G218" s="59"/>
      <c r="H218" s="59"/>
      <c r="I218" s="59"/>
      <c r="J218" s="59"/>
      <c r="K218" s="59"/>
    </row>
  </sheetData>
  <autoFilter ref="A7:K199"/>
  <pageMargins left="0.25" right="0" top="0.5" bottom="0.5" header="0.3" footer="0"/>
  <pageSetup scale="90" orientation="landscape" horizontalDpi="300" verticalDpi="300" r:id="rId1"/>
  <headerFooter alignWithMargins="0">
    <oddHeader>&amp;L&amp;"Arial,Bold"&amp;10</oddHeader>
    <oddFooter>&amp;L&amp;"Arial,Bold"&amp;10&amp;R&amp;"Arial,Bold"&amp;10&amp;P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0"/>
  <sheetViews>
    <sheetView workbookViewId="0">
      <pane xSplit="2" ySplit="7" topLeftCell="C149" activePane="bottomRight" state="frozen"/>
      <selection pane="topRight" activeCell="C1" sqref="C1"/>
      <selection pane="bottomLeft" activeCell="A8" sqref="A8"/>
      <selection pane="bottomRight" activeCell="C1" sqref="C1:D2"/>
    </sheetView>
  </sheetViews>
  <sheetFormatPr defaultColWidth="9.140625" defaultRowHeight="14.1" customHeight="1" outlineLevelCol="1" x14ac:dyDescent="0.2"/>
  <cols>
    <col min="1" max="1" width="9.42578125" style="54" customWidth="1"/>
    <col min="2" max="2" width="36" style="54" customWidth="1"/>
    <col min="3" max="3" width="17.5703125" style="54" customWidth="1"/>
    <col min="4" max="5" width="18.140625" style="54" hidden="1" customWidth="1" outlineLevel="1"/>
    <col min="6" max="6" width="15.42578125" style="67" customWidth="1" collapsed="1"/>
    <col min="7" max="11" width="17.5703125" style="54" customWidth="1"/>
    <col min="12" max="12" width="9.140625" style="13"/>
    <col min="13" max="13" width="13.140625" style="54" bestFit="1" customWidth="1"/>
    <col min="14" max="16384" width="9.140625" style="54"/>
  </cols>
  <sheetData>
    <row r="1" spans="1:17" ht="14.1" customHeight="1" x14ac:dyDescent="0.2">
      <c r="A1" s="56"/>
      <c r="B1" s="56"/>
      <c r="C1" s="455" t="s">
        <v>724</v>
      </c>
      <c r="D1" s="455"/>
      <c r="E1" s="56"/>
      <c r="F1" s="374"/>
      <c r="G1" s="56"/>
      <c r="H1" s="56"/>
      <c r="I1" s="56"/>
      <c r="J1" s="56"/>
      <c r="K1" s="56"/>
    </row>
    <row r="2" spans="1:17" ht="14.1" customHeight="1" x14ac:dyDescent="0.2">
      <c r="A2" s="373" t="s">
        <v>0</v>
      </c>
      <c r="B2" s="56"/>
      <c r="C2" s="455" t="s">
        <v>710</v>
      </c>
      <c r="D2" s="455"/>
      <c r="E2" s="56"/>
      <c r="F2" s="374"/>
      <c r="G2" s="56"/>
      <c r="H2" s="56"/>
      <c r="I2" s="56"/>
      <c r="J2" s="56"/>
      <c r="K2" s="56"/>
    </row>
    <row r="3" spans="1:17" ht="14.1" customHeight="1" x14ac:dyDescent="0.2">
      <c r="A3" s="374" t="s">
        <v>616</v>
      </c>
      <c r="B3" s="56"/>
      <c r="C3" s="56"/>
      <c r="D3" s="56"/>
      <c r="E3" s="56"/>
      <c r="F3" s="374"/>
      <c r="G3" s="56"/>
      <c r="H3" s="56"/>
      <c r="I3" s="56"/>
      <c r="J3" s="56"/>
      <c r="K3" s="56"/>
    </row>
    <row r="4" spans="1:17" ht="14.1" customHeight="1" x14ac:dyDescent="0.2">
      <c r="A4" s="374" t="s">
        <v>604</v>
      </c>
      <c r="B4" s="56"/>
      <c r="C4" s="56"/>
      <c r="D4" s="56"/>
      <c r="E4" s="56"/>
      <c r="F4" s="374"/>
      <c r="G4" s="56"/>
      <c r="H4" s="56"/>
      <c r="I4" s="56"/>
      <c r="J4" s="56"/>
      <c r="K4" s="56"/>
    </row>
    <row r="5" spans="1:17" ht="14.1" customHeight="1" x14ac:dyDescent="0.2">
      <c r="A5" s="54" t="s">
        <v>1</v>
      </c>
      <c r="B5" s="54" t="s">
        <v>1</v>
      </c>
      <c r="C5" s="54" t="s">
        <v>1</v>
      </c>
      <c r="D5" s="54" t="s">
        <v>1</v>
      </c>
      <c r="E5" s="54" t="s">
        <v>1</v>
      </c>
      <c r="G5" s="54" t="s">
        <v>1</v>
      </c>
      <c r="H5" s="54" t="s">
        <v>1</v>
      </c>
      <c r="I5" s="54" t="s">
        <v>1</v>
      </c>
      <c r="J5" s="54" t="s">
        <v>1</v>
      </c>
      <c r="K5" s="54" t="s">
        <v>1</v>
      </c>
    </row>
    <row r="6" spans="1:17" ht="49.7" customHeight="1" x14ac:dyDescent="0.2">
      <c r="A6" s="54" t="s">
        <v>1</v>
      </c>
      <c r="B6" s="54" t="s">
        <v>1</v>
      </c>
      <c r="C6" s="8" t="s">
        <v>372</v>
      </c>
      <c r="D6" s="8" t="s">
        <v>374</v>
      </c>
      <c r="E6" s="8" t="s">
        <v>375</v>
      </c>
      <c r="F6" s="8" t="s">
        <v>614</v>
      </c>
      <c r="G6" s="8" t="s">
        <v>376</v>
      </c>
      <c r="H6" s="8" t="s">
        <v>377</v>
      </c>
      <c r="I6" s="8" t="s">
        <v>378</v>
      </c>
      <c r="J6" s="8" t="s">
        <v>379</v>
      </c>
      <c r="K6" s="8" t="s">
        <v>380</v>
      </c>
      <c r="M6" s="8" t="s">
        <v>607</v>
      </c>
    </row>
    <row r="7" spans="1:17" ht="14.1" customHeight="1" x14ac:dyDescent="0.2">
      <c r="A7" s="7" t="s">
        <v>2</v>
      </c>
      <c r="B7" s="7" t="s">
        <v>188</v>
      </c>
      <c r="C7" s="8" t="s">
        <v>373</v>
      </c>
      <c r="D7" s="8" t="s">
        <v>373</v>
      </c>
      <c r="E7" s="8" t="s">
        <v>373</v>
      </c>
      <c r="F7" s="8" t="s">
        <v>373</v>
      </c>
      <c r="G7" s="8" t="s">
        <v>373</v>
      </c>
      <c r="H7" s="8" t="s">
        <v>373</v>
      </c>
      <c r="I7" s="8" t="s">
        <v>373</v>
      </c>
      <c r="J7" s="8" t="s">
        <v>373</v>
      </c>
      <c r="K7" s="8" t="s">
        <v>373</v>
      </c>
    </row>
    <row r="8" spans="1:17" ht="14.1" customHeight="1" x14ac:dyDescent="0.2">
      <c r="A8" s="54" t="s">
        <v>3</v>
      </c>
      <c r="B8" s="54" t="s">
        <v>189</v>
      </c>
      <c r="C8" s="59">
        <v>1</v>
      </c>
      <c r="D8" s="59">
        <v>1</v>
      </c>
      <c r="E8" s="59">
        <v>0</v>
      </c>
      <c r="F8" s="370">
        <f>D8+E8</f>
        <v>1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  <c r="L8" s="16"/>
      <c r="M8" s="59"/>
      <c r="N8" s="59"/>
      <c r="O8" s="59"/>
      <c r="P8" s="59"/>
      <c r="Q8" s="59"/>
    </row>
    <row r="9" spans="1:17" ht="14.1" customHeight="1" x14ac:dyDescent="0.2">
      <c r="A9" s="54" t="s">
        <v>4</v>
      </c>
      <c r="B9" s="54" t="s">
        <v>190</v>
      </c>
      <c r="C9" s="59">
        <v>0</v>
      </c>
      <c r="D9" s="59">
        <v>0</v>
      </c>
      <c r="E9" s="59">
        <v>0</v>
      </c>
      <c r="F9" s="370">
        <f t="shared" ref="F9:F72" si="0">D9+E9</f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16"/>
      <c r="M9" s="59"/>
      <c r="N9" s="59"/>
      <c r="O9" s="59"/>
      <c r="P9" s="59"/>
      <c r="Q9" s="59"/>
    </row>
    <row r="10" spans="1:17" ht="14.1" customHeight="1" x14ac:dyDescent="0.2">
      <c r="A10" s="54" t="s">
        <v>5</v>
      </c>
      <c r="B10" s="54" t="s">
        <v>191</v>
      </c>
      <c r="C10" s="59">
        <v>-33787292</v>
      </c>
      <c r="D10" s="59">
        <v>-33787292</v>
      </c>
      <c r="E10" s="59">
        <v>0</v>
      </c>
      <c r="F10" s="370">
        <f t="shared" si="0"/>
        <v>-33787292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16"/>
      <c r="M10" s="59"/>
      <c r="N10" s="59"/>
      <c r="O10" s="59"/>
      <c r="P10" s="59"/>
      <c r="Q10" s="59"/>
    </row>
    <row r="11" spans="1:17" ht="14.1" customHeight="1" x14ac:dyDescent="0.2">
      <c r="A11" s="54" t="s">
        <v>6</v>
      </c>
      <c r="B11" s="54" t="s">
        <v>192</v>
      </c>
      <c r="C11" s="59">
        <v>258666</v>
      </c>
      <c r="D11" s="59">
        <v>258666</v>
      </c>
      <c r="E11" s="59">
        <v>0</v>
      </c>
      <c r="F11" s="370">
        <f t="shared" si="0"/>
        <v>258666</v>
      </c>
      <c r="G11" s="59">
        <v>0</v>
      </c>
      <c r="H11" s="59">
        <v>0</v>
      </c>
      <c r="I11" s="59">
        <v>0</v>
      </c>
      <c r="J11" s="59">
        <v>0</v>
      </c>
      <c r="K11" s="59">
        <v>0</v>
      </c>
      <c r="L11" s="16"/>
      <c r="M11" s="59"/>
      <c r="N11" s="59"/>
      <c r="O11" s="59"/>
      <c r="P11" s="59"/>
      <c r="Q11" s="59"/>
    </row>
    <row r="12" spans="1:17" ht="14.1" customHeight="1" x14ac:dyDescent="0.2">
      <c r="A12" s="54" t="s">
        <v>7</v>
      </c>
      <c r="B12" s="54" t="s">
        <v>193</v>
      </c>
      <c r="C12" s="59">
        <v>0</v>
      </c>
      <c r="D12" s="59">
        <v>0</v>
      </c>
      <c r="E12" s="59">
        <v>0</v>
      </c>
      <c r="F12" s="370">
        <f t="shared" si="0"/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16"/>
      <c r="M12" s="59"/>
      <c r="N12" s="59"/>
      <c r="O12" s="59"/>
      <c r="P12" s="59"/>
      <c r="Q12" s="59"/>
    </row>
    <row r="13" spans="1:17" ht="14.1" customHeight="1" x14ac:dyDescent="0.2">
      <c r="A13" s="54" t="s">
        <v>589</v>
      </c>
      <c r="B13" s="54" t="s">
        <v>590</v>
      </c>
      <c r="C13" s="59">
        <v>0</v>
      </c>
      <c r="D13" s="59">
        <v>0</v>
      </c>
      <c r="E13" s="59">
        <v>0</v>
      </c>
      <c r="F13" s="370">
        <f t="shared" si="0"/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16"/>
      <c r="M13" s="59"/>
      <c r="N13" s="59"/>
      <c r="O13" s="59"/>
      <c r="P13" s="59"/>
      <c r="Q13" s="59"/>
    </row>
    <row r="14" spans="1:17" ht="14.1" customHeight="1" x14ac:dyDescent="0.2">
      <c r="A14" s="54" t="s">
        <v>8</v>
      </c>
      <c r="B14" s="54" t="s">
        <v>194</v>
      </c>
      <c r="C14" s="59">
        <v>0</v>
      </c>
      <c r="D14" s="59">
        <v>0</v>
      </c>
      <c r="E14" s="59">
        <v>0</v>
      </c>
      <c r="F14" s="370">
        <f t="shared" si="0"/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16"/>
      <c r="M14" s="59"/>
      <c r="N14" s="59"/>
      <c r="O14" s="59"/>
      <c r="P14" s="59"/>
      <c r="Q14" s="59"/>
    </row>
    <row r="15" spans="1:17" ht="14.1" customHeight="1" x14ac:dyDescent="0.2">
      <c r="A15" s="54" t="s">
        <v>9</v>
      </c>
      <c r="B15" s="54" t="s">
        <v>195</v>
      </c>
      <c r="C15" s="59">
        <v>1</v>
      </c>
      <c r="D15" s="59">
        <v>1</v>
      </c>
      <c r="E15" s="59">
        <v>0</v>
      </c>
      <c r="F15" s="370">
        <f t="shared" si="0"/>
        <v>1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16"/>
      <c r="M15" s="59"/>
      <c r="N15" s="59"/>
      <c r="O15" s="59"/>
      <c r="P15" s="59"/>
      <c r="Q15" s="59"/>
    </row>
    <row r="16" spans="1:17" ht="14.1" customHeight="1" x14ac:dyDescent="0.2">
      <c r="A16" s="54" t="s">
        <v>10</v>
      </c>
      <c r="B16" s="54" t="s">
        <v>196</v>
      </c>
      <c r="C16" s="59">
        <v>0</v>
      </c>
      <c r="D16" s="59">
        <v>0</v>
      </c>
      <c r="E16" s="59">
        <v>0</v>
      </c>
      <c r="F16" s="370">
        <f t="shared" si="0"/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16"/>
      <c r="M16" s="59"/>
      <c r="N16" s="59"/>
      <c r="O16" s="59"/>
      <c r="P16" s="59"/>
      <c r="Q16" s="59"/>
    </row>
    <row r="17" spans="1:17" ht="14.1" customHeight="1" x14ac:dyDescent="0.2">
      <c r="A17" s="54" t="s">
        <v>11</v>
      </c>
      <c r="B17" s="54" t="s">
        <v>197</v>
      </c>
      <c r="C17" s="59">
        <v>49560</v>
      </c>
      <c r="D17" s="59">
        <v>0</v>
      </c>
      <c r="E17" s="59">
        <v>49560</v>
      </c>
      <c r="F17" s="370">
        <f t="shared" si="0"/>
        <v>49560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16"/>
      <c r="M17" s="59"/>
      <c r="N17" s="59"/>
      <c r="O17" s="59"/>
      <c r="P17" s="59"/>
      <c r="Q17" s="59"/>
    </row>
    <row r="18" spans="1:17" ht="14.1" customHeight="1" x14ac:dyDescent="0.2">
      <c r="A18" s="54" t="s">
        <v>12</v>
      </c>
      <c r="B18" s="54" t="s">
        <v>198</v>
      </c>
      <c r="C18" s="59">
        <v>-1737676</v>
      </c>
      <c r="D18" s="59">
        <v>-1737676</v>
      </c>
      <c r="E18" s="59">
        <v>0</v>
      </c>
      <c r="F18" s="370">
        <f t="shared" si="0"/>
        <v>-1737676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16"/>
      <c r="M18" s="59"/>
      <c r="N18" s="59"/>
      <c r="O18" s="59"/>
      <c r="P18" s="59"/>
      <c r="Q18" s="59"/>
    </row>
    <row r="19" spans="1:17" ht="14.1" customHeight="1" x14ac:dyDescent="0.2">
      <c r="A19" s="54" t="s">
        <v>13</v>
      </c>
      <c r="B19" s="54" t="s">
        <v>199</v>
      </c>
      <c r="C19" s="59">
        <v>33013660</v>
      </c>
      <c r="D19" s="59">
        <v>33013660</v>
      </c>
      <c r="E19" s="59">
        <v>0</v>
      </c>
      <c r="F19" s="370">
        <f t="shared" si="0"/>
        <v>33013660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16"/>
      <c r="M19" s="59"/>
      <c r="N19" s="59"/>
      <c r="O19" s="59"/>
      <c r="P19" s="59"/>
      <c r="Q19" s="59"/>
    </row>
    <row r="20" spans="1:17" ht="14.1" customHeight="1" x14ac:dyDescent="0.2">
      <c r="A20" s="54" t="s">
        <v>14</v>
      </c>
      <c r="B20" s="54" t="s">
        <v>200</v>
      </c>
      <c r="C20" s="59">
        <v>-193657</v>
      </c>
      <c r="D20" s="59">
        <v>-193657</v>
      </c>
      <c r="E20" s="59">
        <v>0</v>
      </c>
      <c r="F20" s="370">
        <f t="shared" si="0"/>
        <v>-193657</v>
      </c>
      <c r="G20" s="59">
        <v>0</v>
      </c>
      <c r="H20" s="59">
        <v>0</v>
      </c>
      <c r="I20" s="59">
        <v>0</v>
      </c>
      <c r="J20" s="59">
        <v>0</v>
      </c>
      <c r="K20" s="59">
        <v>0</v>
      </c>
      <c r="L20" s="16"/>
      <c r="M20" s="59"/>
      <c r="N20" s="59"/>
      <c r="O20" s="59"/>
      <c r="P20" s="59"/>
      <c r="Q20" s="59"/>
    </row>
    <row r="21" spans="1:17" ht="14.1" customHeight="1" x14ac:dyDescent="0.2">
      <c r="A21" s="54" t="s">
        <v>15</v>
      </c>
      <c r="B21" s="54" t="s">
        <v>201</v>
      </c>
      <c r="C21" s="59">
        <v>-1208675515</v>
      </c>
      <c r="D21" s="59">
        <v>-1208675515</v>
      </c>
      <c r="E21" s="59">
        <v>0</v>
      </c>
      <c r="F21" s="370">
        <f t="shared" si="0"/>
        <v>-1208675515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16"/>
      <c r="M21" s="59"/>
      <c r="N21" s="59"/>
      <c r="O21" s="59"/>
      <c r="P21" s="59"/>
      <c r="Q21" s="59"/>
    </row>
    <row r="22" spans="1:17" ht="14.1" customHeight="1" x14ac:dyDescent="0.2">
      <c r="A22" s="54" t="s">
        <v>16</v>
      </c>
      <c r="B22" s="54" t="s">
        <v>202</v>
      </c>
      <c r="C22" s="59">
        <v>0</v>
      </c>
      <c r="D22" s="59">
        <v>0</v>
      </c>
      <c r="E22" s="59">
        <v>0</v>
      </c>
      <c r="F22" s="370">
        <f t="shared" si="0"/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16"/>
      <c r="M22" s="59"/>
      <c r="N22" s="59"/>
      <c r="O22" s="59"/>
      <c r="P22" s="59"/>
      <c r="Q22" s="59"/>
    </row>
    <row r="23" spans="1:17" ht="14.1" customHeight="1" x14ac:dyDescent="0.2">
      <c r="A23" s="54" t="s">
        <v>17</v>
      </c>
      <c r="B23" s="54" t="s">
        <v>203</v>
      </c>
      <c r="C23" s="59">
        <v>0</v>
      </c>
      <c r="D23" s="59">
        <v>0</v>
      </c>
      <c r="E23" s="59">
        <v>0</v>
      </c>
      <c r="F23" s="370">
        <f t="shared" si="0"/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16"/>
      <c r="M23" s="59"/>
      <c r="N23" s="59"/>
      <c r="O23" s="59"/>
      <c r="P23" s="59"/>
      <c r="Q23" s="59"/>
    </row>
    <row r="24" spans="1:17" ht="14.1" customHeight="1" x14ac:dyDescent="0.2">
      <c r="A24" s="54" t="s">
        <v>18</v>
      </c>
      <c r="B24" s="54" t="s">
        <v>204</v>
      </c>
      <c r="C24" s="59">
        <v>4526984</v>
      </c>
      <c r="D24" s="59">
        <v>4526984</v>
      </c>
      <c r="E24" s="59">
        <v>0</v>
      </c>
      <c r="F24" s="370">
        <f t="shared" si="0"/>
        <v>4526984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16"/>
      <c r="M24" s="59"/>
      <c r="N24" s="59"/>
      <c r="O24" s="59"/>
      <c r="P24" s="59"/>
      <c r="Q24" s="59"/>
    </row>
    <row r="25" spans="1:17" ht="14.1" customHeight="1" x14ac:dyDescent="0.2">
      <c r="A25" s="54" t="s">
        <v>19</v>
      </c>
      <c r="B25" s="54" t="s">
        <v>205</v>
      </c>
      <c r="C25" s="59">
        <v>-91533137</v>
      </c>
      <c r="D25" s="59">
        <v>-91533137</v>
      </c>
      <c r="E25" s="59">
        <v>0</v>
      </c>
      <c r="F25" s="370">
        <f t="shared" si="0"/>
        <v>-91533137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16"/>
      <c r="M25" s="59"/>
      <c r="N25" s="59"/>
      <c r="O25" s="59"/>
      <c r="P25" s="59"/>
      <c r="Q25" s="59"/>
    </row>
    <row r="26" spans="1:17" ht="14.1" customHeight="1" x14ac:dyDescent="0.2">
      <c r="A26" s="54" t="s">
        <v>20</v>
      </c>
      <c r="B26" s="54" t="s">
        <v>206</v>
      </c>
      <c r="C26" s="59">
        <v>-146014234</v>
      </c>
      <c r="D26" s="59">
        <v>-146014234</v>
      </c>
      <c r="E26" s="59">
        <v>0</v>
      </c>
      <c r="F26" s="370">
        <f t="shared" si="0"/>
        <v>-146014234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16"/>
      <c r="M26" s="59"/>
      <c r="N26" s="59"/>
      <c r="O26" s="59"/>
      <c r="P26" s="59"/>
      <c r="Q26" s="59"/>
    </row>
    <row r="27" spans="1:17" ht="14.1" customHeight="1" x14ac:dyDescent="0.2">
      <c r="A27" s="54" t="s">
        <v>21</v>
      </c>
      <c r="B27" s="54" t="s">
        <v>207</v>
      </c>
      <c r="C27" s="59">
        <v>46801764</v>
      </c>
      <c r="D27" s="59">
        <v>46801764</v>
      </c>
      <c r="E27" s="59">
        <v>0</v>
      </c>
      <c r="F27" s="370">
        <f t="shared" si="0"/>
        <v>46801764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16"/>
      <c r="M27" s="59"/>
      <c r="N27" s="59"/>
      <c r="O27" s="59"/>
      <c r="P27" s="59"/>
      <c r="Q27" s="59"/>
    </row>
    <row r="28" spans="1:17" ht="14.1" customHeight="1" x14ac:dyDescent="0.2">
      <c r="A28" s="54" t="s">
        <v>22</v>
      </c>
      <c r="B28" s="54" t="s">
        <v>208</v>
      </c>
      <c r="C28" s="59">
        <v>-334607191</v>
      </c>
      <c r="D28" s="59">
        <v>-334607191</v>
      </c>
      <c r="E28" s="59">
        <v>0</v>
      </c>
      <c r="F28" s="370">
        <f t="shared" si="0"/>
        <v>-334607191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16"/>
      <c r="M28" s="59"/>
      <c r="N28" s="59"/>
      <c r="O28" s="59"/>
      <c r="P28" s="59"/>
      <c r="Q28" s="59"/>
    </row>
    <row r="29" spans="1:17" ht="14.1" customHeight="1" x14ac:dyDescent="0.2">
      <c r="A29" s="54" t="s">
        <v>23</v>
      </c>
      <c r="B29" s="54" t="s">
        <v>209</v>
      </c>
      <c r="C29" s="59">
        <v>-210133794</v>
      </c>
      <c r="D29" s="59">
        <v>-210133794</v>
      </c>
      <c r="E29" s="59">
        <v>0</v>
      </c>
      <c r="F29" s="370">
        <f t="shared" si="0"/>
        <v>-210133794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16"/>
      <c r="M29" s="59"/>
      <c r="N29" s="59"/>
      <c r="O29" s="59"/>
      <c r="P29" s="59"/>
      <c r="Q29" s="59"/>
    </row>
    <row r="30" spans="1:17" ht="14.1" customHeight="1" x14ac:dyDescent="0.2">
      <c r="A30" s="54" t="s">
        <v>24</v>
      </c>
      <c r="B30" s="54" t="s">
        <v>210</v>
      </c>
      <c r="C30" s="59">
        <v>14074913</v>
      </c>
      <c r="D30" s="59">
        <v>0</v>
      </c>
      <c r="E30" s="59">
        <v>0</v>
      </c>
      <c r="F30" s="370">
        <f t="shared" si="0"/>
        <v>0</v>
      </c>
      <c r="G30" s="59">
        <v>14074913</v>
      </c>
      <c r="H30" s="59">
        <v>0</v>
      </c>
      <c r="I30" s="59">
        <v>0</v>
      </c>
      <c r="J30" s="59">
        <v>0</v>
      </c>
      <c r="K30" s="59">
        <v>0</v>
      </c>
      <c r="L30" s="16"/>
      <c r="M30" s="59"/>
      <c r="N30" s="59"/>
      <c r="O30" s="59"/>
      <c r="P30" s="59"/>
      <c r="Q30" s="59"/>
    </row>
    <row r="31" spans="1:17" ht="14.1" customHeight="1" x14ac:dyDescent="0.2">
      <c r="A31" s="54" t="s">
        <v>25</v>
      </c>
      <c r="B31" s="54" t="s">
        <v>211</v>
      </c>
      <c r="C31" s="59">
        <v>-55767857</v>
      </c>
      <c r="D31" s="59">
        <v>-55767857</v>
      </c>
      <c r="E31" s="59">
        <v>0</v>
      </c>
      <c r="F31" s="370">
        <f t="shared" si="0"/>
        <v>-55767857</v>
      </c>
      <c r="G31" s="59">
        <v>0</v>
      </c>
      <c r="H31" s="59">
        <v>0</v>
      </c>
      <c r="I31" s="59">
        <v>0</v>
      </c>
      <c r="J31" s="59">
        <v>0</v>
      </c>
      <c r="K31" s="59">
        <v>0</v>
      </c>
      <c r="L31" s="16"/>
      <c r="M31" s="59"/>
      <c r="N31" s="59"/>
      <c r="O31" s="59"/>
      <c r="P31" s="59"/>
      <c r="Q31" s="59"/>
    </row>
    <row r="32" spans="1:17" ht="14.1" customHeight="1" x14ac:dyDescent="0.2">
      <c r="A32" s="54" t="s">
        <v>26</v>
      </c>
      <c r="B32" s="54" t="s">
        <v>212</v>
      </c>
      <c r="C32" s="59">
        <v>-35022306</v>
      </c>
      <c r="D32" s="59">
        <v>-35022306</v>
      </c>
      <c r="E32" s="59">
        <v>0</v>
      </c>
      <c r="F32" s="370">
        <f t="shared" si="0"/>
        <v>-35022306</v>
      </c>
      <c r="G32" s="59">
        <v>0</v>
      </c>
      <c r="H32" s="59">
        <v>0</v>
      </c>
      <c r="I32" s="59">
        <v>0</v>
      </c>
      <c r="J32" s="59">
        <v>0</v>
      </c>
      <c r="K32" s="59">
        <v>0</v>
      </c>
      <c r="L32" s="16"/>
      <c r="M32" s="59"/>
      <c r="N32" s="59"/>
      <c r="O32" s="59"/>
      <c r="P32" s="59"/>
      <c r="Q32" s="59"/>
    </row>
    <row r="33" spans="1:17" ht="14.1" customHeight="1" x14ac:dyDescent="0.2">
      <c r="A33" s="54" t="s">
        <v>27</v>
      </c>
      <c r="B33" s="54" t="s">
        <v>213</v>
      </c>
      <c r="C33" s="59">
        <v>1893506</v>
      </c>
      <c r="D33" s="59">
        <v>0</v>
      </c>
      <c r="E33" s="59">
        <v>0</v>
      </c>
      <c r="F33" s="370">
        <f t="shared" si="0"/>
        <v>0</v>
      </c>
      <c r="G33" s="59">
        <v>1893506</v>
      </c>
      <c r="H33" s="59">
        <v>0</v>
      </c>
      <c r="I33" s="59">
        <v>0</v>
      </c>
      <c r="J33" s="59">
        <v>0</v>
      </c>
      <c r="K33" s="59">
        <v>0</v>
      </c>
      <c r="L33" s="16"/>
      <c r="M33" s="59"/>
      <c r="N33" s="59"/>
      <c r="O33" s="59"/>
      <c r="P33" s="59"/>
      <c r="Q33" s="59"/>
    </row>
    <row r="34" spans="1:17" ht="14.1" customHeight="1" x14ac:dyDescent="0.2">
      <c r="A34" s="54" t="s">
        <v>28</v>
      </c>
      <c r="B34" s="54" t="s">
        <v>214</v>
      </c>
      <c r="C34" s="59">
        <v>-112422793</v>
      </c>
      <c r="D34" s="59">
        <v>-112422793</v>
      </c>
      <c r="E34" s="59">
        <v>0</v>
      </c>
      <c r="F34" s="370">
        <f t="shared" si="0"/>
        <v>-112422793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16"/>
      <c r="M34" s="59"/>
      <c r="N34" s="59"/>
      <c r="O34" s="59"/>
      <c r="P34" s="59"/>
      <c r="Q34" s="59"/>
    </row>
    <row r="35" spans="1:17" ht="14.1" customHeight="1" x14ac:dyDescent="0.2">
      <c r="A35" s="54" t="s">
        <v>29</v>
      </c>
      <c r="B35" s="54" t="s">
        <v>215</v>
      </c>
      <c r="C35" s="59">
        <v>-401333333</v>
      </c>
      <c r="D35" s="59">
        <v>-401333333</v>
      </c>
      <c r="E35" s="59">
        <v>0</v>
      </c>
      <c r="F35" s="370">
        <f t="shared" si="0"/>
        <v>-401333333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16"/>
      <c r="M35" s="59"/>
      <c r="N35" s="59"/>
      <c r="O35" s="59"/>
      <c r="P35" s="59"/>
      <c r="Q35" s="59"/>
    </row>
    <row r="36" spans="1:17" ht="14.1" customHeight="1" x14ac:dyDescent="0.2">
      <c r="A36" s="54" t="s">
        <v>30</v>
      </c>
      <c r="B36" s="54" t="s">
        <v>216</v>
      </c>
      <c r="C36" s="59">
        <v>-687448</v>
      </c>
      <c r="D36" s="59">
        <v>-687448</v>
      </c>
      <c r="E36" s="59">
        <v>0</v>
      </c>
      <c r="F36" s="370">
        <f t="shared" si="0"/>
        <v>-687448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16"/>
      <c r="M36" s="59"/>
      <c r="N36" s="59"/>
      <c r="O36" s="59"/>
      <c r="P36" s="59"/>
      <c r="Q36" s="59"/>
    </row>
    <row r="37" spans="1:17" ht="14.1" customHeight="1" x14ac:dyDescent="0.2">
      <c r="A37" s="54" t="s">
        <v>31</v>
      </c>
      <c r="B37" s="54" t="s">
        <v>217</v>
      </c>
      <c r="C37" s="59">
        <v>-1000000000</v>
      </c>
      <c r="D37" s="59">
        <v>-1000000000</v>
      </c>
      <c r="E37" s="59">
        <v>0</v>
      </c>
      <c r="F37" s="370">
        <f t="shared" si="0"/>
        <v>-1000000000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16"/>
      <c r="M37" s="59"/>
      <c r="N37" s="59"/>
      <c r="O37" s="59"/>
      <c r="P37" s="59"/>
      <c r="Q37" s="59"/>
    </row>
    <row r="38" spans="1:17" ht="14.1" customHeight="1" x14ac:dyDescent="0.2">
      <c r="A38" s="54" t="s">
        <v>32</v>
      </c>
      <c r="B38" s="54" t="s">
        <v>218</v>
      </c>
      <c r="C38" s="59">
        <v>0</v>
      </c>
      <c r="D38" s="59">
        <v>0</v>
      </c>
      <c r="E38" s="59">
        <v>0</v>
      </c>
      <c r="F38" s="370">
        <f t="shared" si="0"/>
        <v>0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16"/>
      <c r="M38" s="59"/>
      <c r="N38" s="59"/>
      <c r="O38" s="59"/>
      <c r="P38" s="59"/>
      <c r="Q38" s="59"/>
    </row>
    <row r="39" spans="1:17" ht="14.1" customHeight="1" x14ac:dyDescent="0.2">
      <c r="A39" s="54" t="s">
        <v>33</v>
      </c>
      <c r="B39" s="54" t="s">
        <v>219</v>
      </c>
      <c r="C39" s="59">
        <v>2533098</v>
      </c>
      <c r="D39" s="59">
        <v>2533098</v>
      </c>
      <c r="E39" s="59">
        <v>0</v>
      </c>
      <c r="F39" s="370">
        <f t="shared" si="0"/>
        <v>2533098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16"/>
      <c r="M39" s="59"/>
      <c r="N39" s="59"/>
      <c r="O39" s="59"/>
      <c r="P39" s="59"/>
      <c r="Q39" s="59"/>
    </row>
    <row r="40" spans="1:17" ht="14.1" customHeight="1" x14ac:dyDescent="0.2">
      <c r="A40" s="54" t="s">
        <v>34</v>
      </c>
      <c r="B40" s="54" t="s">
        <v>220</v>
      </c>
      <c r="C40" s="59">
        <v>0</v>
      </c>
      <c r="D40" s="59">
        <v>0</v>
      </c>
      <c r="E40" s="59">
        <v>0</v>
      </c>
      <c r="F40" s="370">
        <f t="shared" si="0"/>
        <v>0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16"/>
      <c r="M40" s="59"/>
      <c r="N40" s="59"/>
      <c r="O40" s="59"/>
      <c r="P40" s="59"/>
      <c r="Q40" s="59"/>
    </row>
    <row r="41" spans="1:17" ht="14.1" customHeight="1" x14ac:dyDescent="0.2">
      <c r="A41" s="54" t="s">
        <v>35</v>
      </c>
      <c r="B41" s="54" t="s">
        <v>221</v>
      </c>
      <c r="C41" s="59">
        <v>51177809</v>
      </c>
      <c r="D41" s="59">
        <v>51177809</v>
      </c>
      <c r="E41" s="59">
        <v>0</v>
      </c>
      <c r="F41" s="370">
        <f t="shared" si="0"/>
        <v>51177809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16"/>
      <c r="M41" s="59"/>
      <c r="N41" s="59"/>
      <c r="O41" s="59"/>
      <c r="P41" s="59"/>
      <c r="Q41" s="59"/>
    </row>
    <row r="42" spans="1:17" ht="14.1" customHeight="1" x14ac:dyDescent="0.2">
      <c r="A42" s="54" t="s">
        <v>36</v>
      </c>
      <c r="B42" s="54" t="s">
        <v>222</v>
      </c>
      <c r="C42" s="59">
        <v>661</v>
      </c>
      <c r="D42" s="59">
        <v>0</v>
      </c>
      <c r="E42" s="59">
        <v>661</v>
      </c>
      <c r="F42" s="370">
        <f t="shared" si="0"/>
        <v>661</v>
      </c>
      <c r="G42" s="59">
        <v>0</v>
      </c>
      <c r="H42" s="59">
        <v>0</v>
      </c>
      <c r="I42" s="59">
        <v>0</v>
      </c>
      <c r="J42" s="59">
        <v>0</v>
      </c>
      <c r="K42" s="59">
        <v>0</v>
      </c>
      <c r="L42" s="16"/>
      <c r="M42" s="59"/>
      <c r="N42" s="59"/>
      <c r="O42" s="59"/>
      <c r="P42" s="59"/>
      <c r="Q42" s="59"/>
    </row>
    <row r="43" spans="1:17" ht="14.1" customHeight="1" x14ac:dyDescent="0.2">
      <c r="A43" s="54" t="s">
        <v>37</v>
      </c>
      <c r="B43" s="54" t="s">
        <v>223</v>
      </c>
      <c r="C43" s="59">
        <v>0</v>
      </c>
      <c r="D43" s="59">
        <v>0</v>
      </c>
      <c r="E43" s="59">
        <v>0</v>
      </c>
      <c r="F43" s="370">
        <f t="shared" si="0"/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16"/>
      <c r="M43" s="59"/>
      <c r="N43" s="59"/>
      <c r="O43" s="59"/>
      <c r="P43" s="59"/>
      <c r="Q43" s="59"/>
    </row>
    <row r="44" spans="1:17" ht="14.1" customHeight="1" x14ac:dyDescent="0.2">
      <c r="A44" s="54" t="s">
        <v>38</v>
      </c>
      <c r="B44" s="54" t="s">
        <v>224</v>
      </c>
      <c r="C44" s="59">
        <v>-1812112</v>
      </c>
      <c r="D44" s="59">
        <v>-1812112</v>
      </c>
      <c r="E44" s="59">
        <v>0</v>
      </c>
      <c r="F44" s="370">
        <f t="shared" si="0"/>
        <v>-1812112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16"/>
      <c r="M44" s="59"/>
      <c r="N44" s="59"/>
      <c r="O44" s="59"/>
      <c r="P44" s="59"/>
      <c r="Q44" s="59"/>
    </row>
    <row r="45" spans="1:17" ht="14.1" customHeight="1" x14ac:dyDescent="0.2">
      <c r="A45" s="54" t="s">
        <v>39</v>
      </c>
      <c r="B45" s="54" t="s">
        <v>225</v>
      </c>
      <c r="C45" s="59">
        <v>-2519917</v>
      </c>
      <c r="D45" s="59">
        <v>-2519917</v>
      </c>
      <c r="E45" s="59">
        <v>0</v>
      </c>
      <c r="F45" s="370">
        <f t="shared" si="0"/>
        <v>-2519917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16"/>
      <c r="M45" s="59"/>
      <c r="N45" s="59"/>
      <c r="O45" s="59"/>
      <c r="P45" s="59"/>
      <c r="Q45" s="59"/>
    </row>
    <row r="46" spans="1:17" ht="14.1" customHeight="1" x14ac:dyDescent="0.2">
      <c r="A46" s="54" t="s">
        <v>40</v>
      </c>
      <c r="B46" s="54" t="s">
        <v>226</v>
      </c>
      <c r="C46" s="59">
        <v>-92180381</v>
      </c>
      <c r="D46" s="59">
        <v>-92180381</v>
      </c>
      <c r="E46" s="59">
        <v>0</v>
      </c>
      <c r="F46" s="370">
        <f t="shared" si="0"/>
        <v>-92180381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16"/>
      <c r="M46" s="59"/>
      <c r="N46" s="59"/>
      <c r="O46" s="59"/>
      <c r="P46" s="59"/>
      <c r="Q46" s="59"/>
    </row>
    <row r="47" spans="1:17" ht="14.1" customHeight="1" x14ac:dyDescent="0.2">
      <c r="A47" s="54" t="s">
        <v>41</v>
      </c>
      <c r="B47" s="54" t="s">
        <v>227</v>
      </c>
      <c r="C47" s="59">
        <v>1620377</v>
      </c>
      <c r="D47" s="59">
        <v>1620377</v>
      </c>
      <c r="E47" s="59">
        <v>0</v>
      </c>
      <c r="F47" s="370">
        <f t="shared" si="0"/>
        <v>1620377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16"/>
      <c r="M47" s="59"/>
      <c r="N47" s="59"/>
      <c r="O47" s="59"/>
      <c r="P47" s="59"/>
      <c r="Q47" s="59"/>
    </row>
    <row r="48" spans="1:17" ht="14.1" customHeight="1" x14ac:dyDescent="0.2">
      <c r="A48" s="54" t="s">
        <v>42</v>
      </c>
      <c r="B48" s="54" t="s">
        <v>228</v>
      </c>
      <c r="C48" s="59">
        <v>356332180</v>
      </c>
      <c r="D48" s="59">
        <v>356332180</v>
      </c>
      <c r="E48" s="59">
        <v>0</v>
      </c>
      <c r="F48" s="370">
        <f t="shared" si="0"/>
        <v>356332180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16"/>
      <c r="M48" s="59"/>
      <c r="N48" s="59"/>
      <c r="O48" s="59"/>
      <c r="P48" s="59"/>
      <c r="Q48" s="59"/>
    </row>
    <row r="49" spans="1:17" ht="14.1" customHeight="1" x14ac:dyDescent="0.2">
      <c r="A49" s="54" t="s">
        <v>43</v>
      </c>
      <c r="B49" s="54" t="s">
        <v>229</v>
      </c>
      <c r="C49" s="59">
        <v>711184357</v>
      </c>
      <c r="D49" s="59">
        <v>-2</v>
      </c>
      <c r="E49" s="59">
        <v>711184359</v>
      </c>
      <c r="F49" s="370">
        <f t="shared" si="0"/>
        <v>711184357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16"/>
      <c r="M49" s="59"/>
      <c r="N49" s="59"/>
      <c r="O49" s="59"/>
      <c r="P49" s="59"/>
      <c r="Q49" s="59"/>
    </row>
    <row r="50" spans="1:17" ht="14.1" customHeight="1" x14ac:dyDescent="0.2">
      <c r="A50" s="54" t="s">
        <v>44</v>
      </c>
      <c r="B50" s="54" t="s">
        <v>230</v>
      </c>
      <c r="C50" s="59">
        <v>-2</v>
      </c>
      <c r="D50" s="59">
        <v>-2</v>
      </c>
      <c r="E50" s="59">
        <v>0</v>
      </c>
      <c r="F50" s="370">
        <f t="shared" si="0"/>
        <v>-2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16"/>
      <c r="M50" s="59"/>
      <c r="N50" s="59"/>
      <c r="O50" s="59"/>
      <c r="P50" s="59"/>
      <c r="Q50" s="59"/>
    </row>
    <row r="51" spans="1:17" ht="14.1" customHeight="1" x14ac:dyDescent="0.2">
      <c r="A51" s="54" t="s">
        <v>45</v>
      </c>
      <c r="B51" s="54" t="s">
        <v>231</v>
      </c>
      <c r="C51" s="59">
        <v>-760884529</v>
      </c>
      <c r="D51" s="59">
        <v>-1184533978</v>
      </c>
      <c r="E51" s="59">
        <v>-63831</v>
      </c>
      <c r="F51" s="370">
        <f t="shared" si="0"/>
        <v>-1184597809</v>
      </c>
      <c r="G51" s="59">
        <v>-10855470</v>
      </c>
      <c r="H51" s="59">
        <v>434568750</v>
      </c>
      <c r="I51" s="59">
        <v>0</v>
      </c>
      <c r="J51" s="59">
        <v>0</v>
      </c>
      <c r="K51" s="59">
        <v>0</v>
      </c>
      <c r="L51" s="16" t="s">
        <v>470</v>
      </c>
      <c r="M51" s="59">
        <f>F51-'OTP FED Pre-Tax Balances'!F51</f>
        <v>-204526</v>
      </c>
      <c r="N51" s="59"/>
      <c r="O51" s="59"/>
      <c r="P51" s="59"/>
      <c r="Q51" s="59"/>
    </row>
    <row r="52" spans="1:17" ht="14.1" customHeight="1" x14ac:dyDescent="0.2">
      <c r="A52" s="54" t="s">
        <v>46</v>
      </c>
      <c r="B52" s="54" t="s">
        <v>232</v>
      </c>
      <c r="C52" s="59">
        <v>365361054</v>
      </c>
      <c r="D52" s="59">
        <v>370901893</v>
      </c>
      <c r="E52" s="59">
        <v>0</v>
      </c>
      <c r="F52" s="370">
        <f t="shared" si="0"/>
        <v>370901893</v>
      </c>
      <c r="G52" s="59">
        <v>-5540839</v>
      </c>
      <c r="H52" s="59">
        <v>0</v>
      </c>
      <c r="I52" s="59">
        <v>0</v>
      </c>
      <c r="J52" s="59">
        <v>0</v>
      </c>
      <c r="K52" s="59">
        <v>0</v>
      </c>
      <c r="L52" s="16"/>
      <c r="M52" s="59"/>
      <c r="N52" s="59"/>
      <c r="O52" s="59"/>
      <c r="P52" s="59"/>
      <c r="Q52" s="59"/>
    </row>
    <row r="53" spans="1:17" ht="14.1" customHeight="1" x14ac:dyDescent="0.2">
      <c r="A53" s="54" t="s">
        <v>47</v>
      </c>
      <c r="B53" s="54" t="s">
        <v>233</v>
      </c>
      <c r="C53" s="59">
        <v>2134862495</v>
      </c>
      <c r="D53" s="59">
        <v>2134862495</v>
      </c>
      <c r="E53" s="59">
        <v>0</v>
      </c>
      <c r="F53" s="370">
        <f t="shared" si="0"/>
        <v>2134862495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16"/>
      <c r="M53" s="59"/>
      <c r="N53" s="59"/>
      <c r="O53" s="59"/>
      <c r="P53" s="59"/>
      <c r="Q53" s="59"/>
    </row>
    <row r="54" spans="1:17" ht="14.1" customHeight="1" x14ac:dyDescent="0.2">
      <c r="A54" s="54" t="s">
        <v>48</v>
      </c>
      <c r="B54" s="54" t="s">
        <v>234</v>
      </c>
      <c r="C54" s="59">
        <v>-59841401</v>
      </c>
      <c r="D54" s="59">
        <v>-59841401</v>
      </c>
      <c r="E54" s="59">
        <v>0</v>
      </c>
      <c r="F54" s="370">
        <f t="shared" si="0"/>
        <v>-59841401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16"/>
      <c r="M54" s="59"/>
      <c r="N54" s="59"/>
      <c r="O54" s="59"/>
      <c r="P54" s="59"/>
      <c r="Q54" s="59"/>
    </row>
    <row r="55" spans="1:17" ht="14.1" customHeight="1" x14ac:dyDescent="0.2">
      <c r="A55" s="54" t="s">
        <v>49</v>
      </c>
      <c r="B55" s="54" t="s">
        <v>235</v>
      </c>
      <c r="C55" s="59">
        <v>6779781</v>
      </c>
      <c r="D55" s="59">
        <v>6779781</v>
      </c>
      <c r="E55" s="59">
        <v>0</v>
      </c>
      <c r="F55" s="370">
        <f t="shared" si="0"/>
        <v>6779781</v>
      </c>
      <c r="G55" s="59">
        <v>0</v>
      </c>
      <c r="H55" s="59">
        <v>0</v>
      </c>
      <c r="I55" s="59">
        <v>0</v>
      </c>
      <c r="J55" s="59">
        <v>0</v>
      </c>
      <c r="K55" s="59">
        <v>0</v>
      </c>
      <c r="L55" s="16"/>
      <c r="M55" s="59"/>
      <c r="N55" s="59"/>
      <c r="O55" s="59"/>
      <c r="P55" s="59"/>
      <c r="Q55" s="59"/>
    </row>
    <row r="56" spans="1:17" ht="14.1" customHeight="1" x14ac:dyDescent="0.2">
      <c r="A56" s="54" t="s">
        <v>50</v>
      </c>
      <c r="B56" s="54" t="s">
        <v>236</v>
      </c>
      <c r="C56" s="59">
        <v>0</v>
      </c>
      <c r="D56" s="59">
        <v>0</v>
      </c>
      <c r="E56" s="59">
        <v>0</v>
      </c>
      <c r="F56" s="370">
        <f t="shared" si="0"/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16"/>
      <c r="M56" s="59"/>
      <c r="N56" s="59"/>
      <c r="O56" s="59"/>
      <c r="P56" s="59"/>
      <c r="Q56" s="59"/>
    </row>
    <row r="57" spans="1:17" ht="14.1" customHeight="1" x14ac:dyDescent="0.2">
      <c r="A57" s="54" t="s">
        <v>51</v>
      </c>
      <c r="B57" s="54" t="s">
        <v>237</v>
      </c>
      <c r="C57" s="59">
        <v>0</v>
      </c>
      <c r="D57" s="59">
        <v>0</v>
      </c>
      <c r="E57" s="59">
        <v>0</v>
      </c>
      <c r="F57" s="370">
        <f t="shared" si="0"/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16"/>
      <c r="M57" s="59"/>
      <c r="N57" s="59"/>
      <c r="O57" s="59"/>
      <c r="P57" s="59"/>
      <c r="Q57" s="59"/>
    </row>
    <row r="58" spans="1:17" ht="14.1" customHeight="1" x14ac:dyDescent="0.2">
      <c r="A58" s="54" t="s">
        <v>52</v>
      </c>
      <c r="B58" s="54" t="s">
        <v>238</v>
      </c>
      <c r="C58" s="59">
        <v>0</v>
      </c>
      <c r="D58" s="59">
        <v>0</v>
      </c>
      <c r="E58" s="59">
        <v>0</v>
      </c>
      <c r="F58" s="370">
        <f t="shared" si="0"/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16"/>
      <c r="M58" s="59"/>
      <c r="N58" s="59"/>
      <c r="O58" s="59"/>
      <c r="P58" s="59"/>
      <c r="Q58" s="59"/>
    </row>
    <row r="59" spans="1:17" ht="14.1" customHeight="1" x14ac:dyDescent="0.2">
      <c r="A59" s="54" t="s">
        <v>424</v>
      </c>
      <c r="B59" s="54" t="s">
        <v>423</v>
      </c>
      <c r="C59" s="59">
        <v>4674495003</v>
      </c>
      <c r="D59" s="59">
        <v>4674495003</v>
      </c>
      <c r="E59" s="59">
        <v>0</v>
      </c>
      <c r="F59" s="370">
        <f t="shared" si="0"/>
        <v>4674495003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16" t="s">
        <v>470</v>
      </c>
      <c r="M59" s="370">
        <f>F59</f>
        <v>4674495003</v>
      </c>
      <c r="N59" s="59"/>
      <c r="O59" s="59"/>
      <c r="P59" s="59"/>
      <c r="Q59" s="59"/>
    </row>
    <row r="60" spans="1:17" ht="14.1" customHeight="1" x14ac:dyDescent="0.2">
      <c r="A60" s="54" t="s">
        <v>422</v>
      </c>
      <c r="B60" s="54" t="s">
        <v>421</v>
      </c>
      <c r="C60" s="59">
        <v>0</v>
      </c>
      <c r="D60" s="59">
        <v>0</v>
      </c>
      <c r="E60" s="59">
        <v>0</v>
      </c>
      <c r="F60" s="370">
        <f t="shared" si="0"/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16"/>
      <c r="M60" s="59"/>
      <c r="N60" s="59"/>
      <c r="O60" s="59"/>
      <c r="P60" s="59"/>
      <c r="Q60" s="59"/>
    </row>
    <row r="61" spans="1:17" ht="14.1" customHeight="1" x14ac:dyDescent="0.2">
      <c r="A61" s="54" t="s">
        <v>53</v>
      </c>
      <c r="B61" s="54" t="s">
        <v>239</v>
      </c>
      <c r="C61" s="59">
        <v>0</v>
      </c>
      <c r="D61" s="59">
        <v>0</v>
      </c>
      <c r="E61" s="59">
        <v>0</v>
      </c>
      <c r="F61" s="370">
        <f t="shared" si="0"/>
        <v>0</v>
      </c>
      <c r="G61" s="59">
        <v>0</v>
      </c>
      <c r="H61" s="59">
        <v>0</v>
      </c>
      <c r="I61" s="59">
        <v>0</v>
      </c>
      <c r="J61" s="59">
        <v>0</v>
      </c>
      <c r="K61" s="59">
        <v>0</v>
      </c>
      <c r="L61" s="16"/>
      <c r="M61" s="59"/>
      <c r="N61" s="59"/>
      <c r="O61" s="59"/>
      <c r="P61" s="59"/>
      <c r="Q61" s="59"/>
    </row>
    <row r="62" spans="1:17" ht="14.1" customHeight="1" x14ac:dyDescent="0.2">
      <c r="A62" s="54" t="s">
        <v>54</v>
      </c>
      <c r="B62" s="54" t="s">
        <v>240</v>
      </c>
      <c r="C62" s="59">
        <v>0</v>
      </c>
      <c r="D62" s="59">
        <v>0</v>
      </c>
      <c r="E62" s="59">
        <v>0</v>
      </c>
      <c r="F62" s="370">
        <f t="shared" si="0"/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16"/>
      <c r="M62" s="59"/>
      <c r="N62" s="59"/>
      <c r="O62" s="59"/>
      <c r="P62" s="59"/>
      <c r="Q62" s="59"/>
    </row>
    <row r="63" spans="1:17" ht="14.1" customHeight="1" x14ac:dyDescent="0.2">
      <c r="A63" s="54" t="s">
        <v>55</v>
      </c>
      <c r="B63" s="54" t="s">
        <v>241</v>
      </c>
      <c r="C63" s="59">
        <v>0</v>
      </c>
      <c r="D63" s="59">
        <v>0</v>
      </c>
      <c r="E63" s="59">
        <v>0</v>
      </c>
      <c r="F63" s="370">
        <f t="shared" si="0"/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16"/>
      <c r="M63" s="59"/>
      <c r="N63" s="59"/>
      <c r="O63" s="59"/>
      <c r="P63" s="59"/>
      <c r="Q63" s="59"/>
    </row>
    <row r="64" spans="1:17" ht="14.1" customHeight="1" x14ac:dyDescent="0.2">
      <c r="A64" s="54" t="s">
        <v>420</v>
      </c>
      <c r="B64" s="54" t="s">
        <v>419</v>
      </c>
      <c r="C64" s="59">
        <v>0</v>
      </c>
      <c r="D64" s="59">
        <v>0</v>
      </c>
      <c r="E64" s="59">
        <v>0</v>
      </c>
      <c r="F64" s="370">
        <f t="shared" si="0"/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16"/>
      <c r="M64" s="59"/>
      <c r="N64" s="59"/>
      <c r="O64" s="59"/>
      <c r="P64" s="59"/>
      <c r="Q64" s="59"/>
    </row>
    <row r="65" spans="1:17" ht="14.1" customHeight="1" x14ac:dyDescent="0.2">
      <c r="A65" s="54" t="s">
        <v>418</v>
      </c>
      <c r="B65" s="54" t="s">
        <v>417</v>
      </c>
      <c r="C65" s="59">
        <v>0</v>
      </c>
      <c r="D65" s="59">
        <v>0</v>
      </c>
      <c r="E65" s="59">
        <v>0</v>
      </c>
      <c r="F65" s="370">
        <f t="shared" si="0"/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16"/>
      <c r="M65" s="59"/>
      <c r="N65" s="59"/>
      <c r="O65" s="59"/>
      <c r="P65" s="59"/>
      <c r="Q65" s="59"/>
    </row>
    <row r="66" spans="1:17" ht="14.1" customHeight="1" x14ac:dyDescent="0.2">
      <c r="A66" s="54" t="s">
        <v>416</v>
      </c>
      <c r="B66" s="54" t="s">
        <v>415</v>
      </c>
      <c r="C66" s="59">
        <v>0</v>
      </c>
      <c r="D66" s="59">
        <v>0</v>
      </c>
      <c r="E66" s="59">
        <v>0</v>
      </c>
      <c r="F66" s="370">
        <f t="shared" si="0"/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16"/>
      <c r="M66" s="59"/>
      <c r="N66" s="59"/>
      <c r="O66" s="59"/>
      <c r="P66" s="59"/>
      <c r="Q66" s="59"/>
    </row>
    <row r="67" spans="1:17" ht="14.1" customHeight="1" x14ac:dyDescent="0.2">
      <c r="A67" s="54" t="s">
        <v>414</v>
      </c>
      <c r="B67" s="54" t="s">
        <v>413</v>
      </c>
      <c r="C67" s="59">
        <v>0</v>
      </c>
      <c r="D67" s="59">
        <v>0</v>
      </c>
      <c r="E67" s="59">
        <v>0</v>
      </c>
      <c r="F67" s="370">
        <f t="shared" si="0"/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16"/>
      <c r="M67" s="59"/>
      <c r="N67" s="59"/>
      <c r="O67" s="59"/>
      <c r="P67" s="59"/>
      <c r="Q67" s="59"/>
    </row>
    <row r="68" spans="1:17" ht="14.1" customHeight="1" x14ac:dyDescent="0.2">
      <c r="A68" s="54" t="s">
        <v>56</v>
      </c>
      <c r="B68" s="54" t="s">
        <v>242</v>
      </c>
      <c r="C68" s="59">
        <v>-1385050802</v>
      </c>
      <c r="D68" s="59">
        <v>-1384603982</v>
      </c>
      <c r="E68" s="59">
        <v>-446820</v>
      </c>
      <c r="F68" s="370">
        <f t="shared" si="0"/>
        <v>-1385050802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16"/>
      <c r="M68" s="59"/>
      <c r="N68" s="59"/>
      <c r="O68" s="59"/>
      <c r="P68" s="59"/>
      <c r="Q68" s="59"/>
    </row>
    <row r="69" spans="1:17" ht="14.1" customHeight="1" x14ac:dyDescent="0.2">
      <c r="A69" s="54" t="s">
        <v>57</v>
      </c>
      <c r="B69" s="54" t="s">
        <v>243</v>
      </c>
      <c r="C69" s="59">
        <v>87006154</v>
      </c>
      <c r="D69" s="59">
        <v>87006154</v>
      </c>
      <c r="E69" s="59">
        <v>0</v>
      </c>
      <c r="F69" s="370">
        <f t="shared" si="0"/>
        <v>87006154</v>
      </c>
      <c r="G69" s="59">
        <v>0</v>
      </c>
      <c r="H69" s="59">
        <v>0</v>
      </c>
      <c r="I69" s="59">
        <v>0</v>
      </c>
      <c r="J69" s="59">
        <v>0</v>
      </c>
      <c r="K69" s="59">
        <v>0</v>
      </c>
      <c r="L69" s="16"/>
      <c r="M69" s="59"/>
      <c r="N69" s="59"/>
      <c r="O69" s="59"/>
      <c r="P69" s="59"/>
      <c r="Q69" s="59"/>
    </row>
    <row r="70" spans="1:17" ht="14.1" customHeight="1" x14ac:dyDescent="0.2">
      <c r="A70" s="54" t="s">
        <v>58</v>
      </c>
      <c r="B70" s="54" t="s">
        <v>244</v>
      </c>
      <c r="C70" s="59">
        <v>-3497935</v>
      </c>
      <c r="D70" s="59">
        <v>-3497935</v>
      </c>
      <c r="E70" s="59">
        <v>0</v>
      </c>
      <c r="F70" s="370">
        <f t="shared" si="0"/>
        <v>-3497935</v>
      </c>
      <c r="G70" s="59">
        <v>0</v>
      </c>
      <c r="H70" s="59">
        <v>0</v>
      </c>
      <c r="I70" s="59">
        <v>0</v>
      </c>
      <c r="J70" s="59">
        <v>0</v>
      </c>
      <c r="K70" s="59">
        <v>0</v>
      </c>
      <c r="L70" s="16"/>
      <c r="M70" s="59"/>
      <c r="N70" s="59"/>
      <c r="O70" s="59"/>
      <c r="P70" s="59"/>
      <c r="Q70" s="59"/>
    </row>
    <row r="71" spans="1:17" ht="14.1" customHeight="1" x14ac:dyDescent="0.2">
      <c r="A71" s="54" t="s">
        <v>412</v>
      </c>
      <c r="B71" s="54" t="s">
        <v>411</v>
      </c>
      <c r="C71" s="59">
        <v>23579500</v>
      </c>
      <c r="D71" s="59">
        <v>23579500</v>
      </c>
      <c r="E71" s="59">
        <v>0</v>
      </c>
      <c r="F71" s="370">
        <f t="shared" si="0"/>
        <v>23579500</v>
      </c>
      <c r="G71" s="59">
        <v>0</v>
      </c>
      <c r="H71" s="59">
        <v>0</v>
      </c>
      <c r="I71" s="59">
        <v>0</v>
      </c>
      <c r="J71" s="59">
        <v>0</v>
      </c>
      <c r="K71" s="59">
        <v>0</v>
      </c>
      <c r="L71" s="16" t="s">
        <v>470</v>
      </c>
      <c r="M71" s="59">
        <f>F71</f>
        <v>23579500</v>
      </c>
      <c r="N71" s="59"/>
      <c r="O71" s="59"/>
      <c r="P71" s="59"/>
      <c r="Q71" s="59"/>
    </row>
    <row r="72" spans="1:17" ht="14.1" customHeight="1" x14ac:dyDescent="0.2">
      <c r="A72" s="54" t="s">
        <v>410</v>
      </c>
      <c r="B72" s="54" t="s">
        <v>409</v>
      </c>
      <c r="C72" s="59">
        <v>-3929917</v>
      </c>
      <c r="D72" s="59">
        <v>-3929917</v>
      </c>
      <c r="E72" s="59">
        <v>0</v>
      </c>
      <c r="F72" s="370">
        <f t="shared" si="0"/>
        <v>-3929917</v>
      </c>
      <c r="G72" s="59">
        <v>0</v>
      </c>
      <c r="H72" s="59">
        <v>0</v>
      </c>
      <c r="I72" s="59">
        <v>0</v>
      </c>
      <c r="J72" s="59">
        <v>0</v>
      </c>
      <c r="K72" s="59">
        <v>0</v>
      </c>
      <c r="L72" s="16" t="s">
        <v>470</v>
      </c>
      <c r="M72" s="221">
        <f>F72</f>
        <v>-3929917</v>
      </c>
      <c r="N72" s="59"/>
      <c r="O72" s="59"/>
      <c r="P72" s="59"/>
      <c r="Q72" s="59"/>
    </row>
    <row r="73" spans="1:17" ht="14.1" customHeight="1" x14ac:dyDescent="0.2">
      <c r="A73" s="54" t="s">
        <v>408</v>
      </c>
      <c r="B73" s="54" t="s">
        <v>407</v>
      </c>
      <c r="C73" s="59">
        <v>0</v>
      </c>
      <c r="D73" s="59">
        <v>0</v>
      </c>
      <c r="E73" s="59">
        <v>0</v>
      </c>
      <c r="F73" s="370">
        <f t="shared" ref="F73:F136" si="1">D73+E73</f>
        <v>0</v>
      </c>
      <c r="G73" s="59">
        <v>0</v>
      </c>
      <c r="H73" s="59">
        <v>0</v>
      </c>
      <c r="I73" s="59">
        <v>0</v>
      </c>
      <c r="J73" s="59">
        <v>0</v>
      </c>
      <c r="K73" s="59">
        <v>0</v>
      </c>
      <c r="L73" s="16"/>
      <c r="M73" s="59"/>
      <c r="N73" s="59"/>
      <c r="O73" s="59"/>
      <c r="P73" s="59"/>
      <c r="Q73" s="59"/>
    </row>
    <row r="74" spans="1:17" ht="14.1" customHeight="1" x14ac:dyDescent="0.2">
      <c r="A74" s="54" t="s">
        <v>59</v>
      </c>
      <c r="B74" s="54" t="s">
        <v>245</v>
      </c>
      <c r="C74" s="59">
        <v>-2524080</v>
      </c>
      <c r="D74" s="59">
        <v>-2524080</v>
      </c>
      <c r="E74" s="59">
        <v>0</v>
      </c>
      <c r="F74" s="370">
        <f t="shared" si="1"/>
        <v>-2524080</v>
      </c>
      <c r="G74" s="59">
        <v>0</v>
      </c>
      <c r="H74" s="59">
        <v>0</v>
      </c>
      <c r="I74" s="59">
        <v>0</v>
      </c>
      <c r="J74" s="59">
        <v>0</v>
      </c>
      <c r="K74" s="59">
        <v>0</v>
      </c>
      <c r="L74" s="16"/>
      <c r="M74" s="59"/>
      <c r="N74" s="59"/>
      <c r="O74" s="59"/>
      <c r="P74" s="59"/>
      <c r="Q74" s="59"/>
    </row>
    <row r="75" spans="1:17" ht="14.1" customHeight="1" x14ac:dyDescent="0.2">
      <c r="A75" s="54" t="s">
        <v>462</v>
      </c>
      <c r="B75" s="54" t="s">
        <v>461</v>
      </c>
      <c r="C75" s="59">
        <v>101066</v>
      </c>
      <c r="D75" s="59">
        <v>0</v>
      </c>
      <c r="E75" s="59">
        <v>101066</v>
      </c>
      <c r="F75" s="370">
        <f t="shared" si="1"/>
        <v>101066</v>
      </c>
      <c r="G75" s="59">
        <v>0</v>
      </c>
      <c r="H75" s="59">
        <v>0</v>
      </c>
      <c r="I75" s="59">
        <v>0</v>
      </c>
      <c r="J75" s="59">
        <v>0</v>
      </c>
      <c r="K75" s="59">
        <v>0</v>
      </c>
      <c r="L75" s="16"/>
      <c r="M75" s="59"/>
      <c r="N75" s="59"/>
      <c r="O75" s="59"/>
      <c r="P75" s="59"/>
      <c r="Q75" s="59"/>
    </row>
    <row r="76" spans="1:17" ht="14.1" customHeight="1" x14ac:dyDescent="0.2">
      <c r="A76" s="54" t="s">
        <v>456</v>
      </c>
      <c r="B76" s="54" t="s">
        <v>455</v>
      </c>
      <c r="C76" s="59">
        <v>-20987944547</v>
      </c>
      <c r="D76" s="59">
        <v>-20987944547</v>
      </c>
      <c r="E76" s="59">
        <v>0</v>
      </c>
      <c r="F76" s="370">
        <f t="shared" si="1"/>
        <v>-20987944547</v>
      </c>
      <c r="G76" s="59">
        <v>0</v>
      </c>
      <c r="H76" s="59">
        <v>0</v>
      </c>
      <c r="I76" s="59">
        <v>0</v>
      </c>
      <c r="J76" s="59">
        <v>0</v>
      </c>
      <c r="K76" s="59">
        <v>0</v>
      </c>
      <c r="L76" s="16" t="s">
        <v>470</v>
      </c>
      <c r="M76" s="59">
        <f>F76-'OTP FED Pre-Tax Balances'!F67</f>
        <v>16312165</v>
      </c>
      <c r="N76" s="59"/>
      <c r="O76" s="59"/>
      <c r="P76" s="59"/>
      <c r="Q76" s="59"/>
    </row>
    <row r="77" spans="1:17" ht="14.1" customHeight="1" x14ac:dyDescent="0.2">
      <c r="A77" s="54" t="s">
        <v>60</v>
      </c>
      <c r="B77" s="54" t="s">
        <v>246</v>
      </c>
      <c r="C77" s="59">
        <v>10885315</v>
      </c>
      <c r="D77" s="59">
        <v>0</v>
      </c>
      <c r="E77" s="59">
        <v>0</v>
      </c>
      <c r="F77" s="370">
        <f t="shared" si="1"/>
        <v>0</v>
      </c>
      <c r="G77" s="59">
        <v>0</v>
      </c>
      <c r="H77" s="59">
        <v>10885315</v>
      </c>
      <c r="I77" s="59">
        <v>0</v>
      </c>
      <c r="J77" s="59">
        <v>0</v>
      </c>
      <c r="K77" s="59">
        <v>0</v>
      </c>
      <c r="L77" s="16"/>
      <c r="M77" s="59"/>
      <c r="N77" s="59"/>
      <c r="O77" s="59"/>
      <c r="P77" s="59"/>
      <c r="Q77" s="59"/>
    </row>
    <row r="78" spans="1:17" ht="14.1" customHeight="1" x14ac:dyDescent="0.2">
      <c r="A78" s="54" t="s">
        <v>61</v>
      </c>
      <c r="B78" s="54" t="s">
        <v>247</v>
      </c>
      <c r="C78" s="59">
        <v>-10885315</v>
      </c>
      <c r="D78" s="59">
        <v>0</v>
      </c>
      <c r="E78" s="59">
        <v>0</v>
      </c>
      <c r="F78" s="370">
        <f t="shared" si="1"/>
        <v>0</v>
      </c>
      <c r="G78" s="59">
        <v>0</v>
      </c>
      <c r="H78" s="59">
        <v>-10885315</v>
      </c>
      <c r="I78" s="59">
        <v>0</v>
      </c>
      <c r="J78" s="59">
        <v>0</v>
      </c>
      <c r="K78" s="59">
        <v>0</v>
      </c>
      <c r="L78" s="16"/>
      <c r="M78" s="59"/>
      <c r="N78" s="59"/>
      <c r="O78" s="59"/>
      <c r="P78" s="59"/>
      <c r="Q78" s="59"/>
    </row>
    <row r="79" spans="1:17" ht="14.1" customHeight="1" x14ac:dyDescent="0.2">
      <c r="A79" s="54" t="s">
        <v>62</v>
      </c>
      <c r="B79" s="54" t="s">
        <v>248</v>
      </c>
      <c r="C79" s="59">
        <v>0</v>
      </c>
      <c r="D79" s="59">
        <v>0</v>
      </c>
      <c r="E79" s="59">
        <v>0</v>
      </c>
      <c r="F79" s="370">
        <f t="shared" si="1"/>
        <v>0</v>
      </c>
      <c r="G79" s="59">
        <v>0</v>
      </c>
      <c r="H79" s="59">
        <v>0</v>
      </c>
      <c r="I79" s="59">
        <v>0</v>
      </c>
      <c r="J79" s="59">
        <v>0</v>
      </c>
      <c r="K79" s="59">
        <v>0</v>
      </c>
      <c r="L79" s="16"/>
      <c r="M79" s="59"/>
      <c r="N79" s="59"/>
      <c r="O79" s="59"/>
      <c r="P79" s="59"/>
      <c r="Q79" s="59"/>
    </row>
    <row r="80" spans="1:17" ht="14.1" customHeight="1" x14ac:dyDescent="0.2">
      <c r="A80" s="54" t="s">
        <v>63</v>
      </c>
      <c r="B80" s="54" t="s">
        <v>249</v>
      </c>
      <c r="C80" s="59">
        <v>0</v>
      </c>
      <c r="D80" s="59">
        <v>0</v>
      </c>
      <c r="E80" s="59">
        <v>0</v>
      </c>
      <c r="F80" s="370">
        <f t="shared" si="1"/>
        <v>0</v>
      </c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16"/>
      <c r="M80" s="59"/>
      <c r="N80" s="59"/>
      <c r="O80" s="59"/>
      <c r="P80" s="59"/>
      <c r="Q80" s="59"/>
    </row>
    <row r="81" spans="1:17" ht="14.1" customHeight="1" x14ac:dyDescent="0.2">
      <c r="A81" s="54" t="s">
        <v>64</v>
      </c>
      <c r="B81" s="54" t="s">
        <v>250</v>
      </c>
      <c r="C81" s="59">
        <v>0</v>
      </c>
      <c r="D81" s="59">
        <v>0</v>
      </c>
      <c r="E81" s="59">
        <v>0</v>
      </c>
      <c r="F81" s="370">
        <f t="shared" si="1"/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16"/>
      <c r="M81" s="59"/>
      <c r="N81" s="59"/>
      <c r="O81" s="59"/>
      <c r="P81" s="59"/>
      <c r="Q81" s="59"/>
    </row>
    <row r="82" spans="1:17" ht="14.1" customHeight="1" x14ac:dyDescent="0.2">
      <c r="A82" s="54" t="s">
        <v>65</v>
      </c>
      <c r="B82" s="54" t="s">
        <v>251</v>
      </c>
      <c r="C82" s="59">
        <v>0</v>
      </c>
      <c r="D82" s="59">
        <v>0</v>
      </c>
      <c r="E82" s="59">
        <v>0</v>
      </c>
      <c r="F82" s="370">
        <f t="shared" si="1"/>
        <v>0</v>
      </c>
      <c r="G82" s="59">
        <v>0</v>
      </c>
      <c r="H82" s="59">
        <v>0</v>
      </c>
      <c r="I82" s="59">
        <v>0</v>
      </c>
      <c r="J82" s="59">
        <v>0</v>
      </c>
      <c r="K82" s="59">
        <v>0</v>
      </c>
      <c r="L82" s="16"/>
      <c r="M82" s="59"/>
      <c r="N82" s="59"/>
      <c r="O82" s="59"/>
      <c r="P82" s="59"/>
      <c r="Q82" s="59"/>
    </row>
    <row r="83" spans="1:17" ht="14.1" customHeight="1" x14ac:dyDescent="0.2">
      <c r="A83" s="54" t="s">
        <v>66</v>
      </c>
      <c r="B83" s="54" t="s">
        <v>252</v>
      </c>
      <c r="C83" s="59">
        <v>0</v>
      </c>
      <c r="D83" s="59">
        <v>0</v>
      </c>
      <c r="E83" s="59">
        <v>0</v>
      </c>
      <c r="F83" s="370">
        <f t="shared" si="1"/>
        <v>0</v>
      </c>
      <c r="G83" s="59">
        <v>0</v>
      </c>
      <c r="H83" s="59">
        <v>0</v>
      </c>
      <c r="I83" s="59">
        <v>0</v>
      </c>
      <c r="J83" s="59">
        <v>0</v>
      </c>
      <c r="K83" s="59">
        <v>0</v>
      </c>
      <c r="L83" s="16"/>
      <c r="M83" s="59"/>
      <c r="N83" s="59"/>
      <c r="O83" s="59"/>
      <c r="P83" s="59"/>
      <c r="Q83" s="59"/>
    </row>
    <row r="84" spans="1:17" ht="14.1" customHeight="1" x14ac:dyDescent="0.2">
      <c r="A84" s="54" t="s">
        <v>67</v>
      </c>
      <c r="B84" s="54" t="s">
        <v>253</v>
      </c>
      <c r="C84" s="59">
        <v>0</v>
      </c>
      <c r="D84" s="59">
        <v>0</v>
      </c>
      <c r="E84" s="59">
        <v>0</v>
      </c>
      <c r="F84" s="370">
        <f t="shared" si="1"/>
        <v>0</v>
      </c>
      <c r="G84" s="59">
        <v>0</v>
      </c>
      <c r="H84" s="59">
        <v>0</v>
      </c>
      <c r="I84" s="59">
        <v>0</v>
      </c>
      <c r="J84" s="59">
        <v>0</v>
      </c>
      <c r="K84" s="59">
        <v>0</v>
      </c>
      <c r="L84" s="16"/>
      <c r="M84" s="59"/>
      <c r="N84" s="59"/>
      <c r="O84" s="59"/>
      <c r="P84" s="59"/>
      <c r="Q84" s="59"/>
    </row>
    <row r="85" spans="1:17" ht="14.1" customHeight="1" x14ac:dyDescent="0.2">
      <c r="A85" s="54" t="s">
        <v>68</v>
      </c>
      <c r="B85" s="54" t="s">
        <v>254</v>
      </c>
      <c r="C85" s="59">
        <v>0</v>
      </c>
      <c r="D85" s="59">
        <v>0</v>
      </c>
      <c r="E85" s="59">
        <v>0</v>
      </c>
      <c r="F85" s="370">
        <f t="shared" si="1"/>
        <v>0</v>
      </c>
      <c r="G85" s="59">
        <v>0</v>
      </c>
      <c r="H85" s="59">
        <v>0</v>
      </c>
      <c r="I85" s="59">
        <v>0</v>
      </c>
      <c r="J85" s="59">
        <v>0</v>
      </c>
      <c r="K85" s="59">
        <v>0</v>
      </c>
      <c r="L85" s="16"/>
      <c r="M85" s="59"/>
      <c r="N85" s="59"/>
      <c r="O85" s="59"/>
      <c r="P85" s="59"/>
      <c r="Q85" s="59"/>
    </row>
    <row r="86" spans="1:17" ht="14.1" customHeight="1" x14ac:dyDescent="0.2">
      <c r="A86" s="54" t="s">
        <v>69</v>
      </c>
      <c r="B86" s="54" t="s">
        <v>255</v>
      </c>
      <c r="C86" s="59">
        <v>0</v>
      </c>
      <c r="D86" s="59">
        <v>0</v>
      </c>
      <c r="E86" s="59">
        <v>0</v>
      </c>
      <c r="F86" s="370">
        <f t="shared" si="1"/>
        <v>0</v>
      </c>
      <c r="G86" s="59">
        <v>0</v>
      </c>
      <c r="H86" s="59">
        <v>0</v>
      </c>
      <c r="I86" s="59">
        <v>0</v>
      </c>
      <c r="J86" s="59">
        <v>0</v>
      </c>
      <c r="K86" s="59">
        <v>0</v>
      </c>
      <c r="L86" s="16"/>
      <c r="M86" s="59"/>
      <c r="N86" s="59"/>
      <c r="O86" s="59"/>
      <c r="P86" s="59"/>
      <c r="Q86" s="59"/>
    </row>
    <row r="87" spans="1:17" ht="14.1" customHeight="1" x14ac:dyDescent="0.2">
      <c r="A87" s="54" t="s">
        <v>70</v>
      </c>
      <c r="B87" s="54" t="s">
        <v>256</v>
      </c>
      <c r="C87" s="59">
        <v>0</v>
      </c>
      <c r="D87" s="59">
        <v>0</v>
      </c>
      <c r="E87" s="59">
        <v>0</v>
      </c>
      <c r="F87" s="370">
        <f t="shared" si="1"/>
        <v>0</v>
      </c>
      <c r="G87" s="59">
        <v>0</v>
      </c>
      <c r="H87" s="59">
        <v>0</v>
      </c>
      <c r="I87" s="59">
        <v>0</v>
      </c>
      <c r="J87" s="59">
        <v>0</v>
      </c>
      <c r="K87" s="59">
        <v>0</v>
      </c>
      <c r="L87" s="16"/>
      <c r="M87" s="59"/>
      <c r="N87" s="59"/>
      <c r="O87" s="59"/>
      <c r="P87" s="59"/>
      <c r="Q87" s="59"/>
    </row>
    <row r="88" spans="1:17" ht="14.1" customHeight="1" x14ac:dyDescent="0.2">
      <c r="A88" s="54" t="s">
        <v>71</v>
      </c>
      <c r="B88" s="54" t="s">
        <v>257</v>
      </c>
      <c r="C88" s="59">
        <v>0</v>
      </c>
      <c r="D88" s="59">
        <v>0</v>
      </c>
      <c r="E88" s="59">
        <v>0</v>
      </c>
      <c r="F88" s="370">
        <f t="shared" si="1"/>
        <v>0</v>
      </c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16"/>
      <c r="M88" s="59"/>
      <c r="N88" s="59"/>
      <c r="O88" s="59"/>
      <c r="P88" s="59"/>
      <c r="Q88" s="59"/>
    </row>
    <row r="89" spans="1:17" ht="14.1" customHeight="1" x14ac:dyDescent="0.2">
      <c r="A89" s="54" t="s">
        <v>72</v>
      </c>
      <c r="B89" s="54" t="s">
        <v>258</v>
      </c>
      <c r="C89" s="59">
        <v>0</v>
      </c>
      <c r="D89" s="59">
        <v>0</v>
      </c>
      <c r="E89" s="59">
        <v>0</v>
      </c>
      <c r="F89" s="370">
        <f t="shared" si="1"/>
        <v>0</v>
      </c>
      <c r="G89" s="59">
        <v>0</v>
      </c>
      <c r="H89" s="59">
        <v>0</v>
      </c>
      <c r="I89" s="59">
        <v>0</v>
      </c>
      <c r="J89" s="59">
        <v>0</v>
      </c>
      <c r="K89" s="59">
        <v>0</v>
      </c>
      <c r="L89" s="16"/>
      <c r="M89" s="59"/>
      <c r="N89" s="59"/>
      <c r="O89" s="59"/>
      <c r="P89" s="59"/>
      <c r="Q89" s="59"/>
    </row>
    <row r="90" spans="1:17" ht="14.1" customHeight="1" x14ac:dyDescent="0.2">
      <c r="A90" s="54" t="s">
        <v>73</v>
      </c>
      <c r="B90" s="54" t="s">
        <v>259</v>
      </c>
      <c r="C90" s="59">
        <v>0</v>
      </c>
      <c r="D90" s="59">
        <v>0</v>
      </c>
      <c r="E90" s="59">
        <v>0</v>
      </c>
      <c r="F90" s="370">
        <f t="shared" si="1"/>
        <v>0</v>
      </c>
      <c r="G90" s="59">
        <v>0</v>
      </c>
      <c r="H90" s="59">
        <v>0</v>
      </c>
      <c r="I90" s="59">
        <v>0</v>
      </c>
      <c r="J90" s="59">
        <v>0</v>
      </c>
      <c r="K90" s="59">
        <v>0</v>
      </c>
      <c r="L90" s="16"/>
      <c r="M90" s="59"/>
      <c r="N90" s="59"/>
      <c r="O90" s="59"/>
      <c r="P90" s="59"/>
      <c r="Q90" s="59"/>
    </row>
    <row r="91" spans="1:17" ht="14.1" customHeight="1" x14ac:dyDescent="0.2">
      <c r="A91" s="54" t="s">
        <v>74</v>
      </c>
      <c r="B91" s="54" t="s">
        <v>260</v>
      </c>
      <c r="C91" s="59">
        <v>0</v>
      </c>
      <c r="D91" s="59">
        <v>0</v>
      </c>
      <c r="E91" s="59">
        <v>0</v>
      </c>
      <c r="F91" s="370">
        <f t="shared" si="1"/>
        <v>0</v>
      </c>
      <c r="G91" s="59">
        <v>0</v>
      </c>
      <c r="H91" s="59">
        <v>0</v>
      </c>
      <c r="I91" s="59">
        <v>0</v>
      </c>
      <c r="J91" s="59">
        <v>0</v>
      </c>
      <c r="K91" s="59">
        <v>0</v>
      </c>
      <c r="L91" s="16"/>
      <c r="M91" s="59"/>
      <c r="N91" s="59"/>
      <c r="O91" s="59"/>
      <c r="P91" s="59"/>
      <c r="Q91" s="59"/>
    </row>
    <row r="92" spans="1:17" ht="14.1" customHeight="1" x14ac:dyDescent="0.2">
      <c r="A92" s="54" t="s">
        <v>75</v>
      </c>
      <c r="B92" s="54" t="s">
        <v>261</v>
      </c>
      <c r="C92" s="59">
        <v>-1350835622</v>
      </c>
      <c r="D92" s="59">
        <v>-1350835622</v>
      </c>
      <c r="E92" s="59">
        <v>0</v>
      </c>
      <c r="F92" s="370">
        <f t="shared" si="1"/>
        <v>-1350835622</v>
      </c>
      <c r="G92" s="59">
        <v>0</v>
      </c>
      <c r="H92" s="59">
        <v>0</v>
      </c>
      <c r="I92" s="59">
        <v>0</v>
      </c>
      <c r="J92" s="59">
        <v>0</v>
      </c>
      <c r="K92" s="59">
        <v>0</v>
      </c>
      <c r="L92" s="16"/>
      <c r="M92" s="59"/>
      <c r="N92" s="59"/>
      <c r="O92" s="59"/>
      <c r="P92" s="59"/>
      <c r="Q92" s="59"/>
    </row>
    <row r="93" spans="1:17" ht="14.1" customHeight="1" x14ac:dyDescent="0.2">
      <c r="A93" s="54" t="s">
        <v>76</v>
      </c>
      <c r="B93" s="54" t="s">
        <v>262</v>
      </c>
      <c r="C93" s="59">
        <v>2700883</v>
      </c>
      <c r="D93" s="59">
        <v>2700883</v>
      </c>
      <c r="E93" s="59">
        <v>0</v>
      </c>
      <c r="F93" s="370">
        <f t="shared" si="1"/>
        <v>2700883</v>
      </c>
      <c r="G93" s="59">
        <v>0</v>
      </c>
      <c r="H93" s="59">
        <v>0</v>
      </c>
      <c r="I93" s="59">
        <v>0</v>
      </c>
      <c r="J93" s="59">
        <v>0</v>
      </c>
      <c r="K93" s="59">
        <v>0</v>
      </c>
      <c r="L93" s="16"/>
      <c r="M93" s="59"/>
      <c r="N93" s="59"/>
      <c r="O93" s="59"/>
      <c r="P93" s="59"/>
      <c r="Q93" s="59"/>
    </row>
    <row r="94" spans="1:17" ht="14.1" customHeight="1" x14ac:dyDescent="0.2">
      <c r="A94" s="54" t="s">
        <v>77</v>
      </c>
      <c r="B94" s="54" t="s">
        <v>263</v>
      </c>
      <c r="C94" s="59">
        <v>112726470</v>
      </c>
      <c r="D94" s="59">
        <v>112726470</v>
      </c>
      <c r="E94" s="59">
        <v>0</v>
      </c>
      <c r="F94" s="370">
        <f t="shared" si="1"/>
        <v>112726470</v>
      </c>
      <c r="G94" s="59">
        <v>0</v>
      </c>
      <c r="H94" s="59">
        <v>0</v>
      </c>
      <c r="I94" s="59">
        <v>0</v>
      </c>
      <c r="J94" s="59">
        <v>0</v>
      </c>
      <c r="K94" s="59">
        <v>0</v>
      </c>
      <c r="L94" s="16"/>
      <c r="M94" s="59"/>
      <c r="N94" s="59"/>
      <c r="O94" s="59"/>
      <c r="P94" s="59"/>
      <c r="Q94" s="59"/>
    </row>
    <row r="95" spans="1:17" ht="14.1" customHeight="1" x14ac:dyDescent="0.2">
      <c r="A95" s="54" t="s">
        <v>78</v>
      </c>
      <c r="B95" s="54" t="s">
        <v>264</v>
      </c>
      <c r="C95" s="59">
        <v>9163181</v>
      </c>
      <c r="D95" s="59">
        <v>9163181</v>
      </c>
      <c r="E95" s="59">
        <v>0</v>
      </c>
      <c r="F95" s="370">
        <f t="shared" si="1"/>
        <v>9163181</v>
      </c>
      <c r="G95" s="59">
        <v>0</v>
      </c>
      <c r="H95" s="59">
        <v>0</v>
      </c>
      <c r="I95" s="59">
        <v>0</v>
      </c>
      <c r="J95" s="59">
        <v>0</v>
      </c>
      <c r="K95" s="59">
        <v>0</v>
      </c>
      <c r="L95" s="16"/>
      <c r="M95" s="59"/>
      <c r="N95" s="59"/>
      <c r="O95" s="59"/>
      <c r="P95" s="59"/>
      <c r="Q95" s="59"/>
    </row>
    <row r="96" spans="1:17" ht="14.1" customHeight="1" x14ac:dyDescent="0.2">
      <c r="A96" s="54" t="s">
        <v>79</v>
      </c>
      <c r="B96" s="54" t="s">
        <v>265</v>
      </c>
      <c r="C96" s="59">
        <v>19068000</v>
      </c>
      <c r="D96" s="59">
        <v>19068000</v>
      </c>
      <c r="E96" s="59">
        <v>0</v>
      </c>
      <c r="F96" s="370">
        <f t="shared" si="1"/>
        <v>19068000</v>
      </c>
      <c r="G96" s="59">
        <v>0</v>
      </c>
      <c r="H96" s="59">
        <v>0</v>
      </c>
      <c r="I96" s="59">
        <v>0</v>
      </c>
      <c r="J96" s="59">
        <v>0</v>
      </c>
      <c r="K96" s="59">
        <v>0</v>
      </c>
      <c r="L96" s="16"/>
      <c r="M96" s="59"/>
      <c r="N96" s="59"/>
      <c r="O96" s="59"/>
      <c r="P96" s="59"/>
      <c r="Q96" s="59"/>
    </row>
    <row r="97" spans="1:17" ht="14.1" customHeight="1" x14ac:dyDescent="0.2">
      <c r="A97" s="54" t="s">
        <v>80</v>
      </c>
      <c r="B97" s="54" t="s">
        <v>266</v>
      </c>
      <c r="C97" s="59">
        <v>14306108</v>
      </c>
      <c r="D97" s="59">
        <v>14306108</v>
      </c>
      <c r="E97" s="59">
        <v>0</v>
      </c>
      <c r="F97" s="370">
        <f t="shared" si="1"/>
        <v>14306108</v>
      </c>
      <c r="G97" s="59">
        <v>0</v>
      </c>
      <c r="H97" s="59">
        <v>0</v>
      </c>
      <c r="I97" s="59">
        <v>0</v>
      </c>
      <c r="J97" s="59">
        <v>0</v>
      </c>
      <c r="K97" s="59">
        <v>0</v>
      </c>
      <c r="L97" s="16"/>
      <c r="M97" s="59"/>
      <c r="N97" s="59"/>
      <c r="O97" s="59"/>
      <c r="P97" s="59"/>
      <c r="Q97" s="59"/>
    </row>
    <row r="98" spans="1:17" ht="14.1" customHeight="1" x14ac:dyDescent="0.2">
      <c r="A98" s="54" t="s">
        <v>81</v>
      </c>
      <c r="B98" s="54" t="s">
        <v>267</v>
      </c>
      <c r="C98" s="59">
        <v>15845690</v>
      </c>
      <c r="D98" s="59">
        <v>15845690</v>
      </c>
      <c r="E98" s="59">
        <v>0</v>
      </c>
      <c r="F98" s="370">
        <f t="shared" si="1"/>
        <v>15845690</v>
      </c>
      <c r="G98" s="59">
        <v>0</v>
      </c>
      <c r="H98" s="59">
        <v>0</v>
      </c>
      <c r="I98" s="59">
        <v>0</v>
      </c>
      <c r="J98" s="59">
        <v>0</v>
      </c>
      <c r="K98" s="59">
        <v>0</v>
      </c>
      <c r="L98" s="16"/>
      <c r="M98" s="59"/>
      <c r="N98" s="59"/>
      <c r="O98" s="59"/>
      <c r="P98" s="59"/>
      <c r="Q98" s="59"/>
    </row>
    <row r="99" spans="1:17" ht="14.1" customHeight="1" x14ac:dyDescent="0.2">
      <c r="A99" s="54" t="s">
        <v>82</v>
      </c>
      <c r="B99" s="54" t="s">
        <v>268</v>
      </c>
      <c r="C99" s="59">
        <v>188314186</v>
      </c>
      <c r="D99" s="59">
        <v>188314186</v>
      </c>
      <c r="E99" s="59">
        <v>0</v>
      </c>
      <c r="F99" s="370">
        <f t="shared" si="1"/>
        <v>188314186</v>
      </c>
      <c r="G99" s="59">
        <v>0</v>
      </c>
      <c r="H99" s="59">
        <v>0</v>
      </c>
      <c r="I99" s="59">
        <v>0</v>
      </c>
      <c r="J99" s="59">
        <v>0</v>
      </c>
      <c r="K99" s="59">
        <v>0</v>
      </c>
      <c r="L99" s="16"/>
      <c r="M99" s="59"/>
      <c r="N99" s="59"/>
      <c r="O99" s="59"/>
      <c r="P99" s="59"/>
      <c r="Q99" s="59"/>
    </row>
    <row r="100" spans="1:17" ht="14.1" customHeight="1" x14ac:dyDescent="0.2">
      <c r="A100" s="54" t="s">
        <v>83</v>
      </c>
      <c r="B100" s="54" t="s">
        <v>269</v>
      </c>
      <c r="C100" s="59">
        <v>-4656347</v>
      </c>
      <c r="D100" s="59">
        <v>-4656347</v>
      </c>
      <c r="E100" s="59">
        <v>0</v>
      </c>
      <c r="F100" s="370">
        <f t="shared" si="1"/>
        <v>-4656347</v>
      </c>
      <c r="G100" s="59">
        <v>0</v>
      </c>
      <c r="H100" s="59">
        <v>0</v>
      </c>
      <c r="I100" s="59">
        <v>0</v>
      </c>
      <c r="J100" s="59">
        <v>0</v>
      </c>
      <c r="K100" s="59">
        <v>0</v>
      </c>
      <c r="L100" s="16"/>
      <c r="M100" s="59"/>
      <c r="N100" s="59"/>
      <c r="O100" s="59"/>
      <c r="P100" s="59"/>
      <c r="Q100" s="59"/>
    </row>
    <row r="101" spans="1:17" ht="14.1" customHeight="1" x14ac:dyDescent="0.2">
      <c r="A101" s="54" t="s">
        <v>84</v>
      </c>
      <c r="B101" s="54" t="s">
        <v>270</v>
      </c>
      <c r="C101" s="59">
        <v>3387857</v>
      </c>
      <c r="D101" s="59">
        <v>3387857</v>
      </c>
      <c r="E101" s="59">
        <v>0</v>
      </c>
      <c r="F101" s="370">
        <f t="shared" si="1"/>
        <v>3387857</v>
      </c>
      <c r="G101" s="59">
        <v>0</v>
      </c>
      <c r="H101" s="59">
        <v>0</v>
      </c>
      <c r="I101" s="59">
        <v>0</v>
      </c>
      <c r="J101" s="59">
        <v>0</v>
      </c>
      <c r="K101" s="59">
        <v>0</v>
      </c>
      <c r="L101" s="16"/>
      <c r="M101" s="59"/>
      <c r="N101" s="59"/>
      <c r="O101" s="59"/>
      <c r="P101" s="59"/>
      <c r="Q101" s="59"/>
    </row>
    <row r="102" spans="1:17" ht="14.1" customHeight="1" x14ac:dyDescent="0.2">
      <c r="A102" s="54" t="s">
        <v>85</v>
      </c>
      <c r="B102" s="54" t="s">
        <v>271</v>
      </c>
      <c r="C102" s="59">
        <v>360882</v>
      </c>
      <c r="D102" s="59">
        <v>360882</v>
      </c>
      <c r="E102" s="59">
        <v>0</v>
      </c>
      <c r="F102" s="370">
        <f t="shared" si="1"/>
        <v>360882</v>
      </c>
      <c r="G102" s="59">
        <v>0</v>
      </c>
      <c r="H102" s="59">
        <v>0</v>
      </c>
      <c r="I102" s="59">
        <v>0</v>
      </c>
      <c r="J102" s="59">
        <v>0</v>
      </c>
      <c r="K102" s="59">
        <v>0</v>
      </c>
      <c r="L102" s="16"/>
      <c r="M102" s="59"/>
      <c r="N102" s="59"/>
      <c r="O102" s="59"/>
      <c r="P102" s="59"/>
      <c r="Q102" s="59"/>
    </row>
    <row r="103" spans="1:17" ht="14.1" customHeight="1" x14ac:dyDescent="0.2">
      <c r="A103" s="54" t="s">
        <v>86</v>
      </c>
      <c r="B103" s="54" t="s">
        <v>272</v>
      </c>
      <c r="C103" s="59">
        <v>7124177</v>
      </c>
      <c r="D103" s="59">
        <v>7124177</v>
      </c>
      <c r="E103" s="59">
        <v>0</v>
      </c>
      <c r="F103" s="370">
        <f t="shared" si="1"/>
        <v>7124177</v>
      </c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16"/>
      <c r="M103" s="59"/>
      <c r="N103" s="59"/>
      <c r="O103" s="59"/>
      <c r="P103" s="59"/>
      <c r="Q103" s="59"/>
    </row>
    <row r="104" spans="1:17" ht="14.1" customHeight="1" x14ac:dyDescent="0.2">
      <c r="A104" s="54" t="s">
        <v>87</v>
      </c>
      <c r="B104" s="54" t="s">
        <v>273</v>
      </c>
      <c r="C104" s="59">
        <v>0</v>
      </c>
      <c r="D104" s="59">
        <v>0</v>
      </c>
      <c r="E104" s="59">
        <v>0</v>
      </c>
      <c r="F104" s="370">
        <f t="shared" si="1"/>
        <v>0</v>
      </c>
      <c r="G104" s="59">
        <v>0</v>
      </c>
      <c r="H104" s="59">
        <v>0</v>
      </c>
      <c r="I104" s="59">
        <v>0</v>
      </c>
      <c r="J104" s="59">
        <v>0</v>
      </c>
      <c r="K104" s="59">
        <v>0</v>
      </c>
      <c r="L104" s="16"/>
      <c r="M104" s="59"/>
      <c r="N104" s="59"/>
      <c r="O104" s="59"/>
      <c r="P104" s="59"/>
      <c r="Q104" s="59"/>
    </row>
    <row r="105" spans="1:17" ht="14.1" customHeight="1" x14ac:dyDescent="0.2">
      <c r="A105" s="54" t="s">
        <v>88</v>
      </c>
      <c r="B105" s="54" t="s">
        <v>274</v>
      </c>
      <c r="C105" s="59">
        <v>0</v>
      </c>
      <c r="D105" s="59">
        <v>0</v>
      </c>
      <c r="E105" s="59">
        <v>0</v>
      </c>
      <c r="F105" s="370">
        <f t="shared" si="1"/>
        <v>0</v>
      </c>
      <c r="G105" s="59">
        <v>0</v>
      </c>
      <c r="H105" s="59">
        <v>0</v>
      </c>
      <c r="I105" s="59">
        <v>0</v>
      </c>
      <c r="J105" s="59">
        <v>0</v>
      </c>
      <c r="K105" s="59">
        <v>0</v>
      </c>
      <c r="L105" s="16"/>
      <c r="M105" s="59"/>
      <c r="N105" s="59"/>
      <c r="O105" s="59"/>
      <c r="P105" s="59"/>
      <c r="Q105" s="59"/>
    </row>
    <row r="106" spans="1:17" ht="14.1" customHeight="1" x14ac:dyDescent="0.2">
      <c r="A106" s="54" t="s">
        <v>89</v>
      </c>
      <c r="B106" s="54" t="s">
        <v>275</v>
      </c>
      <c r="C106" s="59">
        <v>0</v>
      </c>
      <c r="D106" s="59">
        <v>0</v>
      </c>
      <c r="E106" s="59">
        <v>0</v>
      </c>
      <c r="F106" s="370">
        <f t="shared" si="1"/>
        <v>0</v>
      </c>
      <c r="G106" s="59">
        <v>0</v>
      </c>
      <c r="H106" s="59">
        <v>0</v>
      </c>
      <c r="I106" s="59">
        <v>0</v>
      </c>
      <c r="J106" s="59">
        <v>0</v>
      </c>
      <c r="K106" s="59">
        <v>0</v>
      </c>
      <c r="L106" s="16"/>
      <c r="M106" s="59"/>
      <c r="N106" s="59"/>
      <c r="O106" s="59"/>
      <c r="P106" s="59"/>
      <c r="Q106" s="59"/>
    </row>
    <row r="107" spans="1:17" ht="14.1" customHeight="1" x14ac:dyDescent="0.2">
      <c r="A107" s="54" t="s">
        <v>90</v>
      </c>
      <c r="B107" s="54" t="s">
        <v>276</v>
      </c>
      <c r="C107" s="59">
        <v>964905</v>
      </c>
      <c r="D107" s="59">
        <v>964905</v>
      </c>
      <c r="E107" s="59">
        <v>0</v>
      </c>
      <c r="F107" s="370">
        <f t="shared" si="1"/>
        <v>964905</v>
      </c>
      <c r="G107" s="59">
        <v>0</v>
      </c>
      <c r="H107" s="59">
        <v>0</v>
      </c>
      <c r="I107" s="59">
        <v>0</v>
      </c>
      <c r="J107" s="59">
        <v>0</v>
      </c>
      <c r="K107" s="59">
        <v>0</v>
      </c>
      <c r="L107" s="16"/>
      <c r="M107" s="59"/>
      <c r="N107" s="59"/>
      <c r="O107" s="59"/>
      <c r="P107" s="59"/>
      <c r="Q107" s="59"/>
    </row>
    <row r="108" spans="1:17" ht="14.1" customHeight="1" x14ac:dyDescent="0.2">
      <c r="A108" s="54" t="s">
        <v>91</v>
      </c>
      <c r="B108" s="54" t="s">
        <v>277</v>
      </c>
      <c r="C108" s="59">
        <v>-1358477</v>
      </c>
      <c r="D108" s="59">
        <v>-1358477</v>
      </c>
      <c r="E108" s="59">
        <v>0</v>
      </c>
      <c r="F108" s="370">
        <f t="shared" si="1"/>
        <v>-1358477</v>
      </c>
      <c r="G108" s="59">
        <v>0</v>
      </c>
      <c r="H108" s="59">
        <v>0</v>
      </c>
      <c r="I108" s="59">
        <v>0</v>
      </c>
      <c r="J108" s="59">
        <v>0</v>
      </c>
      <c r="K108" s="59">
        <v>0</v>
      </c>
      <c r="L108" s="16"/>
      <c r="M108" s="59"/>
      <c r="N108" s="59"/>
      <c r="O108" s="59"/>
      <c r="P108" s="59"/>
      <c r="Q108" s="59"/>
    </row>
    <row r="109" spans="1:17" ht="14.1" customHeight="1" x14ac:dyDescent="0.2">
      <c r="A109" s="54" t="s">
        <v>92</v>
      </c>
      <c r="B109" s="54" t="s">
        <v>278</v>
      </c>
      <c r="C109" s="59">
        <v>393572</v>
      </c>
      <c r="D109" s="59">
        <v>393572</v>
      </c>
      <c r="E109" s="59">
        <v>0</v>
      </c>
      <c r="F109" s="370">
        <f t="shared" si="1"/>
        <v>393572</v>
      </c>
      <c r="G109" s="59">
        <v>0</v>
      </c>
      <c r="H109" s="59">
        <v>0</v>
      </c>
      <c r="I109" s="59">
        <v>0</v>
      </c>
      <c r="J109" s="59">
        <v>0</v>
      </c>
      <c r="K109" s="59">
        <v>0</v>
      </c>
      <c r="L109" s="16"/>
      <c r="M109" s="59"/>
      <c r="N109" s="59"/>
      <c r="O109" s="59"/>
      <c r="P109" s="59"/>
      <c r="Q109" s="59"/>
    </row>
    <row r="110" spans="1:17" ht="14.1" customHeight="1" x14ac:dyDescent="0.2">
      <c r="A110" s="54" t="s">
        <v>93</v>
      </c>
      <c r="B110" s="54" t="s">
        <v>279</v>
      </c>
      <c r="C110" s="59">
        <v>0</v>
      </c>
      <c r="D110" s="59">
        <v>0</v>
      </c>
      <c r="E110" s="59">
        <v>0</v>
      </c>
      <c r="F110" s="370">
        <f t="shared" si="1"/>
        <v>0</v>
      </c>
      <c r="G110" s="59">
        <v>0</v>
      </c>
      <c r="H110" s="59">
        <v>0</v>
      </c>
      <c r="I110" s="59">
        <v>0</v>
      </c>
      <c r="J110" s="59">
        <v>0</v>
      </c>
      <c r="K110" s="59">
        <v>0</v>
      </c>
      <c r="L110" s="16"/>
      <c r="M110" s="59"/>
      <c r="N110" s="59"/>
      <c r="O110" s="59"/>
      <c r="P110" s="59"/>
      <c r="Q110" s="59"/>
    </row>
    <row r="111" spans="1:17" ht="14.1" customHeight="1" x14ac:dyDescent="0.2">
      <c r="A111" s="54" t="s">
        <v>94</v>
      </c>
      <c r="B111" s="54" t="s">
        <v>280</v>
      </c>
      <c r="C111" s="59">
        <v>-30351</v>
      </c>
      <c r="D111" s="59">
        <v>-30351</v>
      </c>
      <c r="E111" s="59">
        <v>0</v>
      </c>
      <c r="F111" s="370">
        <f t="shared" si="1"/>
        <v>-30351</v>
      </c>
      <c r="G111" s="59">
        <v>0</v>
      </c>
      <c r="H111" s="59">
        <v>0</v>
      </c>
      <c r="I111" s="59">
        <v>0</v>
      </c>
      <c r="J111" s="59">
        <v>0</v>
      </c>
      <c r="K111" s="59">
        <v>0</v>
      </c>
      <c r="L111" s="16"/>
      <c r="M111" s="59"/>
      <c r="N111" s="59"/>
      <c r="O111" s="59"/>
      <c r="P111" s="59"/>
      <c r="Q111" s="59"/>
    </row>
    <row r="112" spans="1:17" ht="14.1" customHeight="1" x14ac:dyDescent="0.2">
      <c r="A112" s="54" t="s">
        <v>95</v>
      </c>
      <c r="B112" s="54" t="s">
        <v>281</v>
      </c>
      <c r="C112" s="59">
        <v>-6358244</v>
      </c>
      <c r="D112" s="59">
        <v>-6358244</v>
      </c>
      <c r="E112" s="59">
        <v>0</v>
      </c>
      <c r="F112" s="370">
        <f t="shared" si="1"/>
        <v>-6358244</v>
      </c>
      <c r="G112" s="59">
        <v>0</v>
      </c>
      <c r="H112" s="59">
        <v>0</v>
      </c>
      <c r="I112" s="59">
        <v>0</v>
      </c>
      <c r="J112" s="59">
        <v>0</v>
      </c>
      <c r="K112" s="59">
        <v>0</v>
      </c>
      <c r="L112" s="16"/>
      <c r="M112" s="59"/>
      <c r="N112" s="59"/>
      <c r="O112" s="59"/>
      <c r="P112" s="59"/>
      <c r="Q112" s="59"/>
    </row>
    <row r="113" spans="1:17" ht="14.1" customHeight="1" x14ac:dyDescent="0.2">
      <c r="A113" s="54" t="s">
        <v>96</v>
      </c>
      <c r="B113" s="54" t="s">
        <v>282</v>
      </c>
      <c r="C113" s="59">
        <v>0</v>
      </c>
      <c r="D113" s="59">
        <v>0</v>
      </c>
      <c r="E113" s="59">
        <v>0</v>
      </c>
      <c r="F113" s="370">
        <f t="shared" si="1"/>
        <v>0</v>
      </c>
      <c r="G113" s="59">
        <v>0</v>
      </c>
      <c r="H113" s="59">
        <v>0</v>
      </c>
      <c r="I113" s="59">
        <v>0</v>
      </c>
      <c r="J113" s="59">
        <v>0</v>
      </c>
      <c r="K113" s="59">
        <v>0</v>
      </c>
      <c r="L113" s="16"/>
      <c r="M113" s="59"/>
      <c r="N113" s="59"/>
      <c r="O113" s="59"/>
      <c r="P113" s="59"/>
      <c r="Q113" s="59"/>
    </row>
    <row r="114" spans="1:17" ht="14.1" customHeight="1" x14ac:dyDescent="0.2">
      <c r="A114" s="54" t="s">
        <v>97</v>
      </c>
      <c r="B114" s="54" t="s">
        <v>283</v>
      </c>
      <c r="C114" s="59">
        <v>0</v>
      </c>
      <c r="D114" s="59">
        <v>0</v>
      </c>
      <c r="E114" s="59">
        <v>0</v>
      </c>
      <c r="F114" s="370">
        <f t="shared" si="1"/>
        <v>0</v>
      </c>
      <c r="G114" s="59">
        <v>0</v>
      </c>
      <c r="H114" s="59">
        <v>0</v>
      </c>
      <c r="I114" s="59">
        <v>0</v>
      </c>
      <c r="J114" s="59">
        <v>0</v>
      </c>
      <c r="K114" s="59">
        <v>0</v>
      </c>
      <c r="L114" s="16"/>
      <c r="M114" s="59"/>
      <c r="N114" s="59"/>
      <c r="O114" s="59"/>
      <c r="P114" s="59"/>
      <c r="Q114" s="59"/>
    </row>
    <row r="115" spans="1:17" ht="14.1" customHeight="1" x14ac:dyDescent="0.2">
      <c r="A115" s="54" t="s">
        <v>98</v>
      </c>
      <c r="B115" s="54" t="s">
        <v>284</v>
      </c>
      <c r="C115" s="59">
        <v>0</v>
      </c>
      <c r="D115" s="59">
        <v>0</v>
      </c>
      <c r="E115" s="59">
        <v>0</v>
      </c>
      <c r="F115" s="370">
        <f t="shared" si="1"/>
        <v>0</v>
      </c>
      <c r="G115" s="59">
        <v>0</v>
      </c>
      <c r="H115" s="59">
        <v>0</v>
      </c>
      <c r="I115" s="59">
        <v>0</v>
      </c>
      <c r="J115" s="59">
        <v>0</v>
      </c>
      <c r="K115" s="59">
        <v>0</v>
      </c>
      <c r="L115" s="16"/>
      <c r="M115" s="59"/>
      <c r="N115" s="59"/>
      <c r="O115" s="59"/>
      <c r="P115" s="59"/>
      <c r="Q115" s="59"/>
    </row>
    <row r="116" spans="1:17" ht="14.1" customHeight="1" x14ac:dyDescent="0.2">
      <c r="A116" s="54" t="s">
        <v>99</v>
      </c>
      <c r="B116" s="54" t="s">
        <v>285</v>
      </c>
      <c r="C116" s="59">
        <v>0</v>
      </c>
      <c r="D116" s="59">
        <v>0</v>
      </c>
      <c r="E116" s="59">
        <v>0</v>
      </c>
      <c r="F116" s="370">
        <f t="shared" si="1"/>
        <v>0</v>
      </c>
      <c r="G116" s="59">
        <v>0</v>
      </c>
      <c r="H116" s="59">
        <v>0</v>
      </c>
      <c r="I116" s="59">
        <v>0</v>
      </c>
      <c r="J116" s="59">
        <v>0</v>
      </c>
      <c r="K116" s="59">
        <v>0</v>
      </c>
      <c r="L116" s="16"/>
      <c r="M116" s="59"/>
      <c r="N116" s="59"/>
      <c r="O116" s="59"/>
      <c r="P116" s="59"/>
      <c r="Q116" s="59"/>
    </row>
    <row r="117" spans="1:17" ht="14.1" customHeight="1" x14ac:dyDescent="0.2">
      <c r="A117" s="54" t="s">
        <v>100</v>
      </c>
      <c r="B117" s="54" t="s">
        <v>286</v>
      </c>
      <c r="C117" s="59">
        <v>-1008527</v>
      </c>
      <c r="D117" s="59">
        <v>-1008527</v>
      </c>
      <c r="E117" s="59">
        <v>0</v>
      </c>
      <c r="F117" s="370">
        <f t="shared" si="1"/>
        <v>-1008527</v>
      </c>
      <c r="G117" s="59">
        <v>0</v>
      </c>
      <c r="H117" s="59">
        <v>0</v>
      </c>
      <c r="I117" s="59">
        <v>0</v>
      </c>
      <c r="J117" s="59">
        <v>0</v>
      </c>
      <c r="K117" s="59">
        <v>0</v>
      </c>
      <c r="L117" s="16"/>
      <c r="M117" s="59"/>
      <c r="N117" s="59"/>
      <c r="O117" s="59"/>
      <c r="P117" s="59"/>
      <c r="Q117" s="59"/>
    </row>
    <row r="118" spans="1:17" ht="14.1" customHeight="1" x14ac:dyDescent="0.2">
      <c r="A118" s="54" t="s">
        <v>101</v>
      </c>
      <c r="B118" s="54" t="s">
        <v>287</v>
      </c>
      <c r="C118" s="59">
        <v>7731068</v>
      </c>
      <c r="D118" s="59">
        <v>7731068</v>
      </c>
      <c r="E118" s="59">
        <v>0</v>
      </c>
      <c r="F118" s="370">
        <f t="shared" si="1"/>
        <v>7731068</v>
      </c>
      <c r="G118" s="59">
        <v>0</v>
      </c>
      <c r="H118" s="59">
        <v>0</v>
      </c>
      <c r="I118" s="59">
        <v>0</v>
      </c>
      <c r="J118" s="59">
        <v>0</v>
      </c>
      <c r="K118" s="59">
        <v>0</v>
      </c>
      <c r="L118" s="16"/>
      <c r="M118" s="59"/>
      <c r="N118" s="59"/>
      <c r="O118" s="59"/>
      <c r="P118" s="59"/>
      <c r="Q118" s="59"/>
    </row>
    <row r="119" spans="1:17" ht="14.1" customHeight="1" x14ac:dyDescent="0.2">
      <c r="A119" s="54" t="s">
        <v>102</v>
      </c>
      <c r="B119" s="54" t="s">
        <v>288</v>
      </c>
      <c r="C119" s="59">
        <v>-3389162</v>
      </c>
      <c r="D119" s="59">
        <v>-3389162</v>
      </c>
      <c r="E119" s="59">
        <v>0</v>
      </c>
      <c r="F119" s="370">
        <f t="shared" si="1"/>
        <v>-3389162</v>
      </c>
      <c r="G119" s="59">
        <v>0</v>
      </c>
      <c r="H119" s="59">
        <v>0</v>
      </c>
      <c r="I119" s="59">
        <v>0</v>
      </c>
      <c r="J119" s="59">
        <v>0</v>
      </c>
      <c r="K119" s="59">
        <v>0</v>
      </c>
      <c r="L119" s="16"/>
      <c r="M119" s="59"/>
      <c r="N119" s="59"/>
      <c r="O119" s="59"/>
      <c r="P119" s="59"/>
      <c r="Q119" s="59"/>
    </row>
    <row r="120" spans="1:17" ht="14.1" customHeight="1" x14ac:dyDescent="0.2">
      <c r="A120" s="54" t="s">
        <v>103</v>
      </c>
      <c r="B120" s="54" t="s">
        <v>289</v>
      </c>
      <c r="C120" s="59">
        <v>0</v>
      </c>
      <c r="D120" s="59">
        <v>0</v>
      </c>
      <c r="E120" s="59">
        <v>0</v>
      </c>
      <c r="F120" s="370">
        <f t="shared" si="1"/>
        <v>0</v>
      </c>
      <c r="G120" s="59">
        <v>0</v>
      </c>
      <c r="H120" s="59">
        <v>0</v>
      </c>
      <c r="I120" s="59">
        <v>0</v>
      </c>
      <c r="J120" s="59">
        <v>0</v>
      </c>
      <c r="K120" s="59">
        <v>0</v>
      </c>
      <c r="L120" s="16"/>
      <c r="M120" s="59"/>
      <c r="N120" s="59"/>
      <c r="O120" s="59"/>
      <c r="P120" s="59"/>
      <c r="Q120" s="59"/>
    </row>
    <row r="121" spans="1:17" ht="14.1" customHeight="1" x14ac:dyDescent="0.2">
      <c r="A121" s="54" t="s">
        <v>104</v>
      </c>
      <c r="B121" s="54" t="s">
        <v>290</v>
      </c>
      <c r="C121" s="59">
        <v>6198290</v>
      </c>
      <c r="D121" s="59">
        <v>6198290</v>
      </c>
      <c r="E121" s="59">
        <v>0</v>
      </c>
      <c r="F121" s="370">
        <f t="shared" si="1"/>
        <v>6198290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16"/>
      <c r="M121" s="59"/>
      <c r="N121" s="59"/>
      <c r="O121" s="59"/>
      <c r="P121" s="59"/>
      <c r="Q121" s="59"/>
    </row>
    <row r="122" spans="1:17" ht="14.1" customHeight="1" x14ac:dyDescent="0.2">
      <c r="A122" s="54" t="s">
        <v>105</v>
      </c>
      <c r="B122" s="54" t="s">
        <v>291</v>
      </c>
      <c r="C122" s="59">
        <v>386594</v>
      </c>
      <c r="D122" s="59">
        <v>386594</v>
      </c>
      <c r="E122" s="59">
        <v>0</v>
      </c>
      <c r="F122" s="370">
        <f t="shared" si="1"/>
        <v>386594</v>
      </c>
      <c r="G122" s="59">
        <v>0</v>
      </c>
      <c r="H122" s="59">
        <v>0</v>
      </c>
      <c r="I122" s="59">
        <v>0</v>
      </c>
      <c r="J122" s="59">
        <v>0</v>
      </c>
      <c r="K122" s="59">
        <v>0</v>
      </c>
      <c r="L122" s="16"/>
      <c r="M122" s="59"/>
      <c r="N122" s="59"/>
      <c r="O122" s="59"/>
      <c r="P122" s="59"/>
      <c r="Q122" s="59"/>
    </row>
    <row r="123" spans="1:17" ht="14.1" customHeight="1" x14ac:dyDescent="0.2">
      <c r="A123" s="54" t="s">
        <v>106</v>
      </c>
      <c r="B123" s="54" t="s">
        <v>292</v>
      </c>
      <c r="C123" s="59">
        <v>-9656036</v>
      </c>
      <c r="D123" s="59">
        <v>-9656036</v>
      </c>
      <c r="E123" s="59">
        <v>0</v>
      </c>
      <c r="F123" s="370">
        <f t="shared" si="1"/>
        <v>-9656036</v>
      </c>
      <c r="G123" s="59">
        <v>0</v>
      </c>
      <c r="H123" s="59">
        <v>0</v>
      </c>
      <c r="I123" s="59">
        <v>0</v>
      </c>
      <c r="J123" s="59">
        <v>0</v>
      </c>
      <c r="K123" s="59">
        <v>0</v>
      </c>
      <c r="L123" s="16"/>
      <c r="M123" s="59"/>
      <c r="N123" s="59"/>
      <c r="O123" s="59"/>
      <c r="P123" s="59"/>
      <c r="Q123" s="59"/>
    </row>
    <row r="124" spans="1:17" ht="14.1" customHeight="1" x14ac:dyDescent="0.2">
      <c r="A124" s="54" t="s">
        <v>107</v>
      </c>
      <c r="B124" s="54" t="s">
        <v>293</v>
      </c>
      <c r="C124" s="59">
        <v>-10101485</v>
      </c>
      <c r="D124" s="59">
        <v>-10101485</v>
      </c>
      <c r="E124" s="59">
        <v>0</v>
      </c>
      <c r="F124" s="370">
        <f t="shared" si="1"/>
        <v>-10101485</v>
      </c>
      <c r="G124" s="59">
        <v>0</v>
      </c>
      <c r="H124" s="59">
        <v>0</v>
      </c>
      <c r="I124" s="59">
        <v>0</v>
      </c>
      <c r="J124" s="59">
        <v>0</v>
      </c>
      <c r="K124" s="59">
        <v>0</v>
      </c>
      <c r="L124" s="16"/>
      <c r="M124" s="59"/>
      <c r="N124" s="59"/>
      <c r="O124" s="59"/>
      <c r="P124" s="59"/>
      <c r="Q124" s="59"/>
    </row>
    <row r="125" spans="1:17" ht="14.1" customHeight="1" x14ac:dyDescent="0.2">
      <c r="A125" s="54" t="s">
        <v>108</v>
      </c>
      <c r="B125" s="54" t="s">
        <v>294</v>
      </c>
      <c r="C125" s="59">
        <v>0</v>
      </c>
      <c r="D125" s="59">
        <v>0</v>
      </c>
      <c r="E125" s="59">
        <v>0</v>
      </c>
      <c r="F125" s="370">
        <f t="shared" si="1"/>
        <v>0</v>
      </c>
      <c r="G125" s="59">
        <v>0</v>
      </c>
      <c r="H125" s="59">
        <v>0</v>
      </c>
      <c r="I125" s="59">
        <v>0</v>
      </c>
      <c r="J125" s="59">
        <v>0</v>
      </c>
      <c r="K125" s="59">
        <v>0</v>
      </c>
      <c r="L125" s="16"/>
      <c r="M125" s="59"/>
      <c r="N125" s="59"/>
      <c r="O125" s="59"/>
      <c r="P125" s="59"/>
      <c r="Q125" s="59"/>
    </row>
    <row r="126" spans="1:17" ht="14.1" customHeight="1" x14ac:dyDescent="0.2">
      <c r="A126" s="54" t="s">
        <v>109</v>
      </c>
      <c r="B126" s="54" t="s">
        <v>295</v>
      </c>
      <c r="C126" s="59">
        <v>17972160</v>
      </c>
      <c r="D126" s="59">
        <v>17972160</v>
      </c>
      <c r="E126" s="59">
        <v>0</v>
      </c>
      <c r="F126" s="370">
        <f t="shared" si="1"/>
        <v>17972160</v>
      </c>
      <c r="G126" s="59">
        <v>0</v>
      </c>
      <c r="H126" s="59">
        <v>0</v>
      </c>
      <c r="I126" s="59">
        <v>0</v>
      </c>
      <c r="J126" s="59">
        <v>0</v>
      </c>
      <c r="K126" s="59">
        <v>0</v>
      </c>
      <c r="L126" s="16"/>
      <c r="M126" s="59"/>
      <c r="N126" s="59"/>
      <c r="O126" s="59"/>
      <c r="P126" s="59"/>
      <c r="Q126" s="59"/>
    </row>
    <row r="127" spans="1:17" ht="14.1" customHeight="1" x14ac:dyDescent="0.2">
      <c r="A127" s="54" t="s">
        <v>110</v>
      </c>
      <c r="B127" s="54" t="s">
        <v>296</v>
      </c>
      <c r="C127" s="59">
        <v>101239536</v>
      </c>
      <c r="D127" s="59">
        <v>101239536</v>
      </c>
      <c r="E127" s="59">
        <v>0</v>
      </c>
      <c r="F127" s="370">
        <f t="shared" si="1"/>
        <v>101239536</v>
      </c>
      <c r="G127" s="59">
        <v>0</v>
      </c>
      <c r="H127" s="59">
        <v>0</v>
      </c>
      <c r="I127" s="59">
        <v>0</v>
      </c>
      <c r="J127" s="59">
        <v>0</v>
      </c>
      <c r="K127" s="59">
        <v>0</v>
      </c>
      <c r="L127" s="16"/>
      <c r="M127" s="59"/>
      <c r="N127" s="59"/>
      <c r="O127" s="59"/>
      <c r="P127" s="59"/>
      <c r="Q127" s="59"/>
    </row>
    <row r="128" spans="1:17" ht="14.1" customHeight="1" x14ac:dyDescent="0.2">
      <c r="A128" s="54" t="s">
        <v>111</v>
      </c>
      <c r="B128" s="54" t="s">
        <v>297</v>
      </c>
      <c r="C128" s="59">
        <v>52065738</v>
      </c>
      <c r="D128" s="59">
        <v>52065738</v>
      </c>
      <c r="E128" s="59">
        <v>0</v>
      </c>
      <c r="F128" s="370">
        <f t="shared" si="1"/>
        <v>52065738</v>
      </c>
      <c r="G128" s="59">
        <v>0</v>
      </c>
      <c r="H128" s="59">
        <v>0</v>
      </c>
      <c r="I128" s="59">
        <v>0</v>
      </c>
      <c r="J128" s="59">
        <v>0</v>
      </c>
      <c r="K128" s="59">
        <v>0</v>
      </c>
      <c r="L128" s="16"/>
      <c r="M128" s="59"/>
      <c r="N128" s="59"/>
      <c r="O128" s="59"/>
      <c r="P128" s="59"/>
      <c r="Q128" s="59"/>
    </row>
    <row r="129" spans="1:17" ht="14.1" customHeight="1" x14ac:dyDescent="0.2">
      <c r="A129" s="54" t="s">
        <v>112</v>
      </c>
      <c r="B129" s="54" t="s">
        <v>298</v>
      </c>
      <c r="C129" s="59">
        <v>-26032853</v>
      </c>
      <c r="D129" s="59">
        <v>-26032853</v>
      </c>
      <c r="E129" s="59">
        <v>0</v>
      </c>
      <c r="F129" s="370">
        <f t="shared" si="1"/>
        <v>-26032853</v>
      </c>
      <c r="G129" s="59">
        <v>0</v>
      </c>
      <c r="H129" s="59">
        <v>0</v>
      </c>
      <c r="I129" s="59">
        <v>0</v>
      </c>
      <c r="J129" s="59">
        <v>0</v>
      </c>
      <c r="K129" s="59">
        <v>0</v>
      </c>
      <c r="L129" s="16"/>
      <c r="M129" s="59"/>
      <c r="N129" s="59"/>
      <c r="O129" s="59"/>
      <c r="P129" s="59"/>
      <c r="Q129" s="59"/>
    </row>
    <row r="130" spans="1:17" ht="14.1" customHeight="1" x14ac:dyDescent="0.2">
      <c r="A130" s="54" t="s">
        <v>113</v>
      </c>
      <c r="B130" s="54" t="s">
        <v>299</v>
      </c>
      <c r="C130" s="59">
        <v>22292084</v>
      </c>
      <c r="D130" s="59">
        <v>22292084</v>
      </c>
      <c r="E130" s="59">
        <v>0</v>
      </c>
      <c r="F130" s="370">
        <f t="shared" si="1"/>
        <v>22292084</v>
      </c>
      <c r="G130" s="59">
        <v>0</v>
      </c>
      <c r="H130" s="59">
        <v>0</v>
      </c>
      <c r="I130" s="59">
        <v>0</v>
      </c>
      <c r="J130" s="59">
        <v>0</v>
      </c>
      <c r="K130" s="59">
        <v>0</v>
      </c>
      <c r="L130" s="16"/>
      <c r="M130" s="59"/>
      <c r="N130" s="59"/>
      <c r="O130" s="59"/>
      <c r="P130" s="59"/>
      <c r="Q130" s="59"/>
    </row>
    <row r="131" spans="1:17" ht="14.1" customHeight="1" x14ac:dyDescent="0.2">
      <c r="A131" s="54" t="s">
        <v>114</v>
      </c>
      <c r="B131" s="54" t="s">
        <v>300</v>
      </c>
      <c r="C131" s="59">
        <v>-11146139</v>
      </c>
      <c r="D131" s="59">
        <v>-11146139</v>
      </c>
      <c r="E131" s="59">
        <v>0</v>
      </c>
      <c r="F131" s="370">
        <f t="shared" si="1"/>
        <v>-11146139</v>
      </c>
      <c r="G131" s="59">
        <v>0</v>
      </c>
      <c r="H131" s="59">
        <v>0</v>
      </c>
      <c r="I131" s="59">
        <v>0</v>
      </c>
      <c r="J131" s="59">
        <v>0</v>
      </c>
      <c r="K131" s="59">
        <v>0</v>
      </c>
      <c r="L131" s="16"/>
      <c r="M131" s="59"/>
      <c r="N131" s="59"/>
      <c r="O131" s="59"/>
      <c r="P131" s="59"/>
      <c r="Q131" s="59"/>
    </row>
    <row r="132" spans="1:17" ht="14.1" customHeight="1" x14ac:dyDescent="0.2">
      <c r="A132" s="54" t="s">
        <v>115</v>
      </c>
      <c r="B132" s="54" t="s">
        <v>301</v>
      </c>
      <c r="C132" s="59">
        <v>154080973</v>
      </c>
      <c r="D132" s="59">
        <v>154080973</v>
      </c>
      <c r="E132" s="59">
        <v>0</v>
      </c>
      <c r="F132" s="370">
        <f t="shared" si="1"/>
        <v>154080973</v>
      </c>
      <c r="G132" s="59">
        <v>0</v>
      </c>
      <c r="H132" s="59">
        <v>0</v>
      </c>
      <c r="I132" s="59">
        <v>0</v>
      </c>
      <c r="J132" s="59">
        <v>0</v>
      </c>
      <c r="K132" s="59">
        <v>0</v>
      </c>
      <c r="L132" s="16"/>
      <c r="M132" s="59"/>
      <c r="N132" s="59"/>
      <c r="O132" s="59"/>
      <c r="P132" s="59"/>
      <c r="Q132" s="59"/>
    </row>
    <row r="133" spans="1:17" ht="14.1" customHeight="1" x14ac:dyDescent="0.2">
      <c r="A133" s="54" t="s">
        <v>116</v>
      </c>
      <c r="B133" s="54" t="s">
        <v>302</v>
      </c>
      <c r="C133" s="59">
        <v>-77040475</v>
      </c>
      <c r="D133" s="59">
        <v>-77040475</v>
      </c>
      <c r="E133" s="59">
        <v>0</v>
      </c>
      <c r="F133" s="370">
        <f t="shared" si="1"/>
        <v>-77040475</v>
      </c>
      <c r="G133" s="59">
        <v>0</v>
      </c>
      <c r="H133" s="59">
        <v>0</v>
      </c>
      <c r="I133" s="59">
        <v>0</v>
      </c>
      <c r="J133" s="59">
        <v>0</v>
      </c>
      <c r="K133" s="59">
        <v>0</v>
      </c>
      <c r="L133" s="16"/>
      <c r="M133" s="59"/>
      <c r="N133" s="59"/>
      <c r="O133" s="59"/>
      <c r="P133" s="59"/>
      <c r="Q133" s="59"/>
    </row>
    <row r="134" spans="1:17" ht="14.1" customHeight="1" x14ac:dyDescent="0.2">
      <c r="A134" s="54" t="s">
        <v>117</v>
      </c>
      <c r="B134" s="54" t="s">
        <v>303</v>
      </c>
      <c r="C134" s="59">
        <v>-442998</v>
      </c>
      <c r="D134" s="59">
        <v>-442998</v>
      </c>
      <c r="E134" s="59">
        <v>0</v>
      </c>
      <c r="F134" s="370">
        <f t="shared" si="1"/>
        <v>-442998</v>
      </c>
      <c r="G134" s="59">
        <v>0</v>
      </c>
      <c r="H134" s="59">
        <v>0</v>
      </c>
      <c r="I134" s="59">
        <v>0</v>
      </c>
      <c r="J134" s="59">
        <v>0</v>
      </c>
      <c r="K134" s="59">
        <v>0</v>
      </c>
      <c r="L134" s="16"/>
      <c r="M134" s="59"/>
      <c r="N134" s="59"/>
      <c r="O134" s="59"/>
      <c r="P134" s="59"/>
      <c r="Q134" s="59"/>
    </row>
    <row r="135" spans="1:17" ht="14.1" customHeight="1" x14ac:dyDescent="0.2">
      <c r="A135" s="54" t="s">
        <v>118</v>
      </c>
      <c r="B135" s="54" t="s">
        <v>304</v>
      </c>
      <c r="C135" s="59">
        <v>-108316291</v>
      </c>
      <c r="D135" s="59">
        <v>-108316291</v>
      </c>
      <c r="E135" s="59">
        <v>0</v>
      </c>
      <c r="F135" s="370">
        <f t="shared" si="1"/>
        <v>-108316291</v>
      </c>
      <c r="G135" s="59">
        <v>0</v>
      </c>
      <c r="H135" s="59">
        <v>0</v>
      </c>
      <c r="I135" s="59">
        <v>0</v>
      </c>
      <c r="J135" s="59">
        <v>0</v>
      </c>
      <c r="K135" s="59">
        <v>0</v>
      </c>
      <c r="L135" s="16"/>
      <c r="M135" s="59"/>
      <c r="N135" s="59"/>
      <c r="O135" s="59"/>
      <c r="P135" s="59"/>
      <c r="Q135" s="59"/>
    </row>
    <row r="136" spans="1:17" ht="14.1" customHeight="1" x14ac:dyDescent="0.2">
      <c r="A136" s="54" t="s">
        <v>119</v>
      </c>
      <c r="B136" s="54" t="s">
        <v>305</v>
      </c>
      <c r="C136" s="59">
        <v>0</v>
      </c>
      <c r="D136" s="59">
        <v>0</v>
      </c>
      <c r="E136" s="59">
        <v>0</v>
      </c>
      <c r="F136" s="370">
        <f t="shared" si="1"/>
        <v>0</v>
      </c>
      <c r="G136" s="59">
        <v>0</v>
      </c>
      <c r="H136" s="59">
        <v>0</v>
      </c>
      <c r="I136" s="59">
        <v>0</v>
      </c>
      <c r="J136" s="59">
        <v>0</v>
      </c>
      <c r="K136" s="59">
        <v>0</v>
      </c>
      <c r="L136" s="16"/>
      <c r="M136" s="59"/>
      <c r="N136" s="59"/>
      <c r="O136" s="59"/>
      <c r="P136" s="59"/>
      <c r="Q136" s="59"/>
    </row>
    <row r="137" spans="1:17" ht="14.1" customHeight="1" x14ac:dyDescent="0.2">
      <c r="A137" s="54" t="s">
        <v>122</v>
      </c>
      <c r="B137" s="54" t="s">
        <v>308</v>
      </c>
      <c r="C137" s="59">
        <v>-29298885</v>
      </c>
      <c r="D137" s="59">
        <v>-29298885</v>
      </c>
      <c r="E137" s="59">
        <v>0</v>
      </c>
      <c r="F137" s="370">
        <f t="shared" ref="F137:F200" si="2">D137+E137</f>
        <v>-29298885</v>
      </c>
      <c r="G137" s="59">
        <v>0</v>
      </c>
      <c r="H137" s="59">
        <v>0</v>
      </c>
      <c r="I137" s="59">
        <v>0</v>
      </c>
      <c r="J137" s="59">
        <v>0</v>
      </c>
      <c r="K137" s="59">
        <v>0</v>
      </c>
      <c r="L137" s="16"/>
      <c r="M137" s="59"/>
      <c r="N137" s="59"/>
      <c r="O137" s="59"/>
      <c r="P137" s="59"/>
      <c r="Q137" s="59"/>
    </row>
    <row r="138" spans="1:17" ht="14.1" customHeight="1" x14ac:dyDescent="0.2">
      <c r="A138" s="54" t="s">
        <v>123</v>
      </c>
      <c r="B138" s="54" t="s">
        <v>309</v>
      </c>
      <c r="C138" s="59">
        <v>250215443</v>
      </c>
      <c r="D138" s="59">
        <v>250215443</v>
      </c>
      <c r="E138" s="59">
        <v>0</v>
      </c>
      <c r="F138" s="370">
        <f t="shared" si="2"/>
        <v>250215443</v>
      </c>
      <c r="G138" s="59">
        <v>0</v>
      </c>
      <c r="H138" s="59">
        <v>0</v>
      </c>
      <c r="I138" s="59">
        <v>0</v>
      </c>
      <c r="J138" s="59">
        <v>0</v>
      </c>
      <c r="K138" s="59">
        <v>0</v>
      </c>
      <c r="L138" s="16"/>
      <c r="M138" s="59"/>
      <c r="N138" s="59"/>
      <c r="O138" s="59"/>
      <c r="P138" s="59"/>
      <c r="Q138" s="59"/>
    </row>
    <row r="139" spans="1:17" ht="14.1" customHeight="1" x14ac:dyDescent="0.2">
      <c r="A139" s="54" t="s">
        <v>124</v>
      </c>
      <c r="B139" s="54" t="s">
        <v>310</v>
      </c>
      <c r="C139" s="59">
        <v>7541981</v>
      </c>
      <c r="D139" s="59">
        <v>7541981</v>
      </c>
      <c r="E139" s="59">
        <v>0</v>
      </c>
      <c r="F139" s="370">
        <f t="shared" si="2"/>
        <v>7541981</v>
      </c>
      <c r="G139" s="59">
        <v>0</v>
      </c>
      <c r="H139" s="59">
        <v>0</v>
      </c>
      <c r="I139" s="59">
        <v>0</v>
      </c>
      <c r="J139" s="59">
        <v>0</v>
      </c>
      <c r="K139" s="59">
        <v>0</v>
      </c>
      <c r="L139" s="16"/>
      <c r="M139" s="59"/>
      <c r="N139" s="59"/>
      <c r="O139" s="59"/>
      <c r="P139" s="59"/>
      <c r="Q139" s="59"/>
    </row>
    <row r="140" spans="1:17" ht="14.1" customHeight="1" x14ac:dyDescent="0.2">
      <c r="A140" s="54" t="s">
        <v>125</v>
      </c>
      <c r="B140" s="54" t="s">
        <v>311</v>
      </c>
      <c r="C140" s="59">
        <v>-12825069</v>
      </c>
      <c r="D140" s="59">
        <v>-12825069</v>
      </c>
      <c r="E140" s="59">
        <v>0</v>
      </c>
      <c r="F140" s="370">
        <f t="shared" si="2"/>
        <v>-12825069</v>
      </c>
      <c r="G140" s="59">
        <v>0</v>
      </c>
      <c r="H140" s="59">
        <v>0</v>
      </c>
      <c r="I140" s="59">
        <v>0</v>
      </c>
      <c r="J140" s="59">
        <v>0</v>
      </c>
      <c r="K140" s="59">
        <v>0</v>
      </c>
      <c r="L140" s="16"/>
      <c r="M140" s="59"/>
      <c r="N140" s="59"/>
      <c r="O140" s="59"/>
      <c r="P140" s="59"/>
      <c r="Q140" s="59"/>
    </row>
    <row r="141" spans="1:17" ht="14.1" customHeight="1" x14ac:dyDescent="0.2">
      <c r="A141" s="54" t="s">
        <v>126</v>
      </c>
      <c r="B141" s="54" t="s">
        <v>312</v>
      </c>
      <c r="C141" s="59">
        <v>0</v>
      </c>
      <c r="D141" s="59">
        <v>0</v>
      </c>
      <c r="E141" s="59">
        <v>0</v>
      </c>
      <c r="F141" s="370">
        <f t="shared" si="2"/>
        <v>0</v>
      </c>
      <c r="G141" s="59">
        <v>0</v>
      </c>
      <c r="H141" s="59">
        <v>0</v>
      </c>
      <c r="I141" s="59">
        <v>0</v>
      </c>
      <c r="J141" s="59">
        <v>0</v>
      </c>
      <c r="K141" s="59">
        <v>0</v>
      </c>
      <c r="L141" s="16"/>
      <c r="M141" s="59"/>
      <c r="N141" s="59"/>
      <c r="O141" s="59"/>
      <c r="P141" s="59"/>
      <c r="Q141" s="59"/>
    </row>
    <row r="142" spans="1:17" ht="14.1" customHeight="1" x14ac:dyDescent="0.2">
      <c r="A142" s="54" t="s">
        <v>127</v>
      </c>
      <c r="B142" s="54" t="s">
        <v>313</v>
      </c>
      <c r="C142" s="59">
        <v>-14597066</v>
      </c>
      <c r="D142" s="59">
        <v>-14597066</v>
      </c>
      <c r="E142" s="59">
        <v>0</v>
      </c>
      <c r="F142" s="370">
        <f t="shared" si="2"/>
        <v>-14597066</v>
      </c>
      <c r="G142" s="59">
        <v>0</v>
      </c>
      <c r="H142" s="59">
        <v>0</v>
      </c>
      <c r="I142" s="59">
        <v>0</v>
      </c>
      <c r="J142" s="59">
        <v>0</v>
      </c>
      <c r="K142" s="59">
        <v>0</v>
      </c>
      <c r="L142" s="16"/>
      <c r="M142" s="59"/>
      <c r="N142" s="59"/>
      <c r="O142" s="59"/>
      <c r="P142" s="59"/>
      <c r="Q142" s="59"/>
    </row>
    <row r="143" spans="1:17" ht="14.1" customHeight="1" x14ac:dyDescent="0.2">
      <c r="A143" s="54" t="s">
        <v>128</v>
      </c>
      <c r="B143" s="54" t="s">
        <v>314</v>
      </c>
      <c r="C143" s="59">
        <v>-742563</v>
      </c>
      <c r="D143" s="59">
        <v>-742563</v>
      </c>
      <c r="E143" s="59">
        <v>0</v>
      </c>
      <c r="F143" s="370">
        <f t="shared" si="2"/>
        <v>-742563</v>
      </c>
      <c r="G143" s="59">
        <v>0</v>
      </c>
      <c r="H143" s="59">
        <v>0</v>
      </c>
      <c r="I143" s="59">
        <v>0</v>
      </c>
      <c r="J143" s="59">
        <v>0</v>
      </c>
      <c r="K143" s="59">
        <v>0</v>
      </c>
      <c r="L143" s="16"/>
      <c r="M143" s="59"/>
      <c r="N143" s="59"/>
      <c r="O143" s="59"/>
      <c r="P143" s="59"/>
      <c r="Q143" s="59"/>
    </row>
    <row r="144" spans="1:17" ht="14.1" customHeight="1" x14ac:dyDescent="0.2">
      <c r="A144" s="54" t="s">
        <v>129</v>
      </c>
      <c r="B144" s="54" t="s">
        <v>315</v>
      </c>
      <c r="C144" s="59">
        <v>0</v>
      </c>
      <c r="D144" s="59">
        <v>0</v>
      </c>
      <c r="E144" s="59">
        <v>0</v>
      </c>
      <c r="F144" s="370">
        <f t="shared" si="2"/>
        <v>0</v>
      </c>
      <c r="G144" s="59">
        <v>0</v>
      </c>
      <c r="H144" s="59">
        <v>0</v>
      </c>
      <c r="I144" s="59">
        <v>0</v>
      </c>
      <c r="J144" s="59">
        <v>0</v>
      </c>
      <c r="K144" s="59">
        <v>0</v>
      </c>
      <c r="L144" s="16"/>
      <c r="M144" s="59"/>
      <c r="N144" s="59"/>
      <c r="O144" s="59"/>
      <c r="P144" s="59"/>
      <c r="Q144" s="59"/>
    </row>
    <row r="145" spans="1:17" ht="14.1" customHeight="1" x14ac:dyDescent="0.2">
      <c r="A145" s="54" t="s">
        <v>130</v>
      </c>
      <c r="B145" s="54" t="s">
        <v>316</v>
      </c>
      <c r="C145" s="59">
        <v>-8294334</v>
      </c>
      <c r="D145" s="59">
        <v>-8294334</v>
      </c>
      <c r="E145" s="59">
        <v>0</v>
      </c>
      <c r="F145" s="370">
        <f t="shared" si="2"/>
        <v>-8294334</v>
      </c>
      <c r="G145" s="59">
        <v>0</v>
      </c>
      <c r="H145" s="59">
        <v>0</v>
      </c>
      <c r="I145" s="59">
        <v>0</v>
      </c>
      <c r="J145" s="59">
        <v>0</v>
      </c>
      <c r="K145" s="59">
        <v>0</v>
      </c>
      <c r="L145" s="16"/>
      <c r="M145" s="59"/>
      <c r="N145" s="59"/>
      <c r="O145" s="59"/>
      <c r="P145" s="59"/>
      <c r="Q145" s="59"/>
    </row>
    <row r="146" spans="1:17" ht="14.1" customHeight="1" x14ac:dyDescent="0.2">
      <c r="A146" s="54" t="s">
        <v>131</v>
      </c>
      <c r="B146" s="54" t="s">
        <v>317</v>
      </c>
      <c r="C146" s="59">
        <v>44414</v>
      </c>
      <c r="D146" s="59">
        <v>44414</v>
      </c>
      <c r="E146" s="59">
        <v>0</v>
      </c>
      <c r="F146" s="370">
        <f t="shared" si="2"/>
        <v>44414</v>
      </c>
      <c r="G146" s="59">
        <v>0</v>
      </c>
      <c r="H146" s="59">
        <v>0</v>
      </c>
      <c r="I146" s="59">
        <v>0</v>
      </c>
      <c r="J146" s="59">
        <v>0</v>
      </c>
      <c r="K146" s="59">
        <v>0</v>
      </c>
      <c r="L146" s="16"/>
      <c r="M146" s="59"/>
      <c r="N146" s="59"/>
      <c r="O146" s="59"/>
      <c r="P146" s="59"/>
      <c r="Q146" s="59"/>
    </row>
    <row r="147" spans="1:17" ht="14.1" customHeight="1" x14ac:dyDescent="0.2">
      <c r="A147" s="54" t="s">
        <v>132</v>
      </c>
      <c r="B147" s="54" t="s">
        <v>318</v>
      </c>
      <c r="C147" s="59">
        <v>-223545316</v>
      </c>
      <c r="D147" s="59">
        <v>-223545316</v>
      </c>
      <c r="E147" s="59">
        <v>0</v>
      </c>
      <c r="F147" s="370">
        <f t="shared" si="2"/>
        <v>-223545316</v>
      </c>
      <c r="G147" s="59">
        <v>0</v>
      </c>
      <c r="H147" s="59">
        <v>0</v>
      </c>
      <c r="I147" s="59">
        <v>0</v>
      </c>
      <c r="J147" s="59">
        <v>0</v>
      </c>
      <c r="K147" s="59">
        <v>0</v>
      </c>
      <c r="L147" s="16"/>
      <c r="M147" s="59"/>
      <c r="N147" s="59"/>
      <c r="O147" s="59"/>
      <c r="P147" s="59"/>
      <c r="Q147" s="59"/>
    </row>
    <row r="148" spans="1:17" ht="14.1" customHeight="1" x14ac:dyDescent="0.2">
      <c r="A148" s="54" t="s">
        <v>133</v>
      </c>
      <c r="B148" s="54" t="s">
        <v>319</v>
      </c>
      <c r="C148" s="59">
        <v>-368563094</v>
      </c>
      <c r="D148" s="59">
        <v>-368563094</v>
      </c>
      <c r="E148" s="59">
        <v>0</v>
      </c>
      <c r="F148" s="370">
        <f t="shared" si="2"/>
        <v>-368563094</v>
      </c>
      <c r="G148" s="59">
        <v>0</v>
      </c>
      <c r="H148" s="59">
        <v>0</v>
      </c>
      <c r="I148" s="59">
        <v>0</v>
      </c>
      <c r="J148" s="59">
        <v>0</v>
      </c>
      <c r="K148" s="59">
        <v>0</v>
      </c>
      <c r="L148" s="16"/>
      <c r="M148" s="59"/>
      <c r="N148" s="59"/>
      <c r="O148" s="59"/>
      <c r="P148" s="59"/>
      <c r="Q148" s="59"/>
    </row>
    <row r="149" spans="1:17" ht="14.1" customHeight="1" x14ac:dyDescent="0.2">
      <c r="A149" s="54" t="s">
        <v>134</v>
      </c>
      <c r="B149" s="54" t="s">
        <v>320</v>
      </c>
      <c r="C149" s="59">
        <v>0</v>
      </c>
      <c r="D149" s="59">
        <v>0</v>
      </c>
      <c r="E149" s="59">
        <v>0</v>
      </c>
      <c r="F149" s="370">
        <f t="shared" si="2"/>
        <v>0</v>
      </c>
      <c r="G149" s="59">
        <v>0</v>
      </c>
      <c r="H149" s="59">
        <v>0</v>
      </c>
      <c r="I149" s="59">
        <v>0</v>
      </c>
      <c r="J149" s="59">
        <v>0</v>
      </c>
      <c r="K149" s="59">
        <v>0</v>
      </c>
      <c r="L149" s="16"/>
      <c r="M149" s="59"/>
      <c r="N149" s="59"/>
      <c r="O149" s="59"/>
      <c r="P149" s="59"/>
      <c r="Q149" s="59"/>
    </row>
    <row r="150" spans="1:17" ht="14.1" customHeight="1" x14ac:dyDescent="0.2">
      <c r="A150" s="54" t="s">
        <v>135</v>
      </c>
      <c r="B150" s="54" t="s">
        <v>321</v>
      </c>
      <c r="C150" s="59">
        <v>0</v>
      </c>
      <c r="D150" s="59">
        <v>0</v>
      </c>
      <c r="E150" s="59">
        <v>0</v>
      </c>
      <c r="F150" s="370">
        <f t="shared" si="2"/>
        <v>0</v>
      </c>
      <c r="G150" s="59">
        <v>0</v>
      </c>
      <c r="H150" s="59">
        <v>0</v>
      </c>
      <c r="I150" s="59">
        <v>0</v>
      </c>
      <c r="J150" s="59">
        <v>0</v>
      </c>
      <c r="K150" s="59">
        <v>0</v>
      </c>
      <c r="L150" s="16"/>
      <c r="M150" s="59"/>
      <c r="N150" s="59"/>
      <c r="O150" s="59"/>
      <c r="P150" s="59"/>
      <c r="Q150" s="59"/>
    </row>
    <row r="151" spans="1:17" ht="14.1" customHeight="1" x14ac:dyDescent="0.2">
      <c r="A151" s="54" t="s">
        <v>136</v>
      </c>
      <c r="B151" s="54" t="s">
        <v>322</v>
      </c>
      <c r="C151" s="59">
        <v>16580661</v>
      </c>
      <c r="D151" s="59">
        <v>16580661</v>
      </c>
      <c r="E151" s="59">
        <v>0</v>
      </c>
      <c r="F151" s="370">
        <f t="shared" si="2"/>
        <v>16580661</v>
      </c>
      <c r="G151" s="59">
        <v>0</v>
      </c>
      <c r="H151" s="59">
        <v>0</v>
      </c>
      <c r="I151" s="59">
        <v>0</v>
      </c>
      <c r="J151" s="59">
        <v>0</v>
      </c>
      <c r="K151" s="59">
        <v>0</v>
      </c>
      <c r="L151" s="16"/>
      <c r="M151" s="59"/>
      <c r="N151" s="59"/>
      <c r="O151" s="59"/>
      <c r="P151" s="59"/>
      <c r="Q151" s="59"/>
    </row>
    <row r="152" spans="1:17" ht="14.1" customHeight="1" x14ac:dyDescent="0.2">
      <c r="A152" s="54" t="s">
        <v>137</v>
      </c>
      <c r="B152" s="54" t="s">
        <v>323</v>
      </c>
      <c r="C152" s="59">
        <v>0</v>
      </c>
      <c r="D152" s="59">
        <v>0</v>
      </c>
      <c r="E152" s="59">
        <v>0</v>
      </c>
      <c r="F152" s="370">
        <f t="shared" si="2"/>
        <v>0</v>
      </c>
      <c r="G152" s="59">
        <v>0</v>
      </c>
      <c r="H152" s="59">
        <v>0</v>
      </c>
      <c r="I152" s="59">
        <v>0</v>
      </c>
      <c r="J152" s="59">
        <v>0</v>
      </c>
      <c r="K152" s="59">
        <v>0</v>
      </c>
      <c r="L152" s="16"/>
      <c r="M152" s="59"/>
      <c r="N152" s="59"/>
      <c r="O152" s="59"/>
      <c r="P152" s="59"/>
      <c r="Q152" s="59"/>
    </row>
    <row r="153" spans="1:17" ht="14.1" customHeight="1" x14ac:dyDescent="0.2">
      <c r="A153" s="54" t="s">
        <v>138</v>
      </c>
      <c r="B153" s="54" t="s">
        <v>324</v>
      </c>
      <c r="C153" s="59">
        <v>-1</v>
      </c>
      <c r="D153" s="59">
        <v>-1</v>
      </c>
      <c r="E153" s="59">
        <v>0</v>
      </c>
      <c r="F153" s="370">
        <f t="shared" si="2"/>
        <v>-1</v>
      </c>
      <c r="G153" s="59">
        <v>0</v>
      </c>
      <c r="H153" s="59">
        <v>0</v>
      </c>
      <c r="I153" s="59">
        <v>0</v>
      </c>
      <c r="J153" s="59">
        <v>0</v>
      </c>
      <c r="K153" s="59">
        <v>0</v>
      </c>
      <c r="L153" s="16"/>
      <c r="M153" s="59"/>
      <c r="N153" s="59"/>
      <c r="O153" s="59"/>
      <c r="P153" s="59"/>
      <c r="Q153" s="59"/>
    </row>
    <row r="154" spans="1:17" ht="14.1" customHeight="1" x14ac:dyDescent="0.2">
      <c r="A154" s="54" t="s">
        <v>139</v>
      </c>
      <c r="B154" s="54" t="s">
        <v>325</v>
      </c>
      <c r="C154" s="59">
        <v>7312500</v>
      </c>
      <c r="D154" s="59">
        <v>7312500</v>
      </c>
      <c r="E154" s="59">
        <v>0</v>
      </c>
      <c r="F154" s="370">
        <f t="shared" si="2"/>
        <v>7312500</v>
      </c>
      <c r="G154" s="59">
        <v>0</v>
      </c>
      <c r="H154" s="59">
        <v>0</v>
      </c>
      <c r="I154" s="59">
        <v>0</v>
      </c>
      <c r="J154" s="59">
        <v>0</v>
      </c>
      <c r="K154" s="59">
        <v>0</v>
      </c>
      <c r="L154" s="16"/>
      <c r="M154" s="59"/>
      <c r="N154" s="59"/>
      <c r="O154" s="59"/>
      <c r="P154" s="59"/>
      <c r="Q154" s="59"/>
    </row>
    <row r="155" spans="1:17" ht="14.1" customHeight="1" x14ac:dyDescent="0.2">
      <c r="A155" s="54" t="s">
        <v>140</v>
      </c>
      <c r="B155" s="54" t="s">
        <v>326</v>
      </c>
      <c r="C155" s="59">
        <v>0</v>
      </c>
      <c r="D155" s="59">
        <v>0</v>
      </c>
      <c r="E155" s="59">
        <v>0</v>
      </c>
      <c r="F155" s="370">
        <f t="shared" si="2"/>
        <v>0</v>
      </c>
      <c r="G155" s="59">
        <v>0</v>
      </c>
      <c r="H155" s="59">
        <v>0</v>
      </c>
      <c r="I155" s="59">
        <v>0</v>
      </c>
      <c r="J155" s="59">
        <v>0</v>
      </c>
      <c r="K155" s="59">
        <v>0</v>
      </c>
      <c r="L155" s="16"/>
      <c r="M155" s="59"/>
      <c r="N155" s="59"/>
      <c r="O155" s="59"/>
      <c r="P155" s="59"/>
      <c r="Q155" s="59"/>
    </row>
    <row r="156" spans="1:17" ht="14.1" customHeight="1" x14ac:dyDescent="0.2">
      <c r="A156" s="54" t="s">
        <v>141</v>
      </c>
      <c r="B156" s="54" t="s">
        <v>327</v>
      </c>
      <c r="C156" s="59">
        <v>5447994</v>
      </c>
      <c r="D156" s="59">
        <v>5447994</v>
      </c>
      <c r="E156" s="59">
        <v>0</v>
      </c>
      <c r="F156" s="370">
        <f t="shared" si="2"/>
        <v>5447994</v>
      </c>
      <c r="G156" s="59">
        <v>0</v>
      </c>
      <c r="H156" s="59">
        <v>0</v>
      </c>
      <c r="I156" s="59">
        <v>0</v>
      </c>
      <c r="J156" s="59">
        <v>0</v>
      </c>
      <c r="K156" s="59">
        <v>0</v>
      </c>
      <c r="L156" s="16"/>
      <c r="M156" s="59"/>
      <c r="N156" s="59"/>
      <c r="O156" s="59"/>
      <c r="P156" s="59"/>
      <c r="Q156" s="59"/>
    </row>
    <row r="157" spans="1:17" ht="14.1" customHeight="1" x14ac:dyDescent="0.2">
      <c r="A157" s="54" t="s">
        <v>142</v>
      </c>
      <c r="B157" s="54" t="s">
        <v>328</v>
      </c>
      <c r="C157" s="59">
        <v>111722086</v>
      </c>
      <c r="D157" s="59">
        <v>111722086</v>
      </c>
      <c r="E157" s="59">
        <v>0</v>
      </c>
      <c r="F157" s="370">
        <f t="shared" si="2"/>
        <v>111722086</v>
      </c>
      <c r="G157" s="59">
        <v>0</v>
      </c>
      <c r="H157" s="59">
        <v>0</v>
      </c>
      <c r="I157" s="59">
        <v>0</v>
      </c>
      <c r="J157" s="59">
        <v>0</v>
      </c>
      <c r="K157" s="59">
        <v>0</v>
      </c>
      <c r="L157" s="16"/>
      <c r="M157" s="59"/>
      <c r="N157" s="59"/>
      <c r="O157" s="59"/>
      <c r="P157" s="59"/>
      <c r="Q157" s="59"/>
    </row>
    <row r="158" spans="1:17" ht="14.1" customHeight="1" x14ac:dyDescent="0.2">
      <c r="A158" s="54" t="s">
        <v>143</v>
      </c>
      <c r="B158" s="54" t="s">
        <v>329</v>
      </c>
      <c r="C158" s="59">
        <v>24065820</v>
      </c>
      <c r="D158" s="59">
        <v>24065820</v>
      </c>
      <c r="E158" s="59">
        <v>0</v>
      </c>
      <c r="F158" s="370">
        <f t="shared" si="2"/>
        <v>24065820</v>
      </c>
      <c r="G158" s="59">
        <v>0</v>
      </c>
      <c r="H158" s="59">
        <v>0</v>
      </c>
      <c r="I158" s="59">
        <v>0</v>
      </c>
      <c r="J158" s="59">
        <v>0</v>
      </c>
      <c r="K158" s="59">
        <v>0</v>
      </c>
      <c r="L158" s="16"/>
      <c r="M158" s="59"/>
      <c r="N158" s="59"/>
      <c r="O158" s="59"/>
      <c r="P158" s="59"/>
      <c r="Q158" s="59"/>
    </row>
    <row r="159" spans="1:17" ht="14.1" customHeight="1" x14ac:dyDescent="0.2">
      <c r="A159" s="54" t="s">
        <v>144</v>
      </c>
      <c r="B159" s="54" t="s">
        <v>330</v>
      </c>
      <c r="C159" s="59">
        <v>0</v>
      </c>
      <c r="D159" s="59">
        <v>0</v>
      </c>
      <c r="E159" s="59">
        <v>0</v>
      </c>
      <c r="F159" s="370">
        <f t="shared" si="2"/>
        <v>0</v>
      </c>
      <c r="G159" s="59">
        <v>0</v>
      </c>
      <c r="H159" s="59">
        <v>0</v>
      </c>
      <c r="I159" s="59">
        <v>0</v>
      </c>
      <c r="J159" s="59">
        <v>0</v>
      </c>
      <c r="K159" s="59">
        <v>0</v>
      </c>
      <c r="L159" s="16"/>
      <c r="M159" s="59"/>
      <c r="N159" s="59"/>
      <c r="O159" s="59"/>
      <c r="P159" s="59"/>
      <c r="Q159" s="59"/>
    </row>
    <row r="160" spans="1:17" ht="14.1" customHeight="1" x14ac:dyDescent="0.2">
      <c r="A160" s="54" t="s">
        <v>145</v>
      </c>
      <c r="B160" s="54" t="s">
        <v>331</v>
      </c>
      <c r="C160" s="59">
        <v>9273516</v>
      </c>
      <c r="D160" s="59">
        <v>9273516</v>
      </c>
      <c r="E160" s="59">
        <v>0</v>
      </c>
      <c r="F160" s="370">
        <f t="shared" si="2"/>
        <v>9273516</v>
      </c>
      <c r="G160" s="59">
        <v>0</v>
      </c>
      <c r="H160" s="59">
        <v>0</v>
      </c>
      <c r="I160" s="59">
        <v>0</v>
      </c>
      <c r="J160" s="59">
        <v>0</v>
      </c>
      <c r="K160" s="59">
        <v>0</v>
      </c>
      <c r="L160" s="16"/>
      <c r="M160" s="59"/>
      <c r="N160" s="59"/>
      <c r="O160" s="59"/>
      <c r="P160" s="59"/>
      <c r="Q160" s="59"/>
    </row>
    <row r="161" spans="1:17" ht="14.1" customHeight="1" x14ac:dyDescent="0.2">
      <c r="A161" s="54" t="s">
        <v>146</v>
      </c>
      <c r="B161" s="54" t="s">
        <v>332</v>
      </c>
      <c r="C161" s="59">
        <v>0</v>
      </c>
      <c r="D161" s="59">
        <v>0</v>
      </c>
      <c r="E161" s="59">
        <v>0</v>
      </c>
      <c r="F161" s="370">
        <f t="shared" si="2"/>
        <v>0</v>
      </c>
      <c r="G161" s="59">
        <v>0</v>
      </c>
      <c r="H161" s="59">
        <v>0</v>
      </c>
      <c r="I161" s="59">
        <v>0</v>
      </c>
      <c r="J161" s="59">
        <v>0</v>
      </c>
      <c r="K161" s="59">
        <v>0</v>
      </c>
      <c r="L161" s="16"/>
      <c r="M161" s="59"/>
      <c r="N161" s="59"/>
      <c r="O161" s="59"/>
      <c r="P161" s="59"/>
      <c r="Q161" s="59"/>
    </row>
    <row r="162" spans="1:17" ht="14.1" customHeight="1" x14ac:dyDescent="0.2">
      <c r="A162" s="54" t="s">
        <v>147</v>
      </c>
      <c r="B162" s="54" t="s">
        <v>333</v>
      </c>
      <c r="C162" s="59">
        <v>0</v>
      </c>
      <c r="D162" s="59">
        <v>0</v>
      </c>
      <c r="E162" s="59">
        <v>0</v>
      </c>
      <c r="F162" s="370">
        <f t="shared" si="2"/>
        <v>0</v>
      </c>
      <c r="G162" s="59">
        <v>0</v>
      </c>
      <c r="H162" s="59">
        <v>0</v>
      </c>
      <c r="I162" s="59">
        <v>0</v>
      </c>
      <c r="J162" s="59">
        <v>0</v>
      </c>
      <c r="K162" s="59">
        <v>0</v>
      </c>
      <c r="L162" s="16"/>
      <c r="M162" s="59"/>
      <c r="N162" s="59"/>
      <c r="O162" s="59"/>
      <c r="P162" s="59"/>
      <c r="Q162" s="59"/>
    </row>
    <row r="163" spans="1:17" ht="14.1" customHeight="1" x14ac:dyDescent="0.2">
      <c r="A163" s="54" t="s">
        <v>148</v>
      </c>
      <c r="B163" s="54" t="s">
        <v>334</v>
      </c>
      <c r="C163" s="59">
        <v>0</v>
      </c>
      <c r="D163" s="59">
        <v>0</v>
      </c>
      <c r="E163" s="59">
        <v>0</v>
      </c>
      <c r="F163" s="370">
        <f t="shared" si="2"/>
        <v>0</v>
      </c>
      <c r="G163" s="59">
        <v>0</v>
      </c>
      <c r="H163" s="59">
        <v>0</v>
      </c>
      <c r="I163" s="59">
        <v>0</v>
      </c>
      <c r="J163" s="59">
        <v>0</v>
      </c>
      <c r="K163" s="59">
        <v>0</v>
      </c>
      <c r="L163" s="16"/>
      <c r="M163" s="59"/>
      <c r="N163" s="59"/>
      <c r="O163" s="59"/>
      <c r="P163" s="59"/>
      <c r="Q163" s="59"/>
    </row>
    <row r="164" spans="1:17" ht="14.1" customHeight="1" x14ac:dyDescent="0.2">
      <c r="A164" s="54" t="s">
        <v>149</v>
      </c>
      <c r="B164" s="54" t="s">
        <v>335</v>
      </c>
      <c r="C164" s="59">
        <v>1</v>
      </c>
      <c r="D164" s="59">
        <v>0</v>
      </c>
      <c r="E164" s="59">
        <v>1</v>
      </c>
      <c r="F164" s="370">
        <f t="shared" si="2"/>
        <v>1</v>
      </c>
      <c r="G164" s="59">
        <v>0</v>
      </c>
      <c r="H164" s="59">
        <v>0</v>
      </c>
      <c r="I164" s="59">
        <v>0</v>
      </c>
      <c r="J164" s="59">
        <v>0</v>
      </c>
      <c r="K164" s="59">
        <v>0</v>
      </c>
      <c r="L164" s="16"/>
      <c r="M164" s="59"/>
      <c r="N164" s="59"/>
      <c r="O164" s="59"/>
      <c r="P164" s="59"/>
      <c r="Q164" s="59"/>
    </row>
    <row r="165" spans="1:17" ht="14.1" customHeight="1" x14ac:dyDescent="0.2">
      <c r="A165" s="54" t="s">
        <v>150</v>
      </c>
      <c r="B165" s="54" t="s">
        <v>336</v>
      </c>
      <c r="C165" s="59">
        <v>0</v>
      </c>
      <c r="D165" s="59">
        <v>0</v>
      </c>
      <c r="E165" s="59">
        <v>0</v>
      </c>
      <c r="F165" s="370">
        <f t="shared" si="2"/>
        <v>0</v>
      </c>
      <c r="G165" s="59">
        <v>0</v>
      </c>
      <c r="H165" s="59">
        <v>0</v>
      </c>
      <c r="I165" s="59">
        <v>0</v>
      </c>
      <c r="J165" s="59">
        <v>0</v>
      </c>
      <c r="K165" s="59">
        <v>0</v>
      </c>
      <c r="L165" s="16"/>
      <c r="M165" s="59"/>
      <c r="N165" s="59"/>
      <c r="O165" s="59"/>
      <c r="P165" s="59"/>
      <c r="Q165" s="59"/>
    </row>
    <row r="166" spans="1:17" ht="14.1" customHeight="1" x14ac:dyDescent="0.2">
      <c r="A166" s="54" t="s">
        <v>151</v>
      </c>
      <c r="B166" s="54" t="s">
        <v>337</v>
      </c>
      <c r="C166" s="59">
        <v>161531</v>
      </c>
      <c r="D166" s="59">
        <v>42712</v>
      </c>
      <c r="E166" s="59">
        <v>0</v>
      </c>
      <c r="F166" s="370">
        <f t="shared" si="2"/>
        <v>42712</v>
      </c>
      <c r="G166" s="59">
        <v>0</v>
      </c>
      <c r="H166" s="59">
        <v>0</v>
      </c>
      <c r="I166" s="59">
        <v>118819</v>
      </c>
      <c r="J166" s="59">
        <v>0</v>
      </c>
      <c r="K166" s="59">
        <v>0</v>
      </c>
      <c r="L166" s="16"/>
      <c r="M166" s="59"/>
      <c r="N166" s="59"/>
      <c r="O166" s="59"/>
      <c r="P166" s="59"/>
      <c r="Q166" s="59"/>
    </row>
    <row r="167" spans="1:17" ht="14.1" customHeight="1" x14ac:dyDescent="0.2">
      <c r="A167" s="54" t="s">
        <v>152</v>
      </c>
      <c r="B167" s="54" t="s">
        <v>338</v>
      </c>
      <c r="C167" s="59">
        <v>1</v>
      </c>
      <c r="D167" s="59">
        <v>1</v>
      </c>
      <c r="E167" s="59">
        <v>0</v>
      </c>
      <c r="F167" s="370">
        <f t="shared" si="2"/>
        <v>1</v>
      </c>
      <c r="G167" s="59">
        <v>0</v>
      </c>
      <c r="H167" s="59">
        <v>0</v>
      </c>
      <c r="I167" s="59">
        <v>0</v>
      </c>
      <c r="J167" s="59">
        <v>0</v>
      </c>
      <c r="K167" s="59">
        <v>0</v>
      </c>
      <c r="L167" s="16"/>
      <c r="M167" s="59"/>
      <c r="N167" s="59"/>
      <c r="O167" s="59"/>
      <c r="P167" s="59"/>
      <c r="Q167" s="59"/>
    </row>
    <row r="168" spans="1:17" ht="14.1" customHeight="1" x14ac:dyDescent="0.2">
      <c r="A168" s="54" t="s">
        <v>153</v>
      </c>
      <c r="B168" s="54" t="s">
        <v>339</v>
      </c>
      <c r="C168" s="59">
        <v>6131708</v>
      </c>
      <c r="D168" s="59">
        <v>6131708</v>
      </c>
      <c r="E168" s="59">
        <v>0</v>
      </c>
      <c r="F168" s="370">
        <f t="shared" si="2"/>
        <v>6131708</v>
      </c>
      <c r="G168" s="59">
        <v>0</v>
      </c>
      <c r="H168" s="59">
        <v>0</v>
      </c>
      <c r="I168" s="59">
        <v>0</v>
      </c>
      <c r="J168" s="59">
        <v>0</v>
      </c>
      <c r="K168" s="59">
        <v>0</v>
      </c>
      <c r="L168" s="16"/>
      <c r="M168" s="59"/>
      <c r="N168" s="59"/>
      <c r="O168" s="59"/>
      <c r="P168" s="59"/>
      <c r="Q168" s="59"/>
    </row>
    <row r="169" spans="1:17" ht="14.1" customHeight="1" x14ac:dyDescent="0.2">
      <c r="A169" s="54" t="s">
        <v>154</v>
      </c>
      <c r="B169" s="54" t="s">
        <v>336</v>
      </c>
      <c r="C169" s="59">
        <v>0</v>
      </c>
      <c r="D169" s="59">
        <v>0</v>
      </c>
      <c r="E169" s="59">
        <v>0</v>
      </c>
      <c r="F169" s="370">
        <f t="shared" si="2"/>
        <v>0</v>
      </c>
      <c r="G169" s="59">
        <v>0</v>
      </c>
      <c r="H169" s="59">
        <v>0</v>
      </c>
      <c r="I169" s="59">
        <v>0</v>
      </c>
      <c r="J169" s="59">
        <v>0</v>
      </c>
      <c r="K169" s="59">
        <v>0</v>
      </c>
      <c r="L169" s="16"/>
      <c r="M169" s="59"/>
      <c r="N169" s="59"/>
      <c r="O169" s="59"/>
      <c r="P169" s="59"/>
      <c r="Q169" s="59"/>
    </row>
    <row r="170" spans="1:17" ht="14.1" customHeight="1" x14ac:dyDescent="0.2">
      <c r="A170" s="54" t="s">
        <v>155</v>
      </c>
      <c r="B170" s="54" t="s">
        <v>340</v>
      </c>
      <c r="C170" s="59">
        <v>140458953</v>
      </c>
      <c r="D170" s="59">
        <v>140458953</v>
      </c>
      <c r="E170" s="59">
        <v>0</v>
      </c>
      <c r="F170" s="370">
        <f t="shared" si="2"/>
        <v>140458953</v>
      </c>
      <c r="G170" s="59">
        <v>0</v>
      </c>
      <c r="H170" s="59">
        <v>0</v>
      </c>
      <c r="I170" s="59">
        <v>0</v>
      </c>
      <c r="J170" s="59">
        <v>0</v>
      </c>
      <c r="K170" s="59">
        <v>0</v>
      </c>
      <c r="L170" s="16"/>
      <c r="M170" s="59"/>
      <c r="N170" s="59"/>
      <c r="O170" s="59"/>
      <c r="P170" s="59"/>
      <c r="Q170" s="59"/>
    </row>
    <row r="171" spans="1:17" ht="14.1" customHeight="1" x14ac:dyDescent="0.2">
      <c r="A171" s="54" t="s">
        <v>156</v>
      </c>
      <c r="B171" s="54" t="s">
        <v>341</v>
      </c>
      <c r="C171" s="59">
        <v>5457391</v>
      </c>
      <c r="D171" s="59">
        <v>5457391</v>
      </c>
      <c r="E171" s="59">
        <v>0</v>
      </c>
      <c r="F171" s="370">
        <f t="shared" si="2"/>
        <v>5457391</v>
      </c>
      <c r="G171" s="59">
        <v>0</v>
      </c>
      <c r="H171" s="59">
        <v>0</v>
      </c>
      <c r="I171" s="59">
        <v>0</v>
      </c>
      <c r="J171" s="59">
        <v>0</v>
      </c>
      <c r="K171" s="59">
        <v>0</v>
      </c>
      <c r="L171" s="16"/>
      <c r="M171" s="59"/>
      <c r="N171" s="59"/>
      <c r="O171" s="59"/>
      <c r="P171" s="59"/>
      <c r="Q171" s="59"/>
    </row>
    <row r="172" spans="1:17" ht="14.1" customHeight="1" x14ac:dyDescent="0.2">
      <c r="A172" s="54" t="s">
        <v>157</v>
      </c>
      <c r="B172" s="54" t="s">
        <v>342</v>
      </c>
      <c r="C172" s="59">
        <v>63554</v>
      </c>
      <c r="D172" s="59">
        <v>63554</v>
      </c>
      <c r="E172" s="59">
        <v>0</v>
      </c>
      <c r="F172" s="370">
        <f t="shared" si="2"/>
        <v>63554</v>
      </c>
      <c r="G172" s="59">
        <v>0</v>
      </c>
      <c r="H172" s="59">
        <v>0</v>
      </c>
      <c r="I172" s="59">
        <v>0</v>
      </c>
      <c r="J172" s="59">
        <v>0</v>
      </c>
      <c r="K172" s="59">
        <v>0</v>
      </c>
      <c r="L172" s="16"/>
      <c r="M172" s="59"/>
      <c r="N172" s="59"/>
      <c r="O172" s="59"/>
      <c r="P172" s="59"/>
      <c r="Q172" s="59"/>
    </row>
    <row r="173" spans="1:17" ht="14.1" customHeight="1" x14ac:dyDescent="0.2">
      <c r="A173" s="54" t="s">
        <v>158</v>
      </c>
      <c r="B173" s="54" t="s">
        <v>343</v>
      </c>
      <c r="C173" s="59">
        <v>0</v>
      </c>
      <c r="D173" s="59">
        <v>0</v>
      </c>
      <c r="E173" s="59">
        <v>0</v>
      </c>
      <c r="F173" s="370">
        <f t="shared" si="2"/>
        <v>0</v>
      </c>
      <c r="G173" s="59">
        <v>0</v>
      </c>
      <c r="H173" s="59">
        <v>0</v>
      </c>
      <c r="I173" s="59">
        <v>0</v>
      </c>
      <c r="J173" s="59">
        <v>0</v>
      </c>
      <c r="K173" s="59">
        <v>0</v>
      </c>
      <c r="L173" s="16"/>
      <c r="M173" s="59"/>
      <c r="N173" s="59"/>
      <c r="O173" s="59"/>
      <c r="P173" s="59"/>
      <c r="Q173" s="59"/>
    </row>
    <row r="174" spans="1:17" ht="14.1" customHeight="1" x14ac:dyDescent="0.2">
      <c r="A174" s="54" t="s">
        <v>159</v>
      </c>
      <c r="B174" s="54" t="s">
        <v>344</v>
      </c>
      <c r="C174" s="59">
        <v>0</v>
      </c>
      <c r="D174" s="59">
        <v>0</v>
      </c>
      <c r="E174" s="59">
        <v>0</v>
      </c>
      <c r="F174" s="370">
        <f t="shared" si="2"/>
        <v>0</v>
      </c>
      <c r="G174" s="59">
        <v>0</v>
      </c>
      <c r="H174" s="59">
        <v>0</v>
      </c>
      <c r="I174" s="59">
        <v>0</v>
      </c>
      <c r="J174" s="59">
        <v>0</v>
      </c>
      <c r="K174" s="59">
        <v>0</v>
      </c>
      <c r="L174" s="16"/>
      <c r="M174" s="59"/>
      <c r="N174" s="59"/>
      <c r="O174" s="59"/>
      <c r="P174" s="59"/>
      <c r="Q174" s="59"/>
    </row>
    <row r="175" spans="1:17" ht="14.1" customHeight="1" x14ac:dyDescent="0.2">
      <c r="A175" s="54" t="s">
        <v>160</v>
      </c>
      <c r="B175" s="54" t="s">
        <v>345</v>
      </c>
      <c r="C175" s="59">
        <v>1289928</v>
      </c>
      <c r="D175" s="59">
        <v>-1</v>
      </c>
      <c r="E175" s="59">
        <v>0</v>
      </c>
      <c r="F175" s="370">
        <f t="shared" si="2"/>
        <v>-1</v>
      </c>
      <c r="G175" s="59">
        <v>0</v>
      </c>
      <c r="H175" s="59">
        <v>0</v>
      </c>
      <c r="I175" s="59">
        <v>1289929</v>
      </c>
      <c r="J175" s="59">
        <v>0</v>
      </c>
      <c r="K175" s="59">
        <v>0</v>
      </c>
      <c r="L175" s="16"/>
      <c r="M175" s="59"/>
      <c r="N175" s="59"/>
      <c r="O175" s="59"/>
      <c r="P175" s="59"/>
      <c r="Q175" s="59"/>
    </row>
    <row r="176" spans="1:17" ht="14.1" customHeight="1" x14ac:dyDescent="0.2">
      <c r="A176" s="54" t="s">
        <v>161</v>
      </c>
      <c r="B176" s="54" t="s">
        <v>346</v>
      </c>
      <c r="C176" s="59">
        <v>0</v>
      </c>
      <c r="D176" s="59">
        <v>0</v>
      </c>
      <c r="E176" s="59">
        <v>0</v>
      </c>
      <c r="F176" s="370">
        <f t="shared" si="2"/>
        <v>0</v>
      </c>
      <c r="G176" s="59">
        <v>0</v>
      </c>
      <c r="H176" s="59">
        <v>0</v>
      </c>
      <c r="I176" s="59">
        <v>0</v>
      </c>
      <c r="J176" s="59">
        <v>0</v>
      </c>
      <c r="K176" s="59">
        <v>0</v>
      </c>
      <c r="L176" s="16"/>
      <c r="M176" s="59"/>
      <c r="N176" s="59"/>
      <c r="O176" s="59"/>
      <c r="P176" s="59"/>
      <c r="Q176" s="59"/>
    </row>
    <row r="177" spans="1:17" ht="14.1" customHeight="1" x14ac:dyDescent="0.2">
      <c r="A177" s="54" t="s">
        <v>162</v>
      </c>
      <c r="B177" s="54" t="s">
        <v>347</v>
      </c>
      <c r="C177" s="59">
        <v>-70343869</v>
      </c>
      <c r="D177" s="59">
        <v>-70343869</v>
      </c>
      <c r="E177" s="59">
        <v>0</v>
      </c>
      <c r="F177" s="370">
        <f t="shared" si="2"/>
        <v>-70343869</v>
      </c>
      <c r="G177" s="59">
        <v>0</v>
      </c>
      <c r="H177" s="59">
        <v>0</v>
      </c>
      <c r="I177" s="59">
        <v>0</v>
      </c>
      <c r="J177" s="59">
        <v>0</v>
      </c>
      <c r="K177" s="59">
        <v>0</v>
      </c>
      <c r="L177" s="16"/>
      <c r="M177" s="59"/>
      <c r="N177" s="59"/>
      <c r="O177" s="59"/>
      <c r="P177" s="59"/>
      <c r="Q177" s="59"/>
    </row>
    <row r="178" spans="1:17" ht="14.1" customHeight="1" x14ac:dyDescent="0.2">
      <c r="A178" s="54" t="s">
        <v>163</v>
      </c>
      <c r="B178" s="54" t="s">
        <v>348</v>
      </c>
      <c r="C178" s="59">
        <v>-2804913</v>
      </c>
      <c r="D178" s="59">
        <v>-2804913</v>
      </c>
      <c r="E178" s="59">
        <v>0</v>
      </c>
      <c r="F178" s="370">
        <f t="shared" si="2"/>
        <v>-2804913</v>
      </c>
      <c r="G178" s="59">
        <v>0</v>
      </c>
      <c r="H178" s="59">
        <v>0</v>
      </c>
      <c r="I178" s="59">
        <v>0</v>
      </c>
      <c r="J178" s="59">
        <v>0</v>
      </c>
      <c r="K178" s="59">
        <v>0</v>
      </c>
      <c r="L178" s="16"/>
      <c r="M178" s="59"/>
      <c r="N178" s="59"/>
      <c r="O178" s="59"/>
      <c r="P178" s="59"/>
      <c r="Q178" s="59"/>
    </row>
    <row r="179" spans="1:17" ht="14.1" customHeight="1" x14ac:dyDescent="0.2">
      <c r="A179" s="54" t="s">
        <v>164</v>
      </c>
      <c r="B179" s="54" t="s">
        <v>349</v>
      </c>
      <c r="C179" s="59">
        <v>0</v>
      </c>
      <c r="D179" s="59">
        <v>0</v>
      </c>
      <c r="E179" s="59">
        <v>0</v>
      </c>
      <c r="F179" s="370">
        <f t="shared" si="2"/>
        <v>0</v>
      </c>
      <c r="G179" s="59">
        <v>0</v>
      </c>
      <c r="H179" s="59">
        <v>0</v>
      </c>
      <c r="I179" s="59">
        <v>0</v>
      </c>
      <c r="J179" s="59">
        <v>0</v>
      </c>
      <c r="K179" s="59">
        <v>0</v>
      </c>
      <c r="L179" s="16"/>
      <c r="M179" s="59"/>
      <c r="N179" s="59"/>
      <c r="O179" s="59"/>
      <c r="P179" s="59"/>
      <c r="Q179" s="59"/>
    </row>
    <row r="180" spans="1:17" ht="14.1" customHeight="1" x14ac:dyDescent="0.2">
      <c r="A180" s="54" t="s">
        <v>165</v>
      </c>
      <c r="B180" s="54" t="s">
        <v>350</v>
      </c>
      <c r="C180" s="59">
        <v>1</v>
      </c>
      <c r="D180" s="59">
        <v>1</v>
      </c>
      <c r="E180" s="59">
        <v>0</v>
      </c>
      <c r="F180" s="370">
        <f t="shared" si="2"/>
        <v>1</v>
      </c>
      <c r="G180" s="59">
        <v>0</v>
      </c>
      <c r="H180" s="59">
        <v>0</v>
      </c>
      <c r="I180" s="59">
        <v>0</v>
      </c>
      <c r="J180" s="59">
        <v>0</v>
      </c>
      <c r="K180" s="59">
        <v>0</v>
      </c>
      <c r="L180" s="16"/>
      <c r="M180" s="59"/>
      <c r="N180" s="59"/>
      <c r="O180" s="59"/>
      <c r="P180" s="59"/>
      <c r="Q180" s="59"/>
    </row>
    <row r="181" spans="1:17" ht="14.1" customHeight="1" x14ac:dyDescent="0.2">
      <c r="A181" s="54" t="s">
        <v>166</v>
      </c>
      <c r="B181" s="54" t="s">
        <v>351</v>
      </c>
      <c r="C181" s="59">
        <v>-37294589</v>
      </c>
      <c r="D181" s="59">
        <v>-37294589</v>
      </c>
      <c r="E181" s="59">
        <v>0</v>
      </c>
      <c r="F181" s="370">
        <f t="shared" si="2"/>
        <v>-37294589</v>
      </c>
      <c r="G181" s="59">
        <v>0</v>
      </c>
      <c r="H181" s="59">
        <v>0</v>
      </c>
      <c r="I181" s="59">
        <v>0</v>
      </c>
      <c r="J181" s="59">
        <v>0</v>
      </c>
      <c r="K181" s="59">
        <v>0</v>
      </c>
      <c r="L181" s="16" t="s">
        <v>470</v>
      </c>
      <c r="M181" s="59">
        <f>F181-'OTP FED Pre-Tax Balances'!F174</f>
        <v>23504</v>
      </c>
      <c r="N181" s="59"/>
      <c r="O181" s="59"/>
      <c r="P181" s="59"/>
      <c r="Q181" s="59"/>
    </row>
    <row r="182" spans="1:17" ht="14.1" customHeight="1" x14ac:dyDescent="0.2">
      <c r="A182" s="54" t="s">
        <v>167</v>
      </c>
      <c r="B182" s="54" t="s">
        <v>352</v>
      </c>
      <c r="C182" s="59">
        <v>0</v>
      </c>
      <c r="D182" s="59">
        <v>0</v>
      </c>
      <c r="E182" s="59">
        <v>0</v>
      </c>
      <c r="F182" s="370">
        <f t="shared" si="2"/>
        <v>0</v>
      </c>
      <c r="G182" s="59">
        <v>0</v>
      </c>
      <c r="H182" s="59">
        <v>0</v>
      </c>
      <c r="I182" s="59">
        <v>0</v>
      </c>
      <c r="J182" s="59">
        <v>0</v>
      </c>
      <c r="K182" s="59">
        <v>0</v>
      </c>
      <c r="L182" s="16"/>
      <c r="M182" s="59"/>
      <c r="N182" s="59"/>
      <c r="O182" s="59"/>
      <c r="P182" s="59"/>
      <c r="Q182" s="59"/>
    </row>
    <row r="183" spans="1:17" ht="14.1" customHeight="1" x14ac:dyDescent="0.2">
      <c r="A183" s="54" t="s">
        <v>168</v>
      </c>
      <c r="B183" s="54" t="s">
        <v>353</v>
      </c>
      <c r="C183" s="59">
        <v>886</v>
      </c>
      <c r="D183" s="59">
        <v>886</v>
      </c>
      <c r="E183" s="59">
        <v>0</v>
      </c>
      <c r="F183" s="370">
        <f t="shared" si="2"/>
        <v>886</v>
      </c>
      <c r="G183" s="59">
        <v>0</v>
      </c>
      <c r="H183" s="59">
        <v>0</v>
      </c>
      <c r="I183" s="59">
        <v>0</v>
      </c>
      <c r="J183" s="59">
        <v>0</v>
      </c>
      <c r="K183" s="59">
        <v>0</v>
      </c>
      <c r="L183" s="16"/>
      <c r="M183" s="59"/>
      <c r="N183" s="59"/>
      <c r="O183" s="59"/>
      <c r="P183" s="59"/>
      <c r="Q183" s="59"/>
    </row>
    <row r="184" spans="1:17" ht="14.1" customHeight="1" x14ac:dyDescent="0.2">
      <c r="A184" s="54" t="s">
        <v>169</v>
      </c>
      <c r="B184" s="54" t="s">
        <v>354</v>
      </c>
      <c r="C184" s="59">
        <v>0</v>
      </c>
      <c r="D184" s="59">
        <v>0</v>
      </c>
      <c r="E184" s="59">
        <v>0</v>
      </c>
      <c r="F184" s="370">
        <f t="shared" si="2"/>
        <v>0</v>
      </c>
      <c r="G184" s="59">
        <v>0</v>
      </c>
      <c r="H184" s="59">
        <v>0</v>
      </c>
      <c r="I184" s="59">
        <v>0</v>
      </c>
      <c r="J184" s="59">
        <v>0</v>
      </c>
      <c r="K184" s="59">
        <v>0</v>
      </c>
      <c r="L184" s="16"/>
      <c r="M184" s="59"/>
      <c r="N184" s="59"/>
      <c r="O184" s="59"/>
      <c r="P184" s="59"/>
      <c r="Q184" s="59"/>
    </row>
    <row r="185" spans="1:17" ht="14.1" customHeight="1" x14ac:dyDescent="0.2">
      <c r="A185" s="54" t="s">
        <v>170</v>
      </c>
      <c r="B185" s="54" t="s">
        <v>355</v>
      </c>
      <c r="C185" s="59">
        <v>110606293</v>
      </c>
      <c r="D185" s="59">
        <v>110606293</v>
      </c>
      <c r="E185" s="59">
        <v>0</v>
      </c>
      <c r="F185" s="370">
        <f t="shared" si="2"/>
        <v>110606293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16"/>
      <c r="M185" s="59"/>
      <c r="N185" s="59"/>
      <c r="O185" s="59"/>
      <c r="P185" s="59"/>
      <c r="Q185" s="59"/>
    </row>
    <row r="186" spans="1:17" ht="14.1" customHeight="1" x14ac:dyDescent="0.2">
      <c r="A186" s="54" t="s">
        <v>171</v>
      </c>
      <c r="B186" s="54" t="s">
        <v>356</v>
      </c>
      <c r="C186" s="59">
        <v>39923306</v>
      </c>
      <c r="D186" s="59">
        <v>39923306</v>
      </c>
      <c r="E186" s="59">
        <v>0</v>
      </c>
      <c r="F186" s="370">
        <f t="shared" si="2"/>
        <v>39923306</v>
      </c>
      <c r="G186" s="59">
        <v>0</v>
      </c>
      <c r="H186" s="59">
        <v>0</v>
      </c>
      <c r="I186" s="59">
        <v>0</v>
      </c>
      <c r="J186" s="59">
        <v>0</v>
      </c>
      <c r="K186" s="59">
        <v>0</v>
      </c>
      <c r="L186" s="16"/>
      <c r="M186" s="59"/>
      <c r="N186" s="59"/>
      <c r="O186" s="59"/>
      <c r="P186" s="59"/>
      <c r="Q186" s="59"/>
    </row>
    <row r="187" spans="1:17" ht="14.1" customHeight="1" x14ac:dyDescent="0.2">
      <c r="A187" s="54" t="s">
        <v>172</v>
      </c>
      <c r="B187" s="54" t="s">
        <v>357</v>
      </c>
      <c r="C187" s="59">
        <v>12382353</v>
      </c>
      <c r="D187" s="59">
        <v>12382353</v>
      </c>
      <c r="E187" s="59">
        <v>0</v>
      </c>
      <c r="F187" s="370">
        <f t="shared" si="2"/>
        <v>12382353</v>
      </c>
      <c r="G187" s="59">
        <v>0</v>
      </c>
      <c r="H187" s="59">
        <v>0</v>
      </c>
      <c r="I187" s="59">
        <v>0</v>
      </c>
      <c r="J187" s="59">
        <v>0</v>
      </c>
      <c r="K187" s="59">
        <v>0</v>
      </c>
      <c r="L187" s="16"/>
      <c r="M187" s="59"/>
      <c r="N187" s="59"/>
      <c r="O187" s="59"/>
      <c r="P187" s="59"/>
      <c r="Q187" s="59"/>
    </row>
    <row r="188" spans="1:17" ht="14.1" customHeight="1" x14ac:dyDescent="0.2">
      <c r="A188" s="54" t="s">
        <v>173</v>
      </c>
      <c r="B188" s="54" t="s">
        <v>358</v>
      </c>
      <c r="C188" s="59">
        <v>0</v>
      </c>
      <c r="D188" s="59">
        <v>0</v>
      </c>
      <c r="E188" s="59">
        <v>0</v>
      </c>
      <c r="F188" s="370">
        <f t="shared" si="2"/>
        <v>0</v>
      </c>
      <c r="G188" s="59">
        <v>0</v>
      </c>
      <c r="H188" s="59">
        <v>0</v>
      </c>
      <c r="I188" s="59">
        <v>0</v>
      </c>
      <c r="J188" s="59">
        <v>0</v>
      </c>
      <c r="K188" s="59">
        <v>0</v>
      </c>
      <c r="L188" s="16"/>
      <c r="M188" s="59"/>
      <c r="N188" s="59"/>
      <c r="O188" s="59"/>
      <c r="P188" s="59"/>
      <c r="Q188" s="59"/>
    </row>
    <row r="189" spans="1:17" ht="14.1" customHeight="1" x14ac:dyDescent="0.2">
      <c r="A189" s="54" t="s">
        <v>174</v>
      </c>
      <c r="B189" s="54" t="s">
        <v>359</v>
      </c>
      <c r="C189" s="59">
        <v>0</v>
      </c>
      <c r="D189" s="59">
        <v>0</v>
      </c>
      <c r="E189" s="59">
        <v>0</v>
      </c>
      <c r="F189" s="370">
        <f t="shared" si="2"/>
        <v>0</v>
      </c>
      <c r="G189" s="59">
        <v>0</v>
      </c>
      <c r="H189" s="59">
        <v>0</v>
      </c>
      <c r="I189" s="59">
        <v>0</v>
      </c>
      <c r="J189" s="59">
        <v>0</v>
      </c>
      <c r="K189" s="59">
        <v>0</v>
      </c>
      <c r="L189" s="16"/>
      <c r="M189" s="59"/>
      <c r="N189" s="59"/>
      <c r="O189" s="59"/>
      <c r="P189" s="59"/>
      <c r="Q189" s="59"/>
    </row>
    <row r="190" spans="1:17" ht="14.1" customHeight="1" x14ac:dyDescent="0.2">
      <c r="A190" s="54" t="s">
        <v>175</v>
      </c>
      <c r="B190" s="54" t="s">
        <v>360</v>
      </c>
      <c r="C190" s="59">
        <v>0</v>
      </c>
      <c r="D190" s="59">
        <v>0</v>
      </c>
      <c r="E190" s="59">
        <v>0</v>
      </c>
      <c r="F190" s="370">
        <f t="shared" si="2"/>
        <v>0</v>
      </c>
      <c r="G190" s="59">
        <v>0</v>
      </c>
      <c r="H190" s="59">
        <v>0</v>
      </c>
      <c r="I190" s="59">
        <v>0</v>
      </c>
      <c r="J190" s="59">
        <v>0</v>
      </c>
      <c r="K190" s="59">
        <v>0</v>
      </c>
      <c r="L190" s="16"/>
      <c r="M190" s="59"/>
      <c r="N190" s="59"/>
      <c r="O190" s="59"/>
      <c r="P190" s="59"/>
      <c r="Q190" s="59"/>
    </row>
    <row r="191" spans="1:17" ht="14.1" customHeight="1" x14ac:dyDescent="0.2">
      <c r="A191" s="54" t="s">
        <v>176</v>
      </c>
      <c r="B191" s="54" t="s">
        <v>361</v>
      </c>
      <c r="C191" s="59">
        <v>-67547937</v>
      </c>
      <c r="D191" s="59">
        <v>-67547937</v>
      </c>
      <c r="E191" s="59">
        <v>0</v>
      </c>
      <c r="F191" s="370">
        <f t="shared" si="2"/>
        <v>-67547937</v>
      </c>
      <c r="G191" s="59">
        <v>0</v>
      </c>
      <c r="H191" s="59">
        <v>0</v>
      </c>
      <c r="I191" s="59">
        <v>0</v>
      </c>
      <c r="J191" s="59">
        <v>0</v>
      </c>
      <c r="K191" s="59">
        <v>0</v>
      </c>
      <c r="L191" s="16"/>
      <c r="M191" s="59"/>
      <c r="N191" s="59"/>
      <c r="O191" s="59"/>
      <c r="P191" s="59"/>
      <c r="Q191" s="59"/>
    </row>
    <row r="192" spans="1:17" ht="14.1" customHeight="1" x14ac:dyDescent="0.2">
      <c r="A192" s="54" t="s">
        <v>177</v>
      </c>
      <c r="B192" s="54" t="s">
        <v>362</v>
      </c>
      <c r="C192" s="59">
        <v>4897596</v>
      </c>
      <c r="D192" s="59">
        <v>4897596</v>
      </c>
      <c r="E192" s="59">
        <v>0</v>
      </c>
      <c r="F192" s="370">
        <f t="shared" si="2"/>
        <v>4897596</v>
      </c>
      <c r="G192" s="59">
        <v>0</v>
      </c>
      <c r="H192" s="59">
        <v>0</v>
      </c>
      <c r="I192" s="59">
        <v>0</v>
      </c>
      <c r="J192" s="59">
        <v>0</v>
      </c>
      <c r="K192" s="59">
        <v>0</v>
      </c>
      <c r="L192" s="16"/>
      <c r="M192" s="59"/>
      <c r="N192" s="59"/>
      <c r="O192" s="59"/>
      <c r="P192" s="59"/>
      <c r="Q192" s="59"/>
    </row>
    <row r="193" spans="1:17" ht="14.1" customHeight="1" x14ac:dyDescent="0.2">
      <c r="A193" s="54" t="s">
        <v>178</v>
      </c>
      <c r="B193" s="54" t="s">
        <v>363</v>
      </c>
      <c r="C193" s="59">
        <v>0</v>
      </c>
      <c r="D193" s="59">
        <v>0</v>
      </c>
      <c r="E193" s="59">
        <v>0</v>
      </c>
      <c r="F193" s="370">
        <f t="shared" si="2"/>
        <v>0</v>
      </c>
      <c r="G193" s="59">
        <v>0</v>
      </c>
      <c r="H193" s="59">
        <v>0</v>
      </c>
      <c r="I193" s="59">
        <v>0</v>
      </c>
      <c r="J193" s="59">
        <v>0</v>
      </c>
      <c r="K193" s="59">
        <v>0</v>
      </c>
      <c r="L193" s="16"/>
      <c r="M193" s="59"/>
      <c r="N193" s="59"/>
      <c r="O193" s="59"/>
      <c r="P193" s="59"/>
      <c r="Q193" s="59"/>
    </row>
    <row r="194" spans="1:17" ht="14.1" customHeight="1" x14ac:dyDescent="0.2">
      <c r="A194" s="54" t="s">
        <v>179</v>
      </c>
      <c r="B194" s="54" t="s">
        <v>364</v>
      </c>
      <c r="C194" s="59">
        <v>-115491986</v>
      </c>
      <c r="D194" s="59">
        <v>-115491986</v>
      </c>
      <c r="E194" s="59">
        <v>0</v>
      </c>
      <c r="F194" s="370">
        <f t="shared" si="2"/>
        <v>-115491986</v>
      </c>
      <c r="G194" s="59">
        <v>0</v>
      </c>
      <c r="H194" s="59">
        <v>0</v>
      </c>
      <c r="I194" s="59">
        <v>0</v>
      </c>
      <c r="J194" s="59">
        <v>0</v>
      </c>
      <c r="K194" s="59">
        <v>0</v>
      </c>
      <c r="L194" s="16"/>
      <c r="M194" s="59"/>
      <c r="N194" s="59"/>
      <c r="O194" s="59"/>
      <c r="P194" s="59"/>
      <c r="Q194" s="59"/>
    </row>
    <row r="195" spans="1:17" ht="14.1" customHeight="1" x14ac:dyDescent="0.2">
      <c r="A195" s="54" t="s">
        <v>180</v>
      </c>
      <c r="B195" s="54" t="s">
        <v>365</v>
      </c>
      <c r="C195" s="59">
        <v>5224057</v>
      </c>
      <c r="D195" s="59">
        <v>5224057</v>
      </c>
      <c r="E195" s="59">
        <v>0</v>
      </c>
      <c r="F195" s="370">
        <f t="shared" si="2"/>
        <v>5224057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16"/>
      <c r="M195" s="59"/>
      <c r="N195" s="59"/>
      <c r="O195" s="59"/>
      <c r="P195" s="59"/>
      <c r="Q195" s="59"/>
    </row>
    <row r="196" spans="1:17" ht="14.1" customHeight="1" x14ac:dyDescent="0.2">
      <c r="A196" s="54" t="s">
        <v>181</v>
      </c>
      <c r="B196" s="54" t="s">
        <v>366</v>
      </c>
      <c r="C196" s="59">
        <v>74274946</v>
      </c>
      <c r="D196" s="59">
        <v>74274946</v>
      </c>
      <c r="E196" s="59">
        <v>0</v>
      </c>
      <c r="F196" s="370">
        <f t="shared" si="2"/>
        <v>74274946</v>
      </c>
      <c r="G196" s="59">
        <v>0</v>
      </c>
      <c r="H196" s="59">
        <v>0</v>
      </c>
      <c r="I196" s="59">
        <v>0</v>
      </c>
      <c r="J196" s="59">
        <v>0</v>
      </c>
      <c r="K196" s="59">
        <v>0</v>
      </c>
      <c r="L196" s="16"/>
      <c r="M196" s="59"/>
      <c r="N196" s="59"/>
      <c r="O196" s="59"/>
      <c r="P196" s="59"/>
      <c r="Q196" s="59"/>
    </row>
    <row r="197" spans="1:17" ht="14.1" customHeight="1" x14ac:dyDescent="0.2">
      <c r="A197" s="54" t="s">
        <v>182</v>
      </c>
      <c r="B197" s="54" t="s">
        <v>367</v>
      </c>
      <c r="C197" s="59">
        <v>0</v>
      </c>
      <c r="D197" s="59">
        <v>0</v>
      </c>
      <c r="E197" s="59">
        <v>0</v>
      </c>
      <c r="F197" s="370">
        <f t="shared" si="2"/>
        <v>0</v>
      </c>
      <c r="G197" s="59">
        <v>0</v>
      </c>
      <c r="H197" s="59">
        <v>0</v>
      </c>
      <c r="I197" s="59">
        <v>0</v>
      </c>
      <c r="J197" s="59">
        <v>0</v>
      </c>
      <c r="K197" s="59">
        <v>0</v>
      </c>
      <c r="L197" s="16"/>
      <c r="M197" s="59"/>
      <c r="N197" s="59"/>
      <c r="O197" s="59"/>
      <c r="P197" s="59"/>
      <c r="Q197" s="59"/>
    </row>
    <row r="198" spans="1:17" ht="14.1" customHeight="1" x14ac:dyDescent="0.2">
      <c r="A198" s="54" t="s">
        <v>183</v>
      </c>
      <c r="B198" s="54" t="s">
        <v>368</v>
      </c>
      <c r="C198" s="59">
        <v>0</v>
      </c>
      <c r="D198" s="59">
        <v>0</v>
      </c>
      <c r="E198" s="59">
        <v>0</v>
      </c>
      <c r="F198" s="370">
        <f t="shared" si="2"/>
        <v>0</v>
      </c>
      <c r="G198" s="59">
        <v>0</v>
      </c>
      <c r="H198" s="59">
        <v>0</v>
      </c>
      <c r="I198" s="59">
        <v>0</v>
      </c>
      <c r="J198" s="59">
        <v>0</v>
      </c>
      <c r="K198" s="59">
        <v>0</v>
      </c>
      <c r="L198" s="16"/>
      <c r="M198" s="59"/>
      <c r="N198" s="59"/>
      <c r="O198" s="59"/>
      <c r="P198" s="59"/>
      <c r="Q198" s="59"/>
    </row>
    <row r="199" spans="1:17" ht="14.1" customHeight="1" x14ac:dyDescent="0.2">
      <c r="A199" s="54" t="s">
        <v>184</v>
      </c>
      <c r="B199" s="54" t="s">
        <v>369</v>
      </c>
      <c r="C199" s="59">
        <v>-59333935</v>
      </c>
      <c r="D199" s="59">
        <v>-59333935</v>
      </c>
      <c r="E199" s="59">
        <v>0</v>
      </c>
      <c r="F199" s="370">
        <f t="shared" si="2"/>
        <v>-59333935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16"/>
      <c r="M199" s="59"/>
      <c r="N199" s="59"/>
      <c r="O199" s="59"/>
      <c r="P199" s="59"/>
      <c r="Q199" s="59"/>
    </row>
    <row r="200" spans="1:17" ht="14.1" customHeight="1" x14ac:dyDescent="0.2">
      <c r="A200" s="54" t="s">
        <v>185</v>
      </c>
      <c r="B200" s="54" t="s">
        <v>370</v>
      </c>
      <c r="C200" s="59">
        <v>0</v>
      </c>
      <c r="D200" s="59">
        <v>0</v>
      </c>
      <c r="E200" s="59">
        <v>0</v>
      </c>
      <c r="F200" s="370">
        <f t="shared" si="2"/>
        <v>0</v>
      </c>
      <c r="G200" s="59">
        <v>0</v>
      </c>
      <c r="H200" s="59">
        <v>0</v>
      </c>
      <c r="I200" s="59">
        <v>0</v>
      </c>
      <c r="J200" s="59">
        <v>0</v>
      </c>
      <c r="K200" s="59">
        <v>0</v>
      </c>
      <c r="L200" s="16"/>
      <c r="M200" s="59"/>
      <c r="N200" s="59"/>
      <c r="O200" s="59"/>
      <c r="P200" s="59"/>
      <c r="Q200" s="59"/>
    </row>
    <row r="201" spans="1:17" ht="14.1" customHeight="1" x14ac:dyDescent="0.2">
      <c r="A201" s="54" t="s">
        <v>593</v>
      </c>
      <c r="B201" s="54" t="s">
        <v>459</v>
      </c>
      <c r="C201" s="59">
        <v>0</v>
      </c>
      <c r="D201" s="59">
        <v>0</v>
      </c>
      <c r="E201" s="59">
        <v>0</v>
      </c>
      <c r="F201" s="370">
        <f t="shared" ref="F201:F202" si="3">D201+E201</f>
        <v>0</v>
      </c>
      <c r="G201" s="59">
        <v>0</v>
      </c>
      <c r="H201" s="59">
        <v>0</v>
      </c>
      <c r="I201" s="59">
        <v>0</v>
      </c>
      <c r="J201" s="59">
        <v>0</v>
      </c>
      <c r="K201" s="59">
        <v>0</v>
      </c>
      <c r="L201" s="16"/>
      <c r="M201" s="59"/>
      <c r="N201" s="59"/>
      <c r="O201" s="59"/>
      <c r="P201" s="59"/>
      <c r="Q201" s="59"/>
    </row>
    <row r="202" spans="1:17" ht="14.1" customHeight="1" x14ac:dyDescent="0.2">
      <c r="A202" s="54" t="s">
        <v>186</v>
      </c>
      <c r="B202" s="54" t="s">
        <v>371</v>
      </c>
      <c r="C202" s="59">
        <v>22311769</v>
      </c>
      <c r="D202" s="59">
        <v>22311769</v>
      </c>
      <c r="E202" s="59">
        <v>0</v>
      </c>
      <c r="F202" s="370">
        <f t="shared" si="3"/>
        <v>22311769</v>
      </c>
      <c r="G202" s="59">
        <v>0</v>
      </c>
      <c r="H202" s="59">
        <v>0</v>
      </c>
      <c r="I202" s="59">
        <v>0</v>
      </c>
      <c r="J202" s="59">
        <v>0</v>
      </c>
      <c r="K202" s="59">
        <v>0</v>
      </c>
      <c r="L202" s="16"/>
      <c r="M202" s="59"/>
      <c r="N202" s="59"/>
      <c r="O202" s="59"/>
      <c r="P202" s="59"/>
      <c r="Q202" s="59"/>
    </row>
    <row r="203" spans="1:17" ht="14.1" customHeight="1" thickBot="1" x14ac:dyDescent="0.25">
      <c r="A203" s="383" t="s">
        <v>187</v>
      </c>
      <c r="B203" s="385" t="s">
        <v>1</v>
      </c>
      <c r="C203" s="384">
        <v>-19445794786</v>
      </c>
      <c r="D203" s="384">
        <v>-20592169391</v>
      </c>
      <c r="E203" s="384">
        <v>710824996</v>
      </c>
      <c r="F203" s="384">
        <f>SUM(F8:F202)</f>
        <v>-19881344395</v>
      </c>
      <c r="G203" s="384">
        <v>-427890</v>
      </c>
      <c r="H203" s="384">
        <v>434568750</v>
      </c>
      <c r="I203" s="384">
        <v>1408748</v>
      </c>
      <c r="J203" s="384">
        <v>0</v>
      </c>
      <c r="K203" s="384">
        <v>0</v>
      </c>
      <c r="L203" s="386"/>
      <c r="M203" s="384">
        <f>SUM(M8:M202)</f>
        <v>4710275729</v>
      </c>
      <c r="N203" s="59"/>
      <c r="O203" s="59"/>
      <c r="P203" s="59"/>
      <c r="Q203" s="59"/>
    </row>
    <row r="204" spans="1:17" ht="14.1" customHeight="1" thickTop="1" x14ac:dyDescent="0.2">
      <c r="C204" s="59"/>
      <c r="D204" s="59"/>
      <c r="E204" s="59">
        <f>D203+E203</f>
        <v>-19881344395</v>
      </c>
      <c r="F204" s="370"/>
      <c r="G204" s="59"/>
      <c r="H204" s="59"/>
      <c r="I204" s="59"/>
      <c r="J204" s="59"/>
      <c r="K204" s="59"/>
      <c r="L204" s="16"/>
      <c r="M204" s="59"/>
      <c r="N204" s="59"/>
      <c r="O204" s="59"/>
      <c r="P204" s="59"/>
      <c r="Q204" s="59"/>
    </row>
    <row r="205" spans="1:17" ht="14.1" customHeight="1" x14ac:dyDescent="0.2">
      <c r="C205" s="59"/>
      <c r="D205" s="59"/>
      <c r="E205" s="59"/>
      <c r="F205" s="370"/>
      <c r="G205" s="59"/>
      <c r="H205" s="59"/>
      <c r="I205" s="59"/>
      <c r="J205" s="59"/>
      <c r="K205" s="59"/>
      <c r="L205" s="16"/>
      <c r="M205" s="59"/>
      <c r="N205" s="59"/>
      <c r="O205" s="59"/>
      <c r="P205" s="59"/>
      <c r="Q205" s="59"/>
    </row>
    <row r="206" spans="1:17" s="67" customFormat="1" ht="14.1" customHeight="1" x14ac:dyDescent="0.2">
      <c r="C206" s="370"/>
      <c r="D206" s="370"/>
      <c r="E206" s="370"/>
      <c r="F206" s="370"/>
      <c r="G206" s="370"/>
      <c r="H206" s="370"/>
      <c r="I206" s="370"/>
      <c r="J206" s="370"/>
      <c r="K206" s="370"/>
      <c r="L206" s="376"/>
      <c r="M206" s="370"/>
      <c r="N206" s="370"/>
      <c r="O206" s="370"/>
      <c r="P206" s="370"/>
      <c r="Q206" s="370"/>
    </row>
    <row r="207" spans="1:17" ht="14.1" customHeight="1" x14ac:dyDescent="0.2">
      <c r="B207" s="54" t="s">
        <v>608</v>
      </c>
      <c r="C207" s="59">
        <f>'OTP FED Pre-Tax Balances'!C197</f>
        <v>-24156070515</v>
      </c>
      <c r="D207" s="221">
        <f>'OTP FED Pre-Tax Balances'!D197</f>
        <v>-25302445120</v>
      </c>
      <c r="E207" s="221">
        <f>'OTP FED Pre-Tax Balances'!E197</f>
        <v>710824996</v>
      </c>
      <c r="F207" s="370">
        <f>'OTP FED Pre-Tax Balances'!F197</f>
        <v>-24591620124</v>
      </c>
      <c r="G207" s="221">
        <f>'OTP FED Pre-Tax Balances'!G197</f>
        <v>-427890</v>
      </c>
      <c r="H207" s="221">
        <f>'OTP FED Pre-Tax Balances'!H197</f>
        <v>434568750</v>
      </c>
      <c r="I207" s="221">
        <f>'OTP FED Pre-Tax Balances'!I197</f>
        <v>1408748</v>
      </c>
      <c r="J207" s="221">
        <f>'OTP FED Pre-Tax Balances'!J197</f>
        <v>0</v>
      </c>
      <c r="K207" s="221">
        <f>'OTP FED Pre-Tax Balances'!K197</f>
        <v>0</v>
      </c>
      <c r="L207" s="16"/>
      <c r="M207" s="59"/>
      <c r="N207" s="59"/>
      <c r="O207" s="59"/>
      <c r="P207" s="59"/>
      <c r="Q207" s="59"/>
    </row>
    <row r="208" spans="1:17" ht="14.1" customHeight="1" x14ac:dyDescent="0.2">
      <c r="B208" s="54" t="s">
        <v>450</v>
      </c>
      <c r="C208" s="59">
        <f>C203-C207</f>
        <v>4710275729</v>
      </c>
      <c r="D208" s="221">
        <f t="shared" ref="D208:K208" si="4">D203-D207</f>
        <v>4710275729</v>
      </c>
      <c r="E208" s="221">
        <f t="shared" si="4"/>
        <v>0</v>
      </c>
      <c r="F208" s="370">
        <f t="shared" ref="F208" si="5">F203-F207</f>
        <v>4710275729</v>
      </c>
      <c r="G208" s="221">
        <f t="shared" si="4"/>
        <v>0</v>
      </c>
      <c r="H208" s="221">
        <f t="shared" si="4"/>
        <v>0</v>
      </c>
      <c r="I208" s="221">
        <f t="shared" si="4"/>
        <v>0</v>
      </c>
      <c r="J208" s="221">
        <f t="shared" si="4"/>
        <v>0</v>
      </c>
      <c r="K208" s="221">
        <f t="shared" si="4"/>
        <v>0</v>
      </c>
      <c r="L208" s="16"/>
      <c r="M208" s="59"/>
      <c r="N208" s="59"/>
      <c r="O208" s="59"/>
      <c r="P208" s="59"/>
      <c r="Q208" s="59"/>
    </row>
    <row r="209" spans="3:11" ht="14.1" customHeight="1" x14ac:dyDescent="0.2">
      <c r="C209" s="59"/>
      <c r="D209" s="59"/>
      <c r="E209" s="59"/>
      <c r="F209" s="370"/>
      <c r="G209" s="59"/>
      <c r="H209" s="59"/>
      <c r="I209" s="59"/>
      <c r="J209" s="59"/>
      <c r="K209" s="59"/>
    </row>
    <row r="210" spans="3:11" ht="14.1" customHeight="1" x14ac:dyDescent="0.2">
      <c r="C210" s="59"/>
      <c r="D210" s="59"/>
      <c r="E210" s="59"/>
      <c r="F210" s="370"/>
      <c r="G210" s="59"/>
      <c r="H210" s="59"/>
      <c r="I210" s="59"/>
      <c r="J210" s="59"/>
      <c r="K210" s="59"/>
    </row>
    <row r="211" spans="3:11" ht="14.1" customHeight="1" x14ac:dyDescent="0.2">
      <c r="C211" s="59"/>
      <c r="D211" s="59"/>
      <c r="E211" s="59"/>
      <c r="F211" s="370"/>
      <c r="G211" s="59"/>
      <c r="H211" s="59"/>
      <c r="I211" s="59"/>
      <c r="J211" s="59"/>
      <c r="K211" s="59"/>
    </row>
    <row r="212" spans="3:11" ht="14.1" customHeight="1" x14ac:dyDescent="0.2">
      <c r="C212" s="59"/>
      <c r="D212" s="59"/>
      <c r="E212" s="59"/>
      <c r="F212" s="370"/>
      <c r="G212" s="59"/>
      <c r="H212" s="59"/>
      <c r="I212" s="59"/>
      <c r="J212" s="59"/>
      <c r="K212" s="59"/>
    </row>
    <row r="213" spans="3:11" ht="14.1" customHeight="1" x14ac:dyDescent="0.2">
      <c r="C213" s="59"/>
      <c r="D213" s="59"/>
      <c r="E213" s="59"/>
      <c r="F213" s="370"/>
      <c r="G213" s="59"/>
      <c r="H213" s="59"/>
      <c r="I213" s="59"/>
      <c r="J213" s="59"/>
      <c r="K213" s="59"/>
    </row>
    <row r="214" spans="3:11" ht="14.1" customHeight="1" x14ac:dyDescent="0.2">
      <c r="C214" s="59"/>
      <c r="D214" s="59"/>
      <c r="E214" s="59"/>
      <c r="F214" s="370"/>
      <c r="G214" s="59"/>
      <c r="H214" s="59"/>
      <c r="I214" s="59"/>
      <c r="J214" s="59"/>
      <c r="K214" s="59"/>
    </row>
    <row r="215" spans="3:11" ht="14.1" customHeight="1" x14ac:dyDescent="0.2">
      <c r="C215" s="59"/>
      <c r="D215" s="59"/>
      <c r="E215" s="59"/>
      <c r="F215" s="370"/>
      <c r="G215" s="59"/>
      <c r="H215" s="59"/>
      <c r="I215" s="59"/>
      <c r="J215" s="59"/>
      <c r="K215" s="59"/>
    </row>
    <row r="216" spans="3:11" ht="14.1" customHeight="1" x14ac:dyDescent="0.2">
      <c r="C216" s="59"/>
      <c r="D216" s="59"/>
      <c r="E216" s="59"/>
      <c r="F216" s="370"/>
      <c r="G216" s="59"/>
      <c r="H216" s="59"/>
      <c r="I216" s="59"/>
      <c r="J216" s="59"/>
      <c r="K216" s="59"/>
    </row>
    <row r="217" spans="3:11" ht="14.1" customHeight="1" x14ac:dyDescent="0.2">
      <c r="C217" s="59"/>
      <c r="D217" s="59"/>
      <c r="E217" s="59"/>
      <c r="F217" s="370"/>
      <c r="G217" s="59"/>
      <c r="H217" s="59"/>
      <c r="I217" s="59"/>
      <c r="J217" s="59"/>
      <c r="K217" s="59"/>
    </row>
    <row r="218" spans="3:11" ht="14.1" customHeight="1" x14ac:dyDescent="0.2">
      <c r="C218" s="59"/>
      <c r="D218" s="59"/>
      <c r="E218" s="59"/>
      <c r="F218" s="370"/>
      <c r="G218" s="59"/>
      <c r="H218" s="59"/>
      <c r="I218" s="59"/>
      <c r="J218" s="59"/>
      <c r="K218" s="59"/>
    </row>
    <row r="219" spans="3:11" ht="14.1" customHeight="1" x14ac:dyDescent="0.2">
      <c r="C219" s="59"/>
      <c r="D219" s="59"/>
      <c r="E219" s="59"/>
      <c r="F219" s="370"/>
      <c r="G219" s="59"/>
      <c r="H219" s="59"/>
      <c r="I219" s="59"/>
      <c r="J219" s="59"/>
      <c r="K219" s="59"/>
    </row>
    <row r="220" spans="3:11" ht="14.1" customHeight="1" x14ac:dyDescent="0.2">
      <c r="C220" s="59"/>
      <c r="D220" s="59"/>
      <c r="E220" s="59"/>
      <c r="F220" s="370"/>
      <c r="G220" s="59"/>
      <c r="H220" s="59"/>
      <c r="I220" s="59"/>
      <c r="J220" s="59"/>
      <c r="K220" s="59"/>
    </row>
  </sheetData>
  <autoFilter ref="A7:M208"/>
  <pageMargins left="0.25" right="0" top="0.5" bottom="0.5" header="0.3" footer="0"/>
  <pageSetup scale="90" orientation="landscape" horizontalDpi="300" verticalDpi="300" r:id="rId1"/>
  <headerFooter alignWithMargins="0">
    <oddHeader>&amp;L&amp;"Arial,Bold"&amp;10</oddHeader>
    <oddFooter>&amp;L&amp;"Arial,Bold"&amp;10&amp;R&amp;"Arial,Bold"&amp;10&amp;P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5"/>
  <sheetViews>
    <sheetView workbookViewId="0">
      <pane xSplit="2" ySplit="7" topLeftCell="C200" activePane="bottomRight" state="frozen"/>
      <selection pane="topRight" activeCell="C1" sqref="C1"/>
      <selection pane="bottomLeft" activeCell="A8" sqref="A8"/>
      <selection pane="bottomRight" activeCell="B1" sqref="B1:C2"/>
    </sheetView>
  </sheetViews>
  <sheetFormatPr defaultColWidth="9.140625" defaultRowHeight="14.1" customHeight="1" outlineLevelCol="1" x14ac:dyDescent="0.2"/>
  <cols>
    <col min="1" max="1" width="16.42578125" style="54" customWidth="1"/>
    <col min="2" max="2" width="36.42578125" style="54" customWidth="1"/>
    <col min="3" max="3" width="16.28515625" style="54" customWidth="1"/>
    <col min="4" max="5" width="19.140625" style="54" hidden="1" customWidth="1" outlineLevel="1"/>
    <col min="6" max="6" width="19.140625" style="67" customWidth="1" collapsed="1"/>
    <col min="7" max="11" width="17" style="54" customWidth="1"/>
    <col min="12" max="12" width="14.85546875" style="375" customWidth="1"/>
    <col min="13" max="13" width="14" style="54" customWidth="1"/>
    <col min="14" max="16384" width="9.140625" style="54"/>
  </cols>
  <sheetData>
    <row r="1" spans="1:21" ht="14.1" customHeight="1" x14ac:dyDescent="0.2">
      <c r="A1" s="56"/>
      <c r="B1" s="455" t="s">
        <v>725</v>
      </c>
      <c r="C1" s="455"/>
      <c r="D1" s="56"/>
      <c r="E1" s="56"/>
      <c r="F1" s="374"/>
      <c r="G1" s="56"/>
      <c r="H1" s="56"/>
      <c r="I1" s="56"/>
      <c r="J1" s="56"/>
      <c r="K1" s="56"/>
    </row>
    <row r="2" spans="1:21" ht="14.1" customHeight="1" x14ac:dyDescent="0.2">
      <c r="A2" s="57" t="s">
        <v>0</v>
      </c>
      <c r="B2" s="455" t="s">
        <v>710</v>
      </c>
      <c r="C2" s="455"/>
      <c r="D2" s="56"/>
      <c r="E2" s="56"/>
      <c r="F2" s="374"/>
      <c r="G2" s="56"/>
      <c r="H2" s="56"/>
      <c r="I2" s="56"/>
      <c r="J2" s="56"/>
      <c r="K2" s="56"/>
    </row>
    <row r="3" spans="1:21" ht="14.1" customHeight="1" x14ac:dyDescent="0.2">
      <c r="A3" s="58" t="s">
        <v>617</v>
      </c>
      <c r="B3" s="56"/>
      <c r="C3" s="56"/>
      <c r="D3" s="56"/>
      <c r="E3" s="56"/>
      <c r="F3" s="374"/>
      <c r="G3" s="56"/>
      <c r="H3" s="56"/>
      <c r="I3" s="56"/>
      <c r="J3" s="56"/>
      <c r="K3" s="56"/>
    </row>
    <row r="4" spans="1:21" ht="14.1" customHeight="1" x14ac:dyDescent="0.2">
      <c r="A4" s="58" t="s">
        <v>594</v>
      </c>
      <c r="B4" s="56"/>
      <c r="C4" s="56"/>
      <c r="D4" s="56"/>
      <c r="E4" s="56"/>
      <c r="F4" s="374"/>
      <c r="G4" s="56"/>
      <c r="H4" s="56"/>
      <c r="I4" s="56"/>
      <c r="J4" s="56"/>
      <c r="K4" s="56"/>
    </row>
    <row r="5" spans="1:21" ht="14.1" customHeight="1" x14ac:dyDescent="0.2">
      <c r="A5" s="54" t="s">
        <v>1</v>
      </c>
      <c r="B5" s="54" t="s">
        <v>1</v>
      </c>
      <c r="C5" s="54" t="s">
        <v>1</v>
      </c>
      <c r="D5" s="54" t="s">
        <v>1</v>
      </c>
      <c r="E5" s="54" t="s">
        <v>1</v>
      </c>
      <c r="G5" s="54" t="s">
        <v>1</v>
      </c>
      <c r="H5" s="54" t="s">
        <v>1</v>
      </c>
      <c r="I5" s="54" t="s">
        <v>1</v>
      </c>
      <c r="J5" s="54" t="s">
        <v>1</v>
      </c>
      <c r="K5" s="54" t="s">
        <v>1</v>
      </c>
    </row>
    <row r="6" spans="1:21" ht="49.7" customHeight="1" x14ac:dyDescent="0.2">
      <c r="A6" s="54" t="s">
        <v>1</v>
      </c>
      <c r="B6" s="368" t="s">
        <v>1</v>
      </c>
      <c r="C6" s="8" t="s">
        <v>372</v>
      </c>
      <c r="D6" s="8" t="s">
        <v>374</v>
      </c>
      <c r="E6" s="8" t="s">
        <v>375</v>
      </c>
      <c r="F6" s="8" t="s">
        <v>614</v>
      </c>
      <c r="G6" s="8" t="s">
        <v>376</v>
      </c>
      <c r="H6" s="8" t="s">
        <v>377</v>
      </c>
      <c r="I6" s="8" t="s">
        <v>378</v>
      </c>
      <c r="J6" s="8" t="s">
        <v>379</v>
      </c>
      <c r="K6" s="8" t="s">
        <v>380</v>
      </c>
    </row>
    <row r="7" spans="1:21" ht="14.1" customHeight="1" x14ac:dyDescent="0.2">
      <c r="A7" s="369" t="s">
        <v>2</v>
      </c>
      <c r="B7" s="369" t="s">
        <v>188</v>
      </c>
      <c r="C7" s="8" t="s">
        <v>373</v>
      </c>
      <c r="D7" s="8" t="s">
        <v>373</v>
      </c>
      <c r="E7" s="8" t="s">
        <v>373</v>
      </c>
      <c r="F7" s="8" t="s">
        <v>373</v>
      </c>
      <c r="G7" s="8" t="s">
        <v>373</v>
      </c>
      <c r="H7" s="8" t="s">
        <v>373</v>
      </c>
      <c r="I7" s="8" t="s">
        <v>373</v>
      </c>
      <c r="J7" s="8" t="s">
        <v>373</v>
      </c>
      <c r="K7" s="8" t="s">
        <v>373</v>
      </c>
    </row>
    <row r="8" spans="1:21" ht="14.1" customHeight="1" x14ac:dyDescent="0.2">
      <c r="A8" s="54" t="s">
        <v>3</v>
      </c>
      <c r="B8" s="54" t="s">
        <v>189</v>
      </c>
      <c r="C8" s="370">
        <v>0</v>
      </c>
      <c r="D8" s="370">
        <v>0</v>
      </c>
      <c r="E8" s="370">
        <v>0</v>
      </c>
      <c r="F8" s="370">
        <f>D8+E8</f>
        <v>0</v>
      </c>
      <c r="G8" s="370">
        <v>0</v>
      </c>
      <c r="H8" s="370">
        <v>0</v>
      </c>
      <c r="I8" s="370">
        <v>0</v>
      </c>
      <c r="J8" s="370">
        <v>0</v>
      </c>
      <c r="K8" s="370">
        <v>0</v>
      </c>
      <c r="L8" s="376"/>
      <c r="M8" s="59"/>
      <c r="N8" s="59"/>
      <c r="O8" s="59"/>
      <c r="P8" s="59"/>
      <c r="Q8" s="59"/>
      <c r="R8" s="59"/>
      <c r="S8" s="59"/>
      <c r="T8" s="59"/>
      <c r="U8" s="59"/>
    </row>
    <row r="9" spans="1:21" ht="14.1" customHeight="1" x14ac:dyDescent="0.2">
      <c r="A9" s="54" t="s">
        <v>4</v>
      </c>
      <c r="B9" s="54" t="s">
        <v>190</v>
      </c>
      <c r="C9" s="370">
        <v>0</v>
      </c>
      <c r="D9" s="370">
        <v>0</v>
      </c>
      <c r="E9" s="370">
        <v>0</v>
      </c>
      <c r="F9" s="370">
        <f t="shared" ref="F9:F72" si="0">D9+E9</f>
        <v>0</v>
      </c>
      <c r="G9" s="370">
        <v>0</v>
      </c>
      <c r="H9" s="370">
        <v>0</v>
      </c>
      <c r="I9" s="370">
        <v>0</v>
      </c>
      <c r="J9" s="370">
        <v>0</v>
      </c>
      <c r="K9" s="370">
        <v>0</v>
      </c>
      <c r="L9" s="376"/>
      <c r="M9" s="59"/>
      <c r="N9" s="59"/>
      <c r="O9" s="59"/>
      <c r="P9" s="59"/>
      <c r="Q9" s="59"/>
      <c r="R9" s="59"/>
      <c r="S9" s="59"/>
      <c r="T9" s="59"/>
      <c r="U9" s="59"/>
    </row>
    <row r="10" spans="1:21" ht="14.1" customHeight="1" x14ac:dyDescent="0.2">
      <c r="A10" s="54" t="s">
        <v>5</v>
      </c>
      <c r="B10" s="54" t="s">
        <v>191</v>
      </c>
      <c r="C10" s="370">
        <v>-8563389</v>
      </c>
      <c r="D10" s="370">
        <v>-8563389</v>
      </c>
      <c r="E10" s="370">
        <v>0</v>
      </c>
      <c r="F10" s="370">
        <f t="shared" si="0"/>
        <v>-8563389</v>
      </c>
      <c r="G10" s="370">
        <v>0</v>
      </c>
      <c r="H10" s="370">
        <v>0</v>
      </c>
      <c r="I10" s="370">
        <v>0</v>
      </c>
      <c r="J10" s="370">
        <v>0</v>
      </c>
      <c r="K10" s="370">
        <v>0</v>
      </c>
      <c r="L10" s="376"/>
      <c r="M10" s="59"/>
      <c r="N10" s="59"/>
      <c r="O10" s="59"/>
      <c r="P10" s="59"/>
      <c r="Q10" s="59"/>
      <c r="R10" s="59"/>
      <c r="S10" s="59"/>
      <c r="T10" s="59"/>
      <c r="U10" s="59"/>
    </row>
    <row r="11" spans="1:21" ht="14.1" customHeight="1" x14ac:dyDescent="0.2">
      <c r="A11" s="54" t="s">
        <v>6</v>
      </c>
      <c r="B11" s="54" t="s">
        <v>192</v>
      </c>
      <c r="C11" s="370">
        <v>65559</v>
      </c>
      <c r="D11" s="370">
        <v>65559</v>
      </c>
      <c r="E11" s="370">
        <v>0</v>
      </c>
      <c r="F11" s="370">
        <f t="shared" si="0"/>
        <v>65559</v>
      </c>
      <c r="G11" s="370">
        <v>0</v>
      </c>
      <c r="H11" s="370">
        <v>0</v>
      </c>
      <c r="I11" s="370">
        <v>0</v>
      </c>
      <c r="J11" s="370">
        <v>0</v>
      </c>
      <c r="K11" s="370">
        <v>0</v>
      </c>
      <c r="L11" s="376"/>
      <c r="M11" s="59"/>
      <c r="N11" s="59"/>
      <c r="O11" s="59"/>
      <c r="P11" s="59"/>
      <c r="Q11" s="59"/>
      <c r="R11" s="59"/>
      <c r="S11" s="59"/>
      <c r="T11" s="59"/>
      <c r="U11" s="59"/>
    </row>
    <row r="12" spans="1:21" ht="14.1" customHeight="1" x14ac:dyDescent="0.2">
      <c r="A12" s="54" t="s">
        <v>7</v>
      </c>
      <c r="B12" s="54" t="s">
        <v>193</v>
      </c>
      <c r="C12" s="370">
        <v>0</v>
      </c>
      <c r="D12" s="370">
        <v>0</v>
      </c>
      <c r="E12" s="370">
        <v>0</v>
      </c>
      <c r="F12" s="370">
        <f t="shared" si="0"/>
        <v>0</v>
      </c>
      <c r="G12" s="370">
        <v>0</v>
      </c>
      <c r="H12" s="370">
        <v>0</v>
      </c>
      <c r="I12" s="370">
        <v>0</v>
      </c>
      <c r="J12" s="370">
        <v>0</v>
      </c>
      <c r="K12" s="370">
        <v>0</v>
      </c>
      <c r="L12" s="376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14.1" customHeight="1" x14ac:dyDescent="0.2">
      <c r="A13" s="54" t="s">
        <v>589</v>
      </c>
      <c r="B13" s="54" t="s">
        <v>590</v>
      </c>
      <c r="C13" s="370">
        <v>0</v>
      </c>
      <c r="D13" s="370">
        <v>0</v>
      </c>
      <c r="E13" s="370">
        <v>0</v>
      </c>
      <c r="F13" s="370">
        <f t="shared" si="0"/>
        <v>0</v>
      </c>
      <c r="G13" s="370">
        <v>0</v>
      </c>
      <c r="H13" s="370">
        <v>0</v>
      </c>
      <c r="I13" s="370">
        <v>0</v>
      </c>
      <c r="J13" s="370">
        <v>0</v>
      </c>
      <c r="K13" s="370">
        <v>0</v>
      </c>
      <c r="L13" s="376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4.1" customHeight="1" x14ac:dyDescent="0.2">
      <c r="A14" s="54" t="s">
        <v>8</v>
      </c>
      <c r="B14" s="54" t="s">
        <v>194</v>
      </c>
      <c r="C14" s="370">
        <v>0</v>
      </c>
      <c r="D14" s="370">
        <v>0</v>
      </c>
      <c r="E14" s="370">
        <v>0</v>
      </c>
      <c r="F14" s="370">
        <f t="shared" si="0"/>
        <v>0</v>
      </c>
      <c r="G14" s="370">
        <v>0</v>
      </c>
      <c r="H14" s="370">
        <v>0</v>
      </c>
      <c r="I14" s="370">
        <v>0</v>
      </c>
      <c r="J14" s="370">
        <v>0</v>
      </c>
      <c r="K14" s="370">
        <v>0</v>
      </c>
      <c r="L14" s="376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14.1" customHeight="1" x14ac:dyDescent="0.2">
      <c r="A15" s="54" t="s">
        <v>9</v>
      </c>
      <c r="B15" s="54" t="s">
        <v>195</v>
      </c>
      <c r="C15" s="370">
        <v>0</v>
      </c>
      <c r="D15" s="370">
        <v>0</v>
      </c>
      <c r="E15" s="370">
        <v>0</v>
      </c>
      <c r="F15" s="370">
        <f t="shared" si="0"/>
        <v>0</v>
      </c>
      <c r="G15" s="370">
        <v>0</v>
      </c>
      <c r="H15" s="370">
        <v>0</v>
      </c>
      <c r="I15" s="370">
        <v>0</v>
      </c>
      <c r="J15" s="370">
        <v>0</v>
      </c>
      <c r="K15" s="370">
        <v>0</v>
      </c>
      <c r="L15" s="376"/>
      <c r="M15" s="59"/>
      <c r="N15" s="59"/>
      <c r="O15" s="59"/>
      <c r="P15" s="59"/>
      <c r="Q15" s="59"/>
      <c r="R15" s="59"/>
      <c r="S15" s="59"/>
      <c r="T15" s="59"/>
      <c r="U15" s="59"/>
    </row>
    <row r="16" spans="1:21" ht="14.1" customHeight="1" x14ac:dyDescent="0.2">
      <c r="A16" s="54" t="s">
        <v>10</v>
      </c>
      <c r="B16" s="54" t="s">
        <v>196</v>
      </c>
      <c r="C16" s="370">
        <v>0</v>
      </c>
      <c r="D16" s="370">
        <v>0</v>
      </c>
      <c r="E16" s="370">
        <v>0</v>
      </c>
      <c r="F16" s="370">
        <f t="shared" si="0"/>
        <v>0</v>
      </c>
      <c r="G16" s="370">
        <v>0</v>
      </c>
      <c r="H16" s="370">
        <v>0</v>
      </c>
      <c r="I16" s="370">
        <v>0</v>
      </c>
      <c r="J16" s="370">
        <v>0</v>
      </c>
      <c r="K16" s="370">
        <v>0</v>
      </c>
      <c r="L16" s="376"/>
      <c r="M16" s="59"/>
      <c r="N16" s="59"/>
      <c r="O16" s="59"/>
      <c r="P16" s="59"/>
      <c r="Q16" s="59"/>
      <c r="R16" s="59"/>
      <c r="S16" s="59"/>
      <c r="T16" s="59"/>
      <c r="U16" s="59"/>
    </row>
    <row r="17" spans="1:21" ht="14.1" customHeight="1" x14ac:dyDescent="0.2">
      <c r="A17" s="54" t="s">
        <v>11</v>
      </c>
      <c r="B17" s="54" t="s">
        <v>197</v>
      </c>
      <c r="C17" s="370">
        <v>12561</v>
      </c>
      <c r="D17" s="370">
        <v>0</v>
      </c>
      <c r="E17" s="370">
        <v>12561</v>
      </c>
      <c r="F17" s="370">
        <f t="shared" si="0"/>
        <v>12561</v>
      </c>
      <c r="G17" s="370">
        <v>0</v>
      </c>
      <c r="H17" s="370">
        <v>0</v>
      </c>
      <c r="I17" s="370">
        <v>0</v>
      </c>
      <c r="J17" s="370">
        <v>0</v>
      </c>
      <c r="K17" s="370">
        <v>0</v>
      </c>
      <c r="L17" s="376"/>
      <c r="M17" s="59"/>
      <c r="N17" s="59"/>
      <c r="O17" s="59"/>
      <c r="P17" s="59"/>
      <c r="Q17" s="59"/>
      <c r="R17" s="59"/>
      <c r="S17" s="59"/>
      <c r="T17" s="59"/>
      <c r="U17" s="59"/>
    </row>
    <row r="18" spans="1:21" ht="14.1" customHeight="1" x14ac:dyDescent="0.2">
      <c r="A18" s="54" t="s">
        <v>12</v>
      </c>
      <c r="B18" s="54" t="s">
        <v>198</v>
      </c>
      <c r="C18" s="370">
        <v>-440414</v>
      </c>
      <c r="D18" s="370">
        <v>-440414</v>
      </c>
      <c r="E18" s="370">
        <v>0</v>
      </c>
      <c r="F18" s="370">
        <f t="shared" si="0"/>
        <v>-440414</v>
      </c>
      <c r="G18" s="370">
        <v>0</v>
      </c>
      <c r="H18" s="370">
        <v>0</v>
      </c>
      <c r="I18" s="370">
        <v>0</v>
      </c>
      <c r="J18" s="370">
        <v>0</v>
      </c>
      <c r="K18" s="370">
        <v>0</v>
      </c>
      <c r="L18" s="376"/>
      <c r="M18" s="59"/>
      <c r="N18" s="59"/>
      <c r="O18" s="59"/>
      <c r="P18" s="59"/>
      <c r="Q18" s="59"/>
      <c r="R18" s="59"/>
      <c r="S18" s="59"/>
      <c r="T18" s="59"/>
      <c r="U18" s="59"/>
    </row>
    <row r="19" spans="1:21" ht="14.1" customHeight="1" x14ac:dyDescent="0.2">
      <c r="A19" s="54" t="s">
        <v>13</v>
      </c>
      <c r="B19" s="54" t="s">
        <v>199</v>
      </c>
      <c r="C19" s="370">
        <v>8367312</v>
      </c>
      <c r="D19" s="370">
        <v>8367312</v>
      </c>
      <c r="E19" s="370">
        <v>0</v>
      </c>
      <c r="F19" s="370">
        <f t="shared" si="0"/>
        <v>8367312</v>
      </c>
      <c r="G19" s="370">
        <v>0</v>
      </c>
      <c r="H19" s="370">
        <v>0</v>
      </c>
      <c r="I19" s="370">
        <v>0</v>
      </c>
      <c r="J19" s="370">
        <v>0</v>
      </c>
      <c r="K19" s="370">
        <v>0</v>
      </c>
      <c r="L19" s="376"/>
      <c r="M19" s="59"/>
      <c r="N19" s="59"/>
      <c r="O19" s="59"/>
      <c r="P19" s="59"/>
      <c r="Q19" s="59"/>
      <c r="R19" s="59"/>
      <c r="S19" s="59"/>
      <c r="T19" s="59"/>
      <c r="U19" s="59"/>
    </row>
    <row r="20" spans="1:21" ht="14.1" customHeight="1" x14ac:dyDescent="0.2">
      <c r="A20" s="54" t="s">
        <v>14</v>
      </c>
      <c r="B20" s="54" t="s">
        <v>200</v>
      </c>
      <c r="C20" s="370">
        <v>-49082</v>
      </c>
      <c r="D20" s="370">
        <v>-49082</v>
      </c>
      <c r="E20" s="370">
        <v>0</v>
      </c>
      <c r="F20" s="370">
        <f t="shared" si="0"/>
        <v>-49082</v>
      </c>
      <c r="G20" s="370">
        <v>0</v>
      </c>
      <c r="H20" s="370">
        <v>0</v>
      </c>
      <c r="I20" s="370">
        <v>0</v>
      </c>
      <c r="J20" s="370">
        <v>0</v>
      </c>
      <c r="K20" s="370">
        <v>0</v>
      </c>
      <c r="L20" s="376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14.1" customHeight="1" x14ac:dyDescent="0.2">
      <c r="A21" s="54" t="s">
        <v>15</v>
      </c>
      <c r="B21" s="54" t="s">
        <v>201</v>
      </c>
      <c r="C21" s="370">
        <v>-306338809</v>
      </c>
      <c r="D21" s="370">
        <v>-306338809</v>
      </c>
      <c r="E21" s="370">
        <v>0</v>
      </c>
      <c r="F21" s="370">
        <f t="shared" si="0"/>
        <v>-306338809</v>
      </c>
      <c r="G21" s="370">
        <v>0</v>
      </c>
      <c r="H21" s="370">
        <v>0</v>
      </c>
      <c r="I21" s="370">
        <v>0</v>
      </c>
      <c r="J21" s="370">
        <v>0</v>
      </c>
      <c r="K21" s="370">
        <v>0</v>
      </c>
      <c r="L21" s="376"/>
      <c r="M21" s="59"/>
      <c r="N21" s="59"/>
      <c r="O21" s="59"/>
      <c r="P21" s="59"/>
      <c r="Q21" s="59"/>
      <c r="R21" s="59"/>
      <c r="S21" s="59"/>
      <c r="T21" s="59"/>
      <c r="U21" s="59"/>
    </row>
    <row r="22" spans="1:21" ht="14.1" customHeight="1" x14ac:dyDescent="0.2">
      <c r="A22" s="54" t="s">
        <v>16</v>
      </c>
      <c r="B22" s="54" t="s">
        <v>202</v>
      </c>
      <c r="C22" s="370">
        <v>0</v>
      </c>
      <c r="D22" s="370">
        <v>0</v>
      </c>
      <c r="E22" s="370">
        <v>0</v>
      </c>
      <c r="F22" s="370">
        <f t="shared" si="0"/>
        <v>0</v>
      </c>
      <c r="G22" s="370">
        <v>0</v>
      </c>
      <c r="H22" s="370">
        <v>0</v>
      </c>
      <c r="I22" s="370">
        <v>0</v>
      </c>
      <c r="J22" s="370">
        <v>0</v>
      </c>
      <c r="K22" s="370">
        <v>0</v>
      </c>
      <c r="L22" s="376"/>
      <c r="M22" s="59"/>
      <c r="N22" s="59"/>
      <c r="O22" s="59"/>
      <c r="P22" s="59"/>
      <c r="Q22" s="59"/>
      <c r="R22" s="59"/>
      <c r="S22" s="59"/>
      <c r="T22" s="59"/>
      <c r="U22" s="59"/>
    </row>
    <row r="23" spans="1:21" ht="14.1" customHeight="1" x14ac:dyDescent="0.2">
      <c r="A23" s="54" t="s">
        <v>17</v>
      </c>
      <c r="B23" s="54" t="s">
        <v>203</v>
      </c>
      <c r="C23" s="370">
        <v>0</v>
      </c>
      <c r="D23" s="370">
        <v>0</v>
      </c>
      <c r="E23" s="370">
        <v>0</v>
      </c>
      <c r="F23" s="370">
        <f t="shared" si="0"/>
        <v>0</v>
      </c>
      <c r="G23" s="370">
        <v>0</v>
      </c>
      <c r="H23" s="370">
        <v>0</v>
      </c>
      <c r="I23" s="370">
        <v>0</v>
      </c>
      <c r="J23" s="370">
        <v>0</v>
      </c>
      <c r="K23" s="370">
        <v>0</v>
      </c>
      <c r="L23" s="376"/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4.1" customHeight="1" x14ac:dyDescent="0.2">
      <c r="A24" s="54" t="s">
        <v>18</v>
      </c>
      <c r="B24" s="54" t="s">
        <v>204</v>
      </c>
      <c r="C24" s="370">
        <v>1147364</v>
      </c>
      <c r="D24" s="370">
        <v>1147364</v>
      </c>
      <c r="E24" s="370">
        <v>0</v>
      </c>
      <c r="F24" s="370">
        <f t="shared" si="0"/>
        <v>1147364</v>
      </c>
      <c r="G24" s="370">
        <v>0</v>
      </c>
      <c r="H24" s="370">
        <v>0</v>
      </c>
      <c r="I24" s="370">
        <v>0</v>
      </c>
      <c r="J24" s="370">
        <v>0</v>
      </c>
      <c r="K24" s="370">
        <v>0</v>
      </c>
      <c r="L24" s="376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14.1" customHeight="1" x14ac:dyDescent="0.2">
      <c r="A25" s="54" t="s">
        <v>19</v>
      </c>
      <c r="B25" s="54" t="s">
        <v>205</v>
      </c>
      <c r="C25" s="370">
        <v>-23199073</v>
      </c>
      <c r="D25" s="370">
        <v>-23199073</v>
      </c>
      <c r="E25" s="370">
        <v>0</v>
      </c>
      <c r="F25" s="370">
        <f t="shared" si="0"/>
        <v>-23199073</v>
      </c>
      <c r="G25" s="370">
        <v>0</v>
      </c>
      <c r="H25" s="370">
        <v>0</v>
      </c>
      <c r="I25" s="370">
        <v>0</v>
      </c>
      <c r="J25" s="370">
        <v>0</v>
      </c>
      <c r="K25" s="370">
        <v>0</v>
      </c>
      <c r="L25" s="376"/>
      <c r="M25" s="59"/>
      <c r="N25" s="59"/>
      <c r="O25" s="59"/>
      <c r="P25" s="59"/>
      <c r="Q25" s="59"/>
      <c r="R25" s="59"/>
      <c r="S25" s="59"/>
      <c r="T25" s="59"/>
      <c r="U25" s="59"/>
    </row>
    <row r="26" spans="1:21" ht="14.1" customHeight="1" x14ac:dyDescent="0.2">
      <c r="A26" s="54" t="s">
        <v>20</v>
      </c>
      <c r="B26" s="54" t="s">
        <v>206</v>
      </c>
      <c r="C26" s="370">
        <v>-37007308</v>
      </c>
      <c r="D26" s="370">
        <v>-37007308</v>
      </c>
      <c r="E26" s="370">
        <v>0</v>
      </c>
      <c r="F26" s="370">
        <f t="shared" si="0"/>
        <v>-37007308</v>
      </c>
      <c r="G26" s="370">
        <v>0</v>
      </c>
      <c r="H26" s="370">
        <v>0</v>
      </c>
      <c r="I26" s="370">
        <v>0</v>
      </c>
      <c r="J26" s="370">
        <v>0</v>
      </c>
      <c r="K26" s="370">
        <v>0</v>
      </c>
      <c r="L26" s="376"/>
      <c r="M26" s="59"/>
      <c r="N26" s="59"/>
      <c r="O26" s="59"/>
      <c r="P26" s="59"/>
      <c r="Q26" s="59"/>
      <c r="R26" s="59"/>
      <c r="S26" s="59"/>
      <c r="T26" s="59"/>
      <c r="U26" s="59"/>
    </row>
    <row r="27" spans="1:21" ht="14.1" customHeight="1" x14ac:dyDescent="0.2">
      <c r="A27" s="54" t="s">
        <v>21</v>
      </c>
      <c r="B27" s="54" t="s">
        <v>207</v>
      </c>
      <c r="C27" s="370">
        <v>11861907</v>
      </c>
      <c r="D27" s="370">
        <v>11861907</v>
      </c>
      <c r="E27" s="370">
        <v>0</v>
      </c>
      <c r="F27" s="370">
        <f t="shared" si="0"/>
        <v>11861907</v>
      </c>
      <c r="G27" s="370">
        <v>0</v>
      </c>
      <c r="H27" s="370">
        <v>0</v>
      </c>
      <c r="I27" s="370">
        <v>0</v>
      </c>
      <c r="J27" s="370">
        <v>0</v>
      </c>
      <c r="K27" s="370">
        <v>0</v>
      </c>
      <c r="L27" s="376"/>
      <c r="M27" s="59"/>
      <c r="N27" s="59"/>
      <c r="O27" s="59"/>
      <c r="P27" s="59"/>
      <c r="Q27" s="59"/>
      <c r="R27" s="59"/>
      <c r="S27" s="59"/>
      <c r="T27" s="59"/>
      <c r="U27" s="59"/>
    </row>
    <row r="28" spans="1:21" ht="14.1" customHeight="1" x14ac:dyDescent="0.2">
      <c r="A28" s="54" t="s">
        <v>22</v>
      </c>
      <c r="B28" s="54" t="s">
        <v>208</v>
      </c>
      <c r="C28" s="370">
        <v>-84806193</v>
      </c>
      <c r="D28" s="370">
        <v>-84806193</v>
      </c>
      <c r="E28" s="370">
        <v>0</v>
      </c>
      <c r="F28" s="370">
        <f t="shared" si="0"/>
        <v>-84806193</v>
      </c>
      <c r="G28" s="370">
        <v>0</v>
      </c>
      <c r="H28" s="370">
        <v>0</v>
      </c>
      <c r="I28" s="370">
        <v>0</v>
      </c>
      <c r="J28" s="370">
        <v>0</v>
      </c>
      <c r="K28" s="370">
        <v>0</v>
      </c>
      <c r="L28" s="376"/>
      <c r="M28" s="59"/>
      <c r="N28" s="59"/>
      <c r="O28" s="59"/>
      <c r="P28" s="59"/>
      <c r="Q28" s="59"/>
      <c r="R28" s="59"/>
      <c r="S28" s="59"/>
      <c r="T28" s="59"/>
      <c r="U28" s="59"/>
    </row>
    <row r="29" spans="1:21" ht="14.1" customHeight="1" x14ac:dyDescent="0.2">
      <c r="A29" s="54" t="s">
        <v>23</v>
      </c>
      <c r="B29" s="54" t="s">
        <v>209</v>
      </c>
      <c r="C29" s="370">
        <v>-53258410</v>
      </c>
      <c r="D29" s="370">
        <v>-53258410</v>
      </c>
      <c r="E29" s="370">
        <v>0</v>
      </c>
      <c r="F29" s="370">
        <f t="shared" si="0"/>
        <v>-53258410</v>
      </c>
      <c r="G29" s="370">
        <v>0</v>
      </c>
      <c r="H29" s="370">
        <v>0</v>
      </c>
      <c r="I29" s="370">
        <v>0</v>
      </c>
      <c r="J29" s="370">
        <v>0</v>
      </c>
      <c r="K29" s="370">
        <v>0</v>
      </c>
      <c r="L29" s="376"/>
      <c r="M29" s="59"/>
      <c r="N29" s="59"/>
      <c r="O29" s="59"/>
      <c r="P29" s="59"/>
      <c r="Q29" s="59"/>
      <c r="R29" s="59"/>
      <c r="S29" s="59"/>
      <c r="T29" s="59"/>
      <c r="U29" s="59"/>
    </row>
    <row r="30" spans="1:21" ht="14.1" customHeight="1" x14ac:dyDescent="0.2">
      <c r="A30" s="54" t="s">
        <v>24</v>
      </c>
      <c r="B30" s="54" t="s">
        <v>210</v>
      </c>
      <c r="C30" s="370">
        <v>3567287</v>
      </c>
      <c r="D30" s="370">
        <v>0</v>
      </c>
      <c r="E30" s="370">
        <v>0</v>
      </c>
      <c r="F30" s="370">
        <f t="shared" si="0"/>
        <v>0</v>
      </c>
      <c r="G30" s="370">
        <v>3567287</v>
      </c>
      <c r="H30" s="370">
        <v>0</v>
      </c>
      <c r="I30" s="370">
        <v>0</v>
      </c>
      <c r="J30" s="370">
        <v>0</v>
      </c>
      <c r="K30" s="370">
        <v>0</v>
      </c>
      <c r="L30" s="376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14.1" customHeight="1" x14ac:dyDescent="0.2">
      <c r="A31" s="54" t="s">
        <v>25</v>
      </c>
      <c r="B31" s="54" t="s">
        <v>211</v>
      </c>
      <c r="C31" s="370">
        <v>-14134363</v>
      </c>
      <c r="D31" s="370">
        <v>-14134363</v>
      </c>
      <c r="E31" s="370">
        <v>0</v>
      </c>
      <c r="F31" s="370">
        <f t="shared" si="0"/>
        <v>-14134363</v>
      </c>
      <c r="G31" s="370">
        <v>0</v>
      </c>
      <c r="H31" s="370">
        <v>0</v>
      </c>
      <c r="I31" s="370">
        <v>0</v>
      </c>
      <c r="J31" s="370">
        <v>0</v>
      </c>
      <c r="K31" s="370">
        <v>0</v>
      </c>
      <c r="L31" s="376"/>
      <c r="M31" s="59"/>
      <c r="N31" s="59"/>
      <c r="O31" s="59"/>
      <c r="P31" s="59"/>
      <c r="Q31" s="59"/>
      <c r="R31" s="59"/>
      <c r="S31" s="59"/>
      <c r="T31" s="59"/>
      <c r="U31" s="59"/>
    </row>
    <row r="32" spans="1:21" ht="14.1" customHeight="1" x14ac:dyDescent="0.2">
      <c r="A32" s="54" t="s">
        <v>26</v>
      </c>
      <c r="B32" s="54" t="s">
        <v>212</v>
      </c>
      <c r="C32" s="370">
        <v>-8876403</v>
      </c>
      <c r="D32" s="370">
        <v>-8876403</v>
      </c>
      <c r="E32" s="370">
        <v>0</v>
      </c>
      <c r="F32" s="370">
        <f t="shared" si="0"/>
        <v>-8876403</v>
      </c>
      <c r="G32" s="370">
        <v>0</v>
      </c>
      <c r="H32" s="370">
        <v>0</v>
      </c>
      <c r="I32" s="370">
        <v>0</v>
      </c>
      <c r="J32" s="370">
        <v>0</v>
      </c>
      <c r="K32" s="370">
        <v>0</v>
      </c>
      <c r="L32" s="376"/>
      <c r="M32" s="59"/>
      <c r="N32" s="59"/>
      <c r="O32" s="59"/>
      <c r="P32" s="59"/>
      <c r="Q32" s="59"/>
      <c r="R32" s="59"/>
      <c r="S32" s="59"/>
      <c r="T32" s="59"/>
      <c r="U32" s="59"/>
    </row>
    <row r="33" spans="1:21" ht="14.1" customHeight="1" x14ac:dyDescent="0.2">
      <c r="A33" s="54" t="s">
        <v>27</v>
      </c>
      <c r="B33" s="54" t="s">
        <v>213</v>
      </c>
      <c r="C33" s="370">
        <v>479909</v>
      </c>
      <c r="D33" s="370">
        <v>0</v>
      </c>
      <c r="E33" s="370">
        <v>0</v>
      </c>
      <c r="F33" s="370">
        <f t="shared" si="0"/>
        <v>0</v>
      </c>
      <c r="G33" s="370">
        <v>479909</v>
      </c>
      <c r="H33" s="370">
        <v>0</v>
      </c>
      <c r="I33" s="370">
        <v>0</v>
      </c>
      <c r="J33" s="370">
        <v>0</v>
      </c>
      <c r="K33" s="370">
        <v>0</v>
      </c>
      <c r="L33" s="376"/>
      <c r="M33" s="59"/>
      <c r="N33" s="59"/>
      <c r="O33" s="59"/>
      <c r="P33" s="59"/>
      <c r="Q33" s="59"/>
      <c r="R33" s="59"/>
      <c r="S33" s="59"/>
      <c r="T33" s="59"/>
      <c r="U33" s="59"/>
    </row>
    <row r="34" spans="1:21" ht="14.1" customHeight="1" x14ac:dyDescent="0.2">
      <c r="A34" s="54" t="s">
        <v>28</v>
      </c>
      <c r="B34" s="54" t="s">
        <v>214</v>
      </c>
      <c r="C34" s="370">
        <v>-28493557</v>
      </c>
      <c r="D34" s="370">
        <v>-28493557</v>
      </c>
      <c r="E34" s="370">
        <v>0</v>
      </c>
      <c r="F34" s="370">
        <f t="shared" si="0"/>
        <v>-28493557</v>
      </c>
      <c r="G34" s="370">
        <v>0</v>
      </c>
      <c r="H34" s="370">
        <v>0</v>
      </c>
      <c r="I34" s="370">
        <v>0</v>
      </c>
      <c r="J34" s="370">
        <v>0</v>
      </c>
      <c r="K34" s="370">
        <v>0</v>
      </c>
      <c r="L34" s="376"/>
      <c r="M34" s="59"/>
      <c r="N34" s="59"/>
      <c r="O34" s="59"/>
      <c r="P34" s="59"/>
      <c r="Q34" s="59"/>
      <c r="R34" s="59"/>
      <c r="S34" s="59"/>
      <c r="T34" s="59"/>
      <c r="U34" s="59"/>
    </row>
    <row r="35" spans="1:21" ht="14.1" customHeight="1" x14ac:dyDescent="0.2">
      <c r="A35" s="54" t="s">
        <v>29</v>
      </c>
      <c r="B35" s="54" t="s">
        <v>215</v>
      </c>
      <c r="C35" s="370">
        <v>-101717933</v>
      </c>
      <c r="D35" s="370">
        <v>-101717933</v>
      </c>
      <c r="E35" s="370">
        <v>0</v>
      </c>
      <c r="F35" s="370">
        <f t="shared" si="0"/>
        <v>-101717933</v>
      </c>
      <c r="G35" s="370">
        <v>0</v>
      </c>
      <c r="H35" s="370">
        <v>0</v>
      </c>
      <c r="I35" s="370">
        <v>0</v>
      </c>
      <c r="J35" s="370">
        <v>0</v>
      </c>
      <c r="K35" s="370">
        <v>0</v>
      </c>
      <c r="L35" s="376"/>
      <c r="M35" s="59"/>
      <c r="N35" s="59"/>
      <c r="O35" s="59"/>
      <c r="P35" s="59"/>
      <c r="Q35" s="59"/>
      <c r="R35" s="59"/>
      <c r="S35" s="59"/>
      <c r="T35" s="59"/>
      <c r="U35" s="59"/>
    </row>
    <row r="36" spans="1:21" ht="14.1" customHeight="1" x14ac:dyDescent="0.2">
      <c r="A36" s="54" t="s">
        <v>30</v>
      </c>
      <c r="B36" s="54" t="s">
        <v>216</v>
      </c>
      <c r="C36" s="370">
        <v>-174234</v>
      </c>
      <c r="D36" s="370">
        <v>-174234</v>
      </c>
      <c r="E36" s="370">
        <v>0</v>
      </c>
      <c r="F36" s="370">
        <f t="shared" si="0"/>
        <v>-174234</v>
      </c>
      <c r="G36" s="370">
        <v>0</v>
      </c>
      <c r="H36" s="370">
        <v>0</v>
      </c>
      <c r="I36" s="370">
        <v>0</v>
      </c>
      <c r="J36" s="370">
        <v>0</v>
      </c>
      <c r="K36" s="370">
        <v>0</v>
      </c>
      <c r="L36" s="376"/>
      <c r="M36" s="59"/>
      <c r="N36" s="59"/>
      <c r="O36" s="59"/>
      <c r="P36" s="59"/>
      <c r="Q36" s="59"/>
      <c r="R36" s="59"/>
      <c r="S36" s="59"/>
      <c r="T36" s="59"/>
      <c r="U36" s="59"/>
    </row>
    <row r="37" spans="1:21" ht="14.1" customHeight="1" x14ac:dyDescent="0.2">
      <c r="A37" s="54" t="s">
        <v>31</v>
      </c>
      <c r="B37" s="54" t="s">
        <v>217</v>
      </c>
      <c r="C37" s="370">
        <v>-253450000</v>
      </c>
      <c r="D37" s="370">
        <v>-253450000</v>
      </c>
      <c r="E37" s="370">
        <v>0</v>
      </c>
      <c r="F37" s="370">
        <f t="shared" si="0"/>
        <v>-253450000</v>
      </c>
      <c r="G37" s="370">
        <v>0</v>
      </c>
      <c r="H37" s="370">
        <v>0</v>
      </c>
      <c r="I37" s="370">
        <v>0</v>
      </c>
      <c r="J37" s="370">
        <v>0</v>
      </c>
      <c r="K37" s="370">
        <v>0</v>
      </c>
      <c r="L37" s="376"/>
      <c r="M37" s="59"/>
      <c r="N37" s="59"/>
      <c r="O37" s="59"/>
      <c r="P37" s="59"/>
      <c r="Q37" s="59"/>
      <c r="R37" s="59"/>
      <c r="S37" s="59"/>
      <c r="T37" s="59"/>
      <c r="U37" s="59"/>
    </row>
    <row r="38" spans="1:21" ht="14.1" customHeight="1" x14ac:dyDescent="0.2">
      <c r="A38" s="54" t="s">
        <v>32</v>
      </c>
      <c r="B38" s="54" t="s">
        <v>218</v>
      </c>
      <c r="C38" s="370">
        <v>0</v>
      </c>
      <c r="D38" s="370">
        <v>0</v>
      </c>
      <c r="E38" s="370">
        <v>0</v>
      </c>
      <c r="F38" s="370">
        <f t="shared" si="0"/>
        <v>0</v>
      </c>
      <c r="G38" s="370">
        <v>0</v>
      </c>
      <c r="H38" s="370">
        <v>0</v>
      </c>
      <c r="I38" s="370">
        <v>0</v>
      </c>
      <c r="J38" s="370">
        <v>0</v>
      </c>
      <c r="K38" s="370">
        <v>0</v>
      </c>
      <c r="L38" s="376"/>
      <c r="M38" s="59"/>
      <c r="N38" s="59"/>
      <c r="O38" s="59"/>
      <c r="P38" s="59"/>
      <c r="Q38" s="59"/>
      <c r="R38" s="59"/>
      <c r="S38" s="59"/>
      <c r="T38" s="59"/>
      <c r="U38" s="59"/>
    </row>
    <row r="39" spans="1:21" ht="14.1" customHeight="1" x14ac:dyDescent="0.2">
      <c r="A39" s="54" t="s">
        <v>432</v>
      </c>
      <c r="B39" s="54" t="s">
        <v>432</v>
      </c>
      <c r="C39" s="370">
        <v>0</v>
      </c>
      <c r="D39" s="370">
        <v>0</v>
      </c>
      <c r="E39" s="370">
        <v>0</v>
      </c>
      <c r="F39" s="370">
        <f t="shared" si="0"/>
        <v>0</v>
      </c>
      <c r="G39" s="370">
        <v>0</v>
      </c>
      <c r="H39" s="370">
        <v>0</v>
      </c>
      <c r="I39" s="370">
        <v>0</v>
      </c>
      <c r="J39" s="370">
        <v>0</v>
      </c>
      <c r="K39" s="370">
        <v>0</v>
      </c>
      <c r="M39" s="59"/>
      <c r="N39" s="59"/>
      <c r="O39" s="59"/>
      <c r="P39" s="59"/>
      <c r="Q39" s="59"/>
      <c r="R39" s="59"/>
      <c r="S39" s="59"/>
      <c r="T39" s="59"/>
      <c r="U39" s="59"/>
    </row>
    <row r="40" spans="1:21" ht="14.1" customHeight="1" x14ac:dyDescent="0.2">
      <c r="A40" s="54" t="s">
        <v>431</v>
      </c>
      <c r="B40" s="54" t="s">
        <v>401</v>
      </c>
      <c r="C40" s="370">
        <v>-7949854</v>
      </c>
      <c r="D40" s="370">
        <v>-7949854</v>
      </c>
      <c r="E40" s="370">
        <v>0</v>
      </c>
      <c r="F40" s="370">
        <f t="shared" si="0"/>
        <v>-7949854</v>
      </c>
      <c r="G40" s="370">
        <v>0</v>
      </c>
      <c r="H40" s="370">
        <v>0</v>
      </c>
      <c r="I40" s="370">
        <v>0</v>
      </c>
      <c r="J40" s="370">
        <v>0</v>
      </c>
      <c r="K40" s="370">
        <v>0</v>
      </c>
      <c r="L40" s="376" t="s">
        <v>613</v>
      </c>
      <c r="M40" s="59"/>
      <c r="N40" s="59"/>
      <c r="O40" s="59"/>
      <c r="P40" s="59"/>
      <c r="Q40" s="59"/>
      <c r="R40" s="59"/>
      <c r="S40" s="59"/>
      <c r="T40" s="59"/>
      <c r="U40" s="59"/>
    </row>
    <row r="41" spans="1:21" ht="14.1" customHeight="1" x14ac:dyDescent="0.2">
      <c r="A41" s="54" t="s">
        <v>430</v>
      </c>
      <c r="B41" s="54" t="s">
        <v>399</v>
      </c>
      <c r="C41" s="370">
        <v>0</v>
      </c>
      <c r="D41" s="370">
        <v>0</v>
      </c>
      <c r="E41" s="370">
        <v>0</v>
      </c>
      <c r="F41" s="370">
        <f t="shared" si="0"/>
        <v>0</v>
      </c>
      <c r="G41" s="370">
        <v>0</v>
      </c>
      <c r="H41" s="370">
        <v>0</v>
      </c>
      <c r="I41" s="370">
        <v>0</v>
      </c>
      <c r="J41" s="370">
        <v>0</v>
      </c>
      <c r="K41" s="370">
        <v>0</v>
      </c>
      <c r="L41" s="376"/>
      <c r="M41" s="59"/>
      <c r="N41" s="59"/>
      <c r="O41" s="59"/>
      <c r="P41" s="59"/>
      <c r="Q41" s="59"/>
      <c r="R41" s="59"/>
      <c r="S41" s="59"/>
      <c r="T41" s="59"/>
      <c r="U41" s="59"/>
    </row>
    <row r="42" spans="1:21" ht="14.1" customHeight="1" x14ac:dyDescent="0.2">
      <c r="A42" s="54" t="s">
        <v>429</v>
      </c>
      <c r="B42" s="54" t="s">
        <v>397</v>
      </c>
      <c r="C42" s="370">
        <v>0</v>
      </c>
      <c r="D42" s="370">
        <v>0</v>
      </c>
      <c r="E42" s="370">
        <v>0</v>
      </c>
      <c r="F42" s="370">
        <f t="shared" si="0"/>
        <v>0</v>
      </c>
      <c r="G42" s="370">
        <v>0</v>
      </c>
      <c r="H42" s="370">
        <v>0</v>
      </c>
      <c r="I42" s="370">
        <v>0</v>
      </c>
      <c r="J42" s="370">
        <v>0</v>
      </c>
      <c r="K42" s="370">
        <v>0</v>
      </c>
      <c r="L42" s="376"/>
      <c r="M42" s="59"/>
      <c r="N42" s="59"/>
      <c r="O42" s="59"/>
      <c r="P42" s="59"/>
      <c r="Q42" s="59"/>
      <c r="R42" s="59"/>
      <c r="S42" s="59"/>
      <c r="T42" s="59"/>
      <c r="U42" s="59"/>
    </row>
    <row r="43" spans="1:21" ht="14.1" customHeight="1" x14ac:dyDescent="0.2">
      <c r="A43" s="54" t="s">
        <v>428</v>
      </c>
      <c r="B43" s="54" t="s">
        <v>427</v>
      </c>
      <c r="C43" s="370">
        <v>-2</v>
      </c>
      <c r="D43" s="370">
        <v>-2</v>
      </c>
      <c r="E43" s="370">
        <v>0</v>
      </c>
      <c r="F43" s="370">
        <f t="shared" si="0"/>
        <v>-2</v>
      </c>
      <c r="G43" s="370">
        <v>0</v>
      </c>
      <c r="H43" s="370">
        <v>0</v>
      </c>
      <c r="I43" s="370">
        <v>0</v>
      </c>
      <c r="J43" s="370">
        <v>0</v>
      </c>
      <c r="K43" s="370">
        <v>0</v>
      </c>
      <c r="L43" s="376"/>
      <c r="M43" s="59"/>
      <c r="N43" s="59"/>
      <c r="O43" s="59"/>
      <c r="P43" s="59"/>
      <c r="Q43" s="59"/>
      <c r="R43" s="59"/>
      <c r="S43" s="59"/>
      <c r="T43" s="59"/>
      <c r="U43" s="59"/>
    </row>
    <row r="44" spans="1:21" ht="14.1" customHeight="1" x14ac:dyDescent="0.2">
      <c r="A44" s="54" t="s">
        <v>426</v>
      </c>
      <c r="B44" s="54" t="s">
        <v>425</v>
      </c>
      <c r="C44" s="370">
        <v>0</v>
      </c>
      <c r="D44" s="370">
        <v>0</v>
      </c>
      <c r="E44" s="370">
        <v>0</v>
      </c>
      <c r="F44" s="370">
        <f t="shared" si="0"/>
        <v>0</v>
      </c>
      <c r="G44" s="370">
        <v>0</v>
      </c>
      <c r="H44" s="370">
        <v>0</v>
      </c>
      <c r="I44" s="370">
        <v>0</v>
      </c>
      <c r="J44" s="370">
        <v>0</v>
      </c>
      <c r="K44" s="370">
        <v>0</v>
      </c>
      <c r="L44" s="376"/>
      <c r="M44" s="59"/>
      <c r="N44" s="59"/>
      <c r="O44" s="59"/>
      <c r="P44" s="59"/>
      <c r="Q44" s="59"/>
      <c r="R44" s="59"/>
      <c r="S44" s="59"/>
      <c r="T44" s="59"/>
      <c r="U44" s="59"/>
    </row>
    <row r="45" spans="1:21" ht="14.1" customHeight="1" x14ac:dyDescent="0.2">
      <c r="A45" s="54" t="s">
        <v>595</v>
      </c>
      <c r="B45" s="54" t="s">
        <v>596</v>
      </c>
      <c r="C45" s="370">
        <v>331721849</v>
      </c>
      <c r="D45" s="370">
        <v>235326603</v>
      </c>
      <c r="E45" s="370">
        <v>94096247</v>
      </c>
      <c r="F45" s="370">
        <f t="shared" si="0"/>
        <v>329422850</v>
      </c>
      <c r="G45" s="370">
        <v>2112622</v>
      </c>
      <c r="H45" s="370">
        <v>0</v>
      </c>
      <c r="I45" s="370">
        <v>186377</v>
      </c>
      <c r="J45" s="370">
        <v>0</v>
      </c>
      <c r="K45" s="370">
        <v>0</v>
      </c>
      <c r="L45" s="376" t="s">
        <v>612</v>
      </c>
      <c r="M45" s="59"/>
      <c r="N45" s="59"/>
      <c r="O45" s="59"/>
      <c r="P45" s="59"/>
      <c r="Q45" s="59"/>
      <c r="R45" s="59"/>
      <c r="S45" s="59"/>
      <c r="T45" s="59"/>
      <c r="U45" s="59"/>
    </row>
    <row r="46" spans="1:21" ht="14.1" customHeight="1" x14ac:dyDescent="0.2">
      <c r="A46" s="54" t="s">
        <v>597</v>
      </c>
      <c r="B46" s="54" t="s">
        <v>598</v>
      </c>
      <c r="C46" s="370">
        <v>-2845148487</v>
      </c>
      <c r="D46" s="370">
        <v>-2901081285</v>
      </c>
      <c r="E46" s="370">
        <v>608584</v>
      </c>
      <c r="F46" s="370">
        <f t="shared" si="0"/>
        <v>-2900472701</v>
      </c>
      <c r="G46" s="370">
        <v>-2169232</v>
      </c>
      <c r="H46" s="370">
        <v>57493446</v>
      </c>
      <c r="I46" s="370">
        <v>0</v>
      </c>
      <c r="J46" s="370">
        <v>0</v>
      </c>
      <c r="K46" s="370">
        <v>0</v>
      </c>
      <c r="L46" s="376" t="s">
        <v>612</v>
      </c>
      <c r="M46" s="59"/>
      <c r="N46" s="59"/>
      <c r="O46" s="59"/>
      <c r="P46" s="59"/>
      <c r="Q46" s="59"/>
      <c r="R46" s="59"/>
      <c r="S46" s="59"/>
      <c r="T46" s="59"/>
      <c r="U46" s="59"/>
    </row>
    <row r="47" spans="1:21" ht="14.1" customHeight="1" x14ac:dyDescent="0.2">
      <c r="A47" s="54" t="s">
        <v>599</v>
      </c>
      <c r="B47" s="54" t="s">
        <v>600</v>
      </c>
      <c r="C47" s="370">
        <v>-717713930</v>
      </c>
      <c r="D47" s="370">
        <v>-717766195</v>
      </c>
      <c r="E47" s="370">
        <v>52265</v>
      </c>
      <c r="F47" s="370">
        <f t="shared" si="0"/>
        <v>-717713930</v>
      </c>
      <c r="G47" s="370">
        <v>0</v>
      </c>
      <c r="H47" s="370">
        <v>0</v>
      </c>
      <c r="I47" s="370">
        <v>0</v>
      </c>
      <c r="J47" s="370">
        <v>0</v>
      </c>
      <c r="K47" s="370">
        <v>0</v>
      </c>
      <c r="L47" s="376" t="s">
        <v>612</v>
      </c>
      <c r="M47" s="59"/>
      <c r="N47" s="59"/>
      <c r="O47" s="59"/>
      <c r="P47" s="59"/>
      <c r="Q47" s="59"/>
      <c r="R47" s="59"/>
      <c r="S47" s="59"/>
      <c r="T47" s="59"/>
      <c r="U47" s="59"/>
    </row>
    <row r="48" spans="1:21" ht="14.1" customHeight="1" x14ac:dyDescent="0.2">
      <c r="A48" s="54" t="s">
        <v>33</v>
      </c>
      <c r="B48" s="54" t="s">
        <v>219</v>
      </c>
      <c r="C48" s="370">
        <v>642014</v>
      </c>
      <c r="D48" s="370">
        <v>642014</v>
      </c>
      <c r="E48" s="370">
        <v>0</v>
      </c>
      <c r="F48" s="370">
        <f t="shared" si="0"/>
        <v>642014</v>
      </c>
      <c r="G48" s="370">
        <v>0</v>
      </c>
      <c r="H48" s="370">
        <v>0</v>
      </c>
      <c r="I48" s="370">
        <v>0</v>
      </c>
      <c r="J48" s="370">
        <v>0</v>
      </c>
      <c r="K48" s="370">
        <v>0</v>
      </c>
      <c r="L48" s="376"/>
      <c r="M48" s="59"/>
      <c r="N48" s="59"/>
      <c r="O48" s="59"/>
      <c r="P48" s="59"/>
      <c r="Q48" s="59"/>
      <c r="R48" s="59"/>
      <c r="S48" s="59"/>
      <c r="T48" s="59"/>
      <c r="U48" s="59"/>
    </row>
    <row r="49" spans="1:21" ht="14.1" customHeight="1" x14ac:dyDescent="0.2">
      <c r="A49" s="54" t="s">
        <v>34</v>
      </c>
      <c r="B49" s="54" t="s">
        <v>220</v>
      </c>
      <c r="C49" s="370">
        <v>0</v>
      </c>
      <c r="D49" s="370">
        <v>0</v>
      </c>
      <c r="E49" s="370">
        <v>0</v>
      </c>
      <c r="F49" s="370">
        <f t="shared" si="0"/>
        <v>0</v>
      </c>
      <c r="G49" s="370">
        <v>0</v>
      </c>
      <c r="H49" s="370">
        <v>0</v>
      </c>
      <c r="I49" s="370">
        <v>0</v>
      </c>
      <c r="J49" s="370">
        <v>0</v>
      </c>
      <c r="K49" s="370">
        <v>0</v>
      </c>
      <c r="L49" s="376"/>
      <c r="M49" s="59"/>
      <c r="N49" s="59"/>
      <c r="O49" s="59"/>
      <c r="P49" s="59"/>
      <c r="Q49" s="59"/>
      <c r="R49" s="59"/>
      <c r="S49" s="59"/>
      <c r="T49" s="59"/>
      <c r="U49" s="59"/>
    </row>
    <row r="50" spans="1:21" ht="14.1" customHeight="1" x14ac:dyDescent="0.2">
      <c r="A50" s="54" t="s">
        <v>35</v>
      </c>
      <c r="B50" s="54" t="s">
        <v>221</v>
      </c>
      <c r="C50" s="370">
        <v>12971016</v>
      </c>
      <c r="D50" s="370">
        <v>12971016</v>
      </c>
      <c r="E50" s="370">
        <v>0</v>
      </c>
      <c r="F50" s="370">
        <f t="shared" si="0"/>
        <v>12971016</v>
      </c>
      <c r="G50" s="370">
        <v>0</v>
      </c>
      <c r="H50" s="370">
        <v>0</v>
      </c>
      <c r="I50" s="370">
        <v>0</v>
      </c>
      <c r="J50" s="370">
        <v>0</v>
      </c>
      <c r="K50" s="370">
        <v>0</v>
      </c>
      <c r="L50" s="376"/>
      <c r="M50" s="59"/>
      <c r="N50" s="59"/>
      <c r="O50" s="59"/>
      <c r="P50" s="59"/>
      <c r="Q50" s="59"/>
      <c r="R50" s="59"/>
      <c r="S50" s="59"/>
      <c r="T50" s="59"/>
      <c r="U50" s="59"/>
    </row>
    <row r="51" spans="1:21" ht="14.1" customHeight="1" x14ac:dyDescent="0.2">
      <c r="A51" s="54" t="s">
        <v>36</v>
      </c>
      <c r="B51" s="54" t="s">
        <v>222</v>
      </c>
      <c r="C51" s="370">
        <v>168</v>
      </c>
      <c r="D51" s="370">
        <v>0</v>
      </c>
      <c r="E51" s="370">
        <v>168</v>
      </c>
      <c r="F51" s="370">
        <f t="shared" si="0"/>
        <v>168</v>
      </c>
      <c r="G51" s="370">
        <v>0</v>
      </c>
      <c r="H51" s="370">
        <v>0</v>
      </c>
      <c r="I51" s="370">
        <v>0</v>
      </c>
      <c r="J51" s="370">
        <v>0</v>
      </c>
      <c r="K51" s="370">
        <v>0</v>
      </c>
      <c r="L51" s="376"/>
      <c r="M51" s="59"/>
      <c r="N51" s="59"/>
      <c r="O51" s="59"/>
      <c r="P51" s="59"/>
      <c r="Q51" s="59"/>
      <c r="R51" s="59"/>
      <c r="S51" s="59"/>
      <c r="T51" s="59"/>
      <c r="U51" s="59"/>
    </row>
    <row r="52" spans="1:21" ht="14.1" customHeight="1" x14ac:dyDescent="0.2">
      <c r="A52" s="54" t="s">
        <v>37</v>
      </c>
      <c r="B52" s="54" t="s">
        <v>223</v>
      </c>
      <c r="C52" s="370">
        <v>0</v>
      </c>
      <c r="D52" s="370">
        <v>0</v>
      </c>
      <c r="E52" s="370">
        <v>0</v>
      </c>
      <c r="F52" s="370">
        <f t="shared" si="0"/>
        <v>0</v>
      </c>
      <c r="G52" s="370">
        <v>0</v>
      </c>
      <c r="H52" s="370">
        <v>0</v>
      </c>
      <c r="I52" s="370">
        <v>0</v>
      </c>
      <c r="J52" s="370">
        <v>0</v>
      </c>
      <c r="K52" s="370">
        <v>0</v>
      </c>
      <c r="L52" s="376"/>
      <c r="M52" s="59"/>
      <c r="N52" s="59"/>
      <c r="O52" s="59"/>
      <c r="P52" s="59"/>
      <c r="Q52" s="59"/>
      <c r="R52" s="59"/>
      <c r="S52" s="59"/>
      <c r="T52" s="59"/>
      <c r="U52" s="59"/>
    </row>
    <row r="53" spans="1:21" ht="14.1" customHeight="1" x14ac:dyDescent="0.2">
      <c r="A53" s="54" t="s">
        <v>38</v>
      </c>
      <c r="B53" s="54" t="s">
        <v>224</v>
      </c>
      <c r="C53" s="370">
        <v>-459280</v>
      </c>
      <c r="D53" s="370">
        <v>-459280</v>
      </c>
      <c r="E53" s="370">
        <v>0</v>
      </c>
      <c r="F53" s="370">
        <f t="shared" si="0"/>
        <v>-459280</v>
      </c>
      <c r="G53" s="370">
        <v>0</v>
      </c>
      <c r="H53" s="370">
        <v>0</v>
      </c>
      <c r="I53" s="370">
        <v>0</v>
      </c>
      <c r="J53" s="370">
        <v>0</v>
      </c>
      <c r="K53" s="370">
        <v>0</v>
      </c>
      <c r="L53" s="376"/>
      <c r="M53" s="59"/>
      <c r="N53" s="59"/>
      <c r="O53" s="59"/>
      <c r="P53" s="59"/>
      <c r="Q53" s="59"/>
      <c r="R53" s="59"/>
      <c r="S53" s="59"/>
      <c r="T53" s="59"/>
      <c r="U53" s="59"/>
    </row>
    <row r="54" spans="1:21" ht="14.1" customHeight="1" x14ac:dyDescent="0.2">
      <c r="A54" s="54" t="s">
        <v>39</v>
      </c>
      <c r="B54" s="54" t="s">
        <v>225</v>
      </c>
      <c r="C54" s="370">
        <v>-638673</v>
      </c>
      <c r="D54" s="370">
        <v>-638673</v>
      </c>
      <c r="E54" s="370">
        <v>0</v>
      </c>
      <c r="F54" s="370">
        <f t="shared" si="0"/>
        <v>-638673</v>
      </c>
      <c r="G54" s="370">
        <v>0</v>
      </c>
      <c r="H54" s="370">
        <v>0</v>
      </c>
      <c r="I54" s="370">
        <v>0</v>
      </c>
      <c r="J54" s="370">
        <v>0</v>
      </c>
      <c r="K54" s="370">
        <v>0</v>
      </c>
      <c r="L54" s="376"/>
      <c r="M54" s="59"/>
      <c r="N54" s="59"/>
      <c r="O54" s="59"/>
      <c r="P54" s="59"/>
      <c r="Q54" s="59"/>
      <c r="R54" s="59"/>
      <c r="S54" s="59"/>
      <c r="T54" s="59"/>
      <c r="U54" s="59"/>
    </row>
    <row r="55" spans="1:21" ht="14.1" customHeight="1" x14ac:dyDescent="0.2">
      <c r="A55" s="54" t="s">
        <v>40</v>
      </c>
      <c r="B55" s="54" t="s">
        <v>226</v>
      </c>
      <c r="C55" s="370">
        <v>-23363118</v>
      </c>
      <c r="D55" s="370">
        <v>-23363118</v>
      </c>
      <c r="E55" s="370">
        <v>0</v>
      </c>
      <c r="F55" s="370">
        <f t="shared" si="0"/>
        <v>-23363118</v>
      </c>
      <c r="G55" s="370">
        <v>0</v>
      </c>
      <c r="H55" s="370">
        <v>0</v>
      </c>
      <c r="I55" s="370">
        <v>0</v>
      </c>
      <c r="J55" s="370">
        <v>0</v>
      </c>
      <c r="K55" s="370">
        <v>0</v>
      </c>
      <c r="L55" s="376"/>
      <c r="M55" s="59"/>
      <c r="N55" s="59"/>
      <c r="O55" s="59"/>
      <c r="P55" s="59"/>
      <c r="Q55" s="59"/>
      <c r="R55" s="59"/>
      <c r="S55" s="59"/>
      <c r="T55" s="59"/>
      <c r="U55" s="59"/>
    </row>
    <row r="56" spans="1:21" ht="14.1" customHeight="1" x14ac:dyDescent="0.2">
      <c r="A56" s="54" t="s">
        <v>41</v>
      </c>
      <c r="B56" s="54" t="s">
        <v>227</v>
      </c>
      <c r="C56" s="370">
        <v>410685</v>
      </c>
      <c r="D56" s="370">
        <v>410685</v>
      </c>
      <c r="E56" s="370">
        <v>0</v>
      </c>
      <c r="F56" s="370">
        <f t="shared" si="0"/>
        <v>410685</v>
      </c>
      <c r="G56" s="370">
        <v>0</v>
      </c>
      <c r="H56" s="370">
        <v>0</v>
      </c>
      <c r="I56" s="370">
        <v>0</v>
      </c>
      <c r="J56" s="370">
        <v>0</v>
      </c>
      <c r="K56" s="370">
        <v>0</v>
      </c>
      <c r="L56" s="376"/>
      <c r="M56" s="59"/>
      <c r="N56" s="59"/>
      <c r="O56" s="59"/>
      <c r="P56" s="59"/>
      <c r="Q56" s="59"/>
      <c r="R56" s="59"/>
      <c r="S56" s="59"/>
      <c r="T56" s="59"/>
      <c r="U56" s="59"/>
    </row>
    <row r="57" spans="1:21" ht="14.1" customHeight="1" x14ac:dyDescent="0.2">
      <c r="A57" s="54" t="s">
        <v>42</v>
      </c>
      <c r="B57" s="54" t="s">
        <v>228</v>
      </c>
      <c r="C57" s="370">
        <v>90312391</v>
      </c>
      <c r="D57" s="370">
        <v>90312391</v>
      </c>
      <c r="E57" s="370">
        <v>0</v>
      </c>
      <c r="F57" s="370">
        <f t="shared" si="0"/>
        <v>90312391</v>
      </c>
      <c r="G57" s="370">
        <v>0</v>
      </c>
      <c r="H57" s="370">
        <v>0</v>
      </c>
      <c r="I57" s="370">
        <v>0</v>
      </c>
      <c r="J57" s="370">
        <v>0</v>
      </c>
      <c r="K57" s="370">
        <v>0</v>
      </c>
      <c r="L57" s="376"/>
      <c r="M57" s="59"/>
      <c r="N57" s="59"/>
      <c r="O57" s="59"/>
      <c r="P57" s="59"/>
      <c r="Q57" s="59"/>
      <c r="R57" s="59"/>
      <c r="S57" s="59"/>
      <c r="T57" s="59"/>
      <c r="U57" s="59"/>
    </row>
    <row r="58" spans="1:21" ht="14.1" customHeight="1" x14ac:dyDescent="0.2">
      <c r="A58" s="54" t="s">
        <v>43</v>
      </c>
      <c r="B58" s="54" t="s">
        <v>229</v>
      </c>
      <c r="C58" s="370">
        <v>180249675</v>
      </c>
      <c r="D58" s="370">
        <v>-1</v>
      </c>
      <c r="E58" s="370">
        <v>180249676</v>
      </c>
      <c r="F58" s="370">
        <f t="shared" si="0"/>
        <v>180249675</v>
      </c>
      <c r="G58" s="370">
        <v>0</v>
      </c>
      <c r="H58" s="370">
        <v>0</v>
      </c>
      <c r="I58" s="370">
        <v>0</v>
      </c>
      <c r="J58" s="370">
        <v>0</v>
      </c>
      <c r="K58" s="370">
        <v>0</v>
      </c>
      <c r="L58" s="376"/>
      <c r="M58" s="59"/>
      <c r="N58" s="59"/>
      <c r="O58" s="59"/>
      <c r="P58" s="59"/>
      <c r="Q58" s="59"/>
      <c r="R58" s="59"/>
      <c r="S58" s="59"/>
      <c r="T58" s="59"/>
      <c r="U58" s="59"/>
    </row>
    <row r="59" spans="1:21" ht="14.1" customHeight="1" x14ac:dyDescent="0.2">
      <c r="A59" s="54" t="s">
        <v>44</v>
      </c>
      <c r="B59" s="54" t="s">
        <v>230</v>
      </c>
      <c r="C59" s="370">
        <v>-3</v>
      </c>
      <c r="D59" s="370">
        <v>-3</v>
      </c>
      <c r="E59" s="370">
        <v>0</v>
      </c>
      <c r="F59" s="370">
        <f t="shared" si="0"/>
        <v>-3</v>
      </c>
      <c r="G59" s="370">
        <v>0</v>
      </c>
      <c r="H59" s="370">
        <v>0</v>
      </c>
      <c r="I59" s="370">
        <v>0</v>
      </c>
      <c r="J59" s="370">
        <v>0</v>
      </c>
      <c r="K59" s="370">
        <v>0</v>
      </c>
      <c r="L59" s="376"/>
      <c r="M59" s="59"/>
      <c r="N59" s="59"/>
      <c r="O59" s="59"/>
      <c r="P59" s="59"/>
      <c r="Q59" s="59"/>
      <c r="R59" s="59"/>
      <c r="S59" s="59"/>
      <c r="T59" s="59"/>
      <c r="U59" s="59"/>
    </row>
    <row r="60" spans="1:21" ht="14.1" customHeight="1" x14ac:dyDescent="0.2">
      <c r="A60" s="54" t="s">
        <v>45</v>
      </c>
      <c r="B60" s="54" t="s">
        <v>231</v>
      </c>
      <c r="C60" s="370">
        <v>-192803233</v>
      </c>
      <c r="D60" s="370">
        <v>-300177186</v>
      </c>
      <c r="E60" s="370">
        <v>-16178</v>
      </c>
      <c r="F60" s="370">
        <f t="shared" si="0"/>
        <v>-300193364</v>
      </c>
      <c r="G60" s="370">
        <v>-2751319</v>
      </c>
      <c r="H60" s="370">
        <v>110141450</v>
      </c>
      <c r="I60" s="370">
        <v>0</v>
      </c>
      <c r="J60" s="370">
        <v>0</v>
      </c>
      <c r="K60" s="370">
        <v>0</v>
      </c>
      <c r="L60" s="376"/>
      <c r="M60" s="59"/>
      <c r="N60" s="59"/>
      <c r="O60" s="59"/>
      <c r="P60" s="59"/>
      <c r="Q60" s="59"/>
      <c r="R60" s="59"/>
      <c r="S60" s="59"/>
      <c r="T60" s="59"/>
      <c r="U60" s="59"/>
    </row>
    <row r="61" spans="1:21" ht="14.1" customHeight="1" x14ac:dyDescent="0.2">
      <c r="A61" s="54" t="s">
        <v>46</v>
      </c>
      <c r="B61" s="54" t="s">
        <v>232</v>
      </c>
      <c r="C61" s="370">
        <v>92600759</v>
      </c>
      <c r="D61" s="370">
        <v>94005085</v>
      </c>
      <c r="E61" s="370">
        <v>0</v>
      </c>
      <c r="F61" s="370">
        <f t="shared" si="0"/>
        <v>94005085</v>
      </c>
      <c r="G61" s="370">
        <v>-1404326</v>
      </c>
      <c r="H61" s="370">
        <v>0</v>
      </c>
      <c r="I61" s="370">
        <v>0</v>
      </c>
      <c r="J61" s="370">
        <v>0</v>
      </c>
      <c r="K61" s="370">
        <v>0</v>
      </c>
      <c r="L61" s="376"/>
      <c r="M61" s="59"/>
      <c r="N61" s="59"/>
      <c r="O61" s="59"/>
      <c r="P61" s="59"/>
      <c r="Q61" s="59"/>
      <c r="R61" s="59"/>
      <c r="S61" s="59"/>
      <c r="T61" s="59"/>
      <c r="U61" s="59"/>
    </row>
    <row r="62" spans="1:21" ht="14.1" customHeight="1" x14ac:dyDescent="0.2">
      <c r="A62" s="54" t="s">
        <v>47</v>
      </c>
      <c r="B62" s="54" t="s">
        <v>233</v>
      </c>
      <c r="C62" s="370">
        <v>541080899</v>
      </c>
      <c r="D62" s="370">
        <v>541080899</v>
      </c>
      <c r="E62" s="370">
        <v>0</v>
      </c>
      <c r="F62" s="370">
        <f t="shared" si="0"/>
        <v>541080899</v>
      </c>
      <c r="G62" s="370">
        <v>0</v>
      </c>
      <c r="H62" s="370">
        <v>0</v>
      </c>
      <c r="I62" s="370">
        <v>0</v>
      </c>
      <c r="J62" s="370">
        <v>0</v>
      </c>
      <c r="K62" s="370">
        <v>0</v>
      </c>
      <c r="L62" s="376"/>
      <c r="M62" s="59"/>
      <c r="N62" s="59"/>
      <c r="O62" s="59"/>
      <c r="P62" s="59"/>
      <c r="Q62" s="59"/>
      <c r="R62" s="59"/>
      <c r="S62" s="59"/>
      <c r="T62" s="59"/>
      <c r="U62" s="59"/>
    </row>
    <row r="63" spans="1:21" ht="14.1" customHeight="1" x14ac:dyDescent="0.2">
      <c r="A63" s="54" t="s">
        <v>48</v>
      </c>
      <c r="B63" s="54" t="s">
        <v>234</v>
      </c>
      <c r="C63" s="370">
        <v>-15166803</v>
      </c>
      <c r="D63" s="370">
        <v>-15166803</v>
      </c>
      <c r="E63" s="370">
        <v>0</v>
      </c>
      <c r="F63" s="370">
        <f t="shared" si="0"/>
        <v>-15166803</v>
      </c>
      <c r="G63" s="370">
        <v>0</v>
      </c>
      <c r="H63" s="370">
        <v>0</v>
      </c>
      <c r="I63" s="370">
        <v>0</v>
      </c>
      <c r="J63" s="370">
        <v>0</v>
      </c>
      <c r="K63" s="370">
        <v>0</v>
      </c>
      <c r="L63" s="376"/>
      <c r="M63" s="59"/>
      <c r="N63" s="59"/>
      <c r="O63" s="59"/>
      <c r="P63" s="59"/>
      <c r="Q63" s="59"/>
      <c r="R63" s="59"/>
      <c r="S63" s="59"/>
      <c r="T63" s="59"/>
      <c r="U63" s="59"/>
    </row>
    <row r="64" spans="1:21" ht="14.1" customHeight="1" x14ac:dyDescent="0.2">
      <c r="A64" s="54" t="s">
        <v>49</v>
      </c>
      <c r="B64" s="54" t="s">
        <v>235</v>
      </c>
      <c r="C64" s="370">
        <v>1718335</v>
      </c>
      <c r="D64" s="370">
        <v>1718335</v>
      </c>
      <c r="E64" s="370">
        <v>0</v>
      </c>
      <c r="F64" s="370">
        <f t="shared" si="0"/>
        <v>1718335</v>
      </c>
      <c r="G64" s="370">
        <v>0</v>
      </c>
      <c r="H64" s="370">
        <v>0</v>
      </c>
      <c r="I64" s="370">
        <v>0</v>
      </c>
      <c r="J64" s="370">
        <v>0</v>
      </c>
      <c r="K64" s="370">
        <v>0</v>
      </c>
      <c r="L64" s="376"/>
      <c r="M64" s="59"/>
      <c r="N64" s="59"/>
      <c r="O64" s="59"/>
      <c r="P64" s="59"/>
      <c r="Q64" s="59"/>
      <c r="R64" s="59"/>
      <c r="S64" s="59"/>
      <c r="T64" s="59"/>
      <c r="U64" s="59"/>
    </row>
    <row r="65" spans="1:21" ht="14.1" customHeight="1" x14ac:dyDescent="0.2">
      <c r="A65" s="54" t="s">
        <v>50</v>
      </c>
      <c r="B65" s="54" t="s">
        <v>236</v>
      </c>
      <c r="C65" s="370">
        <v>0</v>
      </c>
      <c r="D65" s="370">
        <v>0</v>
      </c>
      <c r="E65" s="370">
        <v>0</v>
      </c>
      <c r="F65" s="370">
        <f t="shared" si="0"/>
        <v>0</v>
      </c>
      <c r="G65" s="370">
        <v>0</v>
      </c>
      <c r="H65" s="370">
        <v>0</v>
      </c>
      <c r="I65" s="370">
        <v>0</v>
      </c>
      <c r="J65" s="370">
        <v>0</v>
      </c>
      <c r="K65" s="370">
        <v>0</v>
      </c>
      <c r="L65" s="376"/>
      <c r="M65" s="59"/>
      <c r="N65" s="59"/>
      <c r="O65" s="59"/>
      <c r="P65" s="59"/>
      <c r="Q65" s="59"/>
      <c r="R65" s="59"/>
      <c r="S65" s="59"/>
      <c r="T65" s="59"/>
      <c r="U65" s="59"/>
    </row>
    <row r="66" spans="1:21" ht="14.1" customHeight="1" x14ac:dyDescent="0.2">
      <c r="A66" s="54" t="s">
        <v>51</v>
      </c>
      <c r="B66" s="54" t="s">
        <v>237</v>
      </c>
      <c r="C66" s="370">
        <v>0</v>
      </c>
      <c r="D66" s="370">
        <v>0</v>
      </c>
      <c r="E66" s="370">
        <v>0</v>
      </c>
      <c r="F66" s="370">
        <f t="shared" si="0"/>
        <v>0</v>
      </c>
      <c r="G66" s="370">
        <v>0</v>
      </c>
      <c r="H66" s="370">
        <v>0</v>
      </c>
      <c r="I66" s="370">
        <v>0</v>
      </c>
      <c r="J66" s="370">
        <v>0</v>
      </c>
      <c r="K66" s="370">
        <v>0</v>
      </c>
      <c r="L66" s="376"/>
      <c r="M66" s="59"/>
      <c r="N66" s="59"/>
      <c r="O66" s="59"/>
      <c r="P66" s="59"/>
      <c r="Q66" s="59"/>
      <c r="R66" s="59"/>
      <c r="S66" s="59"/>
      <c r="T66" s="59"/>
      <c r="U66" s="59"/>
    </row>
    <row r="67" spans="1:21" ht="14.1" customHeight="1" x14ac:dyDescent="0.2">
      <c r="A67" s="54" t="s">
        <v>52</v>
      </c>
      <c r="B67" s="54" t="s">
        <v>238</v>
      </c>
      <c r="C67" s="370">
        <v>0</v>
      </c>
      <c r="D67" s="370">
        <v>0</v>
      </c>
      <c r="E67" s="370">
        <v>0</v>
      </c>
      <c r="F67" s="370">
        <f t="shared" si="0"/>
        <v>0</v>
      </c>
      <c r="G67" s="370">
        <v>0</v>
      </c>
      <c r="H67" s="370">
        <v>0</v>
      </c>
      <c r="I67" s="370">
        <v>0</v>
      </c>
      <c r="J67" s="370">
        <v>0</v>
      </c>
      <c r="K67" s="370">
        <v>0</v>
      </c>
      <c r="L67" s="376"/>
      <c r="M67" s="59"/>
      <c r="N67" s="59"/>
      <c r="O67" s="59"/>
      <c r="P67" s="59"/>
      <c r="Q67" s="59"/>
      <c r="R67" s="59"/>
      <c r="S67" s="59"/>
      <c r="T67" s="59"/>
      <c r="U67" s="59"/>
    </row>
    <row r="68" spans="1:21" ht="14.1" customHeight="1" x14ac:dyDescent="0.2">
      <c r="A68" s="54" t="s">
        <v>424</v>
      </c>
      <c r="B68" s="54" t="s">
        <v>423</v>
      </c>
      <c r="C68" s="370">
        <v>203106808</v>
      </c>
      <c r="D68" s="370">
        <v>203106808</v>
      </c>
      <c r="E68" s="370">
        <v>0</v>
      </c>
      <c r="F68" s="370">
        <f t="shared" si="0"/>
        <v>203106808</v>
      </c>
      <c r="G68" s="370">
        <v>0</v>
      </c>
      <c r="H68" s="370">
        <v>0</v>
      </c>
      <c r="I68" s="370">
        <v>0</v>
      </c>
      <c r="J68" s="370">
        <v>0</v>
      </c>
      <c r="K68" s="370">
        <v>0</v>
      </c>
      <c r="L68" s="376"/>
      <c r="M68" s="59"/>
      <c r="N68" s="59"/>
      <c r="O68" s="59"/>
      <c r="P68" s="59"/>
      <c r="Q68" s="59"/>
      <c r="R68" s="59"/>
      <c r="S68" s="59"/>
      <c r="T68" s="59"/>
      <c r="U68" s="59"/>
    </row>
    <row r="69" spans="1:21" ht="14.1" customHeight="1" x14ac:dyDescent="0.2">
      <c r="A69" s="54" t="s">
        <v>422</v>
      </c>
      <c r="B69" s="54" t="s">
        <v>421</v>
      </c>
      <c r="C69" s="370">
        <v>0</v>
      </c>
      <c r="D69" s="370">
        <v>0</v>
      </c>
      <c r="E69" s="370">
        <v>0</v>
      </c>
      <c r="F69" s="370">
        <f t="shared" si="0"/>
        <v>0</v>
      </c>
      <c r="G69" s="370">
        <v>0</v>
      </c>
      <c r="H69" s="370">
        <v>0</v>
      </c>
      <c r="I69" s="370">
        <v>0</v>
      </c>
      <c r="J69" s="370">
        <v>0</v>
      </c>
      <c r="K69" s="370">
        <v>0</v>
      </c>
      <c r="L69" s="376"/>
      <c r="M69" s="59"/>
      <c r="N69" s="59"/>
      <c r="O69" s="59"/>
      <c r="P69" s="59"/>
      <c r="Q69" s="59"/>
      <c r="R69" s="59"/>
      <c r="S69" s="59"/>
      <c r="T69" s="59"/>
      <c r="U69" s="59"/>
    </row>
    <row r="70" spans="1:21" ht="14.1" customHeight="1" x14ac:dyDescent="0.2">
      <c r="A70" s="54" t="s">
        <v>53</v>
      </c>
      <c r="B70" s="54" t="s">
        <v>239</v>
      </c>
      <c r="C70" s="370">
        <v>0</v>
      </c>
      <c r="D70" s="370">
        <v>0</v>
      </c>
      <c r="E70" s="370">
        <v>0</v>
      </c>
      <c r="F70" s="370">
        <f t="shared" si="0"/>
        <v>0</v>
      </c>
      <c r="G70" s="370">
        <v>0</v>
      </c>
      <c r="H70" s="370">
        <v>0</v>
      </c>
      <c r="I70" s="370">
        <v>0</v>
      </c>
      <c r="J70" s="370">
        <v>0</v>
      </c>
      <c r="K70" s="370">
        <v>0</v>
      </c>
      <c r="L70" s="376"/>
      <c r="M70" s="59"/>
      <c r="N70" s="59"/>
      <c r="O70" s="59"/>
      <c r="P70" s="59"/>
      <c r="Q70" s="59"/>
      <c r="R70" s="59"/>
      <c r="S70" s="59"/>
      <c r="T70" s="59"/>
      <c r="U70" s="59"/>
    </row>
    <row r="71" spans="1:21" ht="14.1" customHeight="1" x14ac:dyDescent="0.2">
      <c r="A71" s="54" t="s">
        <v>54</v>
      </c>
      <c r="B71" s="54" t="s">
        <v>240</v>
      </c>
      <c r="C71" s="370">
        <v>0</v>
      </c>
      <c r="D71" s="370">
        <v>0</v>
      </c>
      <c r="E71" s="370">
        <v>0</v>
      </c>
      <c r="F71" s="370">
        <f t="shared" si="0"/>
        <v>0</v>
      </c>
      <c r="G71" s="370">
        <v>0</v>
      </c>
      <c r="H71" s="370">
        <v>0</v>
      </c>
      <c r="I71" s="370">
        <v>0</v>
      </c>
      <c r="J71" s="370">
        <v>0</v>
      </c>
      <c r="K71" s="370">
        <v>0</v>
      </c>
      <c r="L71" s="376"/>
      <c r="M71" s="59"/>
      <c r="N71" s="59"/>
      <c r="O71" s="59"/>
      <c r="P71" s="59"/>
      <c r="Q71" s="59"/>
      <c r="R71" s="59"/>
      <c r="S71" s="59"/>
      <c r="T71" s="59"/>
      <c r="U71" s="59"/>
    </row>
    <row r="72" spans="1:21" ht="14.1" customHeight="1" x14ac:dyDescent="0.2">
      <c r="A72" s="54" t="s">
        <v>55</v>
      </c>
      <c r="B72" s="54" t="s">
        <v>241</v>
      </c>
      <c r="C72" s="370">
        <v>0</v>
      </c>
      <c r="D72" s="370">
        <v>0</v>
      </c>
      <c r="E72" s="370">
        <v>0</v>
      </c>
      <c r="F72" s="370">
        <f t="shared" si="0"/>
        <v>0</v>
      </c>
      <c r="G72" s="370">
        <v>0</v>
      </c>
      <c r="H72" s="370">
        <v>0</v>
      </c>
      <c r="I72" s="370">
        <v>0</v>
      </c>
      <c r="J72" s="370">
        <v>0</v>
      </c>
      <c r="K72" s="370">
        <v>0</v>
      </c>
      <c r="L72" s="376"/>
      <c r="M72" s="59"/>
      <c r="N72" s="59"/>
      <c r="O72" s="59"/>
      <c r="P72" s="59"/>
      <c r="Q72" s="59"/>
      <c r="R72" s="59"/>
      <c r="S72" s="59"/>
      <c r="T72" s="59"/>
      <c r="U72" s="59"/>
    </row>
    <row r="73" spans="1:21" ht="14.1" customHeight="1" x14ac:dyDescent="0.2">
      <c r="A73" s="54" t="s">
        <v>420</v>
      </c>
      <c r="B73" s="54" t="s">
        <v>419</v>
      </c>
      <c r="C73" s="370">
        <v>0</v>
      </c>
      <c r="D73" s="370">
        <v>0</v>
      </c>
      <c r="E73" s="370">
        <v>0</v>
      </c>
      <c r="F73" s="370">
        <f t="shared" ref="F73:F136" si="1">D73+E73</f>
        <v>0</v>
      </c>
      <c r="G73" s="370">
        <v>0</v>
      </c>
      <c r="H73" s="370">
        <v>0</v>
      </c>
      <c r="I73" s="370">
        <v>0</v>
      </c>
      <c r="J73" s="370">
        <v>0</v>
      </c>
      <c r="K73" s="370">
        <v>0</v>
      </c>
      <c r="L73" s="376"/>
      <c r="M73" s="59"/>
      <c r="N73" s="59"/>
      <c r="O73" s="59"/>
      <c r="P73" s="59"/>
      <c r="Q73" s="59"/>
      <c r="R73" s="59"/>
      <c r="S73" s="59"/>
      <c r="T73" s="59"/>
      <c r="U73" s="59"/>
    </row>
    <row r="74" spans="1:21" ht="14.1" customHeight="1" x14ac:dyDescent="0.2">
      <c r="A74" s="54" t="s">
        <v>418</v>
      </c>
      <c r="B74" s="54" t="s">
        <v>417</v>
      </c>
      <c r="C74" s="370">
        <v>0</v>
      </c>
      <c r="D74" s="370">
        <v>0</v>
      </c>
      <c r="E74" s="370">
        <v>0</v>
      </c>
      <c r="F74" s="370">
        <f t="shared" si="1"/>
        <v>0</v>
      </c>
      <c r="G74" s="370">
        <v>0</v>
      </c>
      <c r="H74" s="370">
        <v>0</v>
      </c>
      <c r="I74" s="370">
        <v>0</v>
      </c>
      <c r="J74" s="370">
        <v>0</v>
      </c>
      <c r="K74" s="370">
        <v>0</v>
      </c>
      <c r="L74" s="376"/>
      <c r="M74" s="59"/>
      <c r="N74" s="59"/>
      <c r="O74" s="59"/>
      <c r="P74" s="59"/>
      <c r="Q74" s="59"/>
      <c r="R74" s="59"/>
      <c r="S74" s="59"/>
      <c r="T74" s="59"/>
      <c r="U74" s="59"/>
    </row>
    <row r="75" spans="1:21" ht="14.1" customHeight="1" x14ac:dyDescent="0.2">
      <c r="A75" s="54" t="s">
        <v>416</v>
      </c>
      <c r="B75" s="54" t="s">
        <v>415</v>
      </c>
      <c r="C75" s="370">
        <v>0</v>
      </c>
      <c r="D75" s="370">
        <v>0</v>
      </c>
      <c r="E75" s="370">
        <v>0</v>
      </c>
      <c r="F75" s="370">
        <f t="shared" si="1"/>
        <v>0</v>
      </c>
      <c r="G75" s="370">
        <v>0</v>
      </c>
      <c r="H75" s="370">
        <v>0</v>
      </c>
      <c r="I75" s="370">
        <v>0</v>
      </c>
      <c r="J75" s="370">
        <v>0</v>
      </c>
      <c r="K75" s="370">
        <v>0</v>
      </c>
      <c r="L75" s="376"/>
      <c r="M75" s="59"/>
      <c r="N75" s="59"/>
      <c r="O75" s="59"/>
      <c r="P75" s="59"/>
      <c r="Q75" s="59"/>
      <c r="R75" s="59"/>
      <c r="S75" s="59"/>
      <c r="T75" s="59"/>
      <c r="U75" s="59"/>
    </row>
    <row r="76" spans="1:21" ht="14.1" customHeight="1" x14ac:dyDescent="0.2">
      <c r="A76" s="54" t="s">
        <v>414</v>
      </c>
      <c r="B76" s="54" t="s">
        <v>413</v>
      </c>
      <c r="C76" s="370">
        <v>0</v>
      </c>
      <c r="D76" s="370">
        <v>0</v>
      </c>
      <c r="E76" s="370">
        <v>0</v>
      </c>
      <c r="F76" s="370">
        <f t="shared" si="1"/>
        <v>0</v>
      </c>
      <c r="G76" s="370">
        <v>0</v>
      </c>
      <c r="H76" s="370">
        <v>0</v>
      </c>
      <c r="I76" s="370">
        <v>0</v>
      </c>
      <c r="J76" s="370">
        <v>0</v>
      </c>
      <c r="K76" s="370">
        <v>0</v>
      </c>
      <c r="L76" s="376"/>
      <c r="M76" s="59"/>
      <c r="N76" s="59"/>
      <c r="O76" s="59"/>
      <c r="P76" s="59"/>
      <c r="Q76" s="59"/>
      <c r="R76" s="59"/>
      <c r="S76" s="59"/>
      <c r="T76" s="59"/>
      <c r="U76" s="59"/>
    </row>
    <row r="77" spans="1:21" ht="14.1" customHeight="1" x14ac:dyDescent="0.2">
      <c r="A77" s="54" t="s">
        <v>56</v>
      </c>
      <c r="B77" s="54" t="s">
        <v>242</v>
      </c>
      <c r="C77" s="370">
        <v>-351041126</v>
      </c>
      <c r="D77" s="370">
        <v>-350927879</v>
      </c>
      <c r="E77" s="370">
        <v>-113247</v>
      </c>
      <c r="F77" s="370">
        <f t="shared" si="1"/>
        <v>-351041126</v>
      </c>
      <c r="G77" s="370">
        <v>0</v>
      </c>
      <c r="H77" s="370">
        <v>0</v>
      </c>
      <c r="I77" s="370">
        <v>0</v>
      </c>
      <c r="J77" s="370">
        <v>0</v>
      </c>
      <c r="K77" s="370">
        <v>0</v>
      </c>
      <c r="L77" s="376"/>
      <c r="M77" s="59"/>
      <c r="N77" s="59"/>
      <c r="O77" s="59"/>
      <c r="P77" s="59"/>
      <c r="Q77" s="59"/>
      <c r="R77" s="59"/>
      <c r="S77" s="59"/>
      <c r="T77" s="59"/>
      <c r="U77" s="59"/>
    </row>
    <row r="78" spans="1:21" ht="14.1" customHeight="1" x14ac:dyDescent="0.2">
      <c r="A78" s="54" t="s">
        <v>57</v>
      </c>
      <c r="B78" s="54" t="s">
        <v>243</v>
      </c>
      <c r="C78" s="370">
        <v>22051710</v>
      </c>
      <c r="D78" s="370">
        <v>22051710</v>
      </c>
      <c r="E78" s="370">
        <v>0</v>
      </c>
      <c r="F78" s="370">
        <f t="shared" si="1"/>
        <v>22051710</v>
      </c>
      <c r="G78" s="370">
        <v>0</v>
      </c>
      <c r="H78" s="370">
        <v>0</v>
      </c>
      <c r="I78" s="370">
        <v>0</v>
      </c>
      <c r="J78" s="370">
        <v>0</v>
      </c>
      <c r="K78" s="370">
        <v>0</v>
      </c>
      <c r="L78" s="376"/>
      <c r="M78" s="59"/>
      <c r="N78" s="59"/>
      <c r="O78" s="59"/>
      <c r="P78" s="59"/>
      <c r="Q78" s="59"/>
      <c r="R78" s="59"/>
      <c r="S78" s="59"/>
      <c r="T78" s="59"/>
      <c r="U78" s="59"/>
    </row>
    <row r="79" spans="1:21" ht="14.1" customHeight="1" x14ac:dyDescent="0.2">
      <c r="A79" s="54" t="s">
        <v>58</v>
      </c>
      <c r="B79" s="54" t="s">
        <v>244</v>
      </c>
      <c r="C79" s="370">
        <v>-886552</v>
      </c>
      <c r="D79" s="370">
        <v>-886552</v>
      </c>
      <c r="E79" s="370">
        <v>0</v>
      </c>
      <c r="F79" s="370">
        <f t="shared" si="1"/>
        <v>-886552</v>
      </c>
      <c r="G79" s="370">
        <v>0</v>
      </c>
      <c r="H79" s="370">
        <v>0</v>
      </c>
      <c r="I79" s="370">
        <v>0</v>
      </c>
      <c r="J79" s="370">
        <v>0</v>
      </c>
      <c r="K79" s="370">
        <v>0</v>
      </c>
      <c r="L79" s="376"/>
      <c r="M79" s="59"/>
      <c r="N79" s="59"/>
      <c r="O79" s="59"/>
      <c r="P79" s="59"/>
      <c r="Q79" s="59"/>
      <c r="R79" s="59"/>
      <c r="S79" s="59"/>
      <c r="T79" s="59"/>
      <c r="U79" s="59"/>
    </row>
    <row r="80" spans="1:21" ht="14.1" customHeight="1" x14ac:dyDescent="0.2">
      <c r="A80" s="54" t="s">
        <v>412</v>
      </c>
      <c r="B80" s="54" t="s">
        <v>411</v>
      </c>
      <c r="C80" s="370">
        <v>1024529</v>
      </c>
      <c r="D80" s="370">
        <v>1024529</v>
      </c>
      <c r="E80" s="370">
        <v>0</v>
      </c>
      <c r="F80" s="370">
        <f t="shared" si="1"/>
        <v>1024529</v>
      </c>
      <c r="G80" s="370">
        <v>0</v>
      </c>
      <c r="H80" s="370">
        <v>0</v>
      </c>
      <c r="I80" s="370">
        <v>0</v>
      </c>
      <c r="J80" s="370">
        <v>0</v>
      </c>
      <c r="K80" s="370">
        <v>0</v>
      </c>
      <c r="L80" s="376"/>
      <c r="M80" s="59"/>
      <c r="N80" s="59"/>
      <c r="O80" s="59"/>
      <c r="P80" s="59"/>
      <c r="Q80" s="59"/>
      <c r="R80" s="59"/>
      <c r="S80" s="59"/>
      <c r="T80" s="59"/>
      <c r="U80" s="59"/>
    </row>
    <row r="81" spans="1:21" ht="14.1" customHeight="1" x14ac:dyDescent="0.2">
      <c r="A81" s="54" t="s">
        <v>410</v>
      </c>
      <c r="B81" s="54" t="s">
        <v>409</v>
      </c>
      <c r="C81" s="370">
        <v>-170755</v>
      </c>
      <c r="D81" s="370">
        <v>-170755</v>
      </c>
      <c r="E81" s="370">
        <v>0</v>
      </c>
      <c r="F81" s="370">
        <f t="shared" si="1"/>
        <v>-170755</v>
      </c>
      <c r="G81" s="370">
        <v>0</v>
      </c>
      <c r="H81" s="370">
        <v>0</v>
      </c>
      <c r="I81" s="370">
        <v>0</v>
      </c>
      <c r="J81" s="370">
        <v>0</v>
      </c>
      <c r="K81" s="370">
        <v>0</v>
      </c>
      <c r="L81" s="376"/>
      <c r="M81" s="59"/>
      <c r="N81" s="59"/>
      <c r="O81" s="59"/>
      <c r="P81" s="59"/>
      <c r="Q81" s="59"/>
      <c r="R81" s="59"/>
      <c r="S81" s="59"/>
      <c r="T81" s="59"/>
      <c r="U81" s="59"/>
    </row>
    <row r="82" spans="1:21" ht="14.1" customHeight="1" x14ac:dyDescent="0.2">
      <c r="A82" s="54" t="s">
        <v>408</v>
      </c>
      <c r="B82" s="54" t="s">
        <v>407</v>
      </c>
      <c r="C82" s="370">
        <v>0</v>
      </c>
      <c r="D82" s="370">
        <v>0</v>
      </c>
      <c r="E82" s="370">
        <v>0</v>
      </c>
      <c r="F82" s="370">
        <f t="shared" si="1"/>
        <v>0</v>
      </c>
      <c r="G82" s="370">
        <v>0</v>
      </c>
      <c r="H82" s="370">
        <v>0</v>
      </c>
      <c r="I82" s="370">
        <v>0</v>
      </c>
      <c r="J82" s="370">
        <v>0</v>
      </c>
      <c r="K82" s="370">
        <v>0</v>
      </c>
      <c r="L82" s="376"/>
      <c r="M82" s="59"/>
      <c r="N82" s="59"/>
      <c r="O82" s="59"/>
      <c r="P82" s="59"/>
      <c r="Q82" s="59"/>
      <c r="R82" s="59"/>
      <c r="S82" s="59"/>
      <c r="T82" s="59"/>
      <c r="U82" s="59"/>
    </row>
    <row r="83" spans="1:21" ht="14.1" customHeight="1" x14ac:dyDescent="0.2">
      <c r="A83" s="54" t="s">
        <v>59</v>
      </c>
      <c r="B83" s="54" t="s">
        <v>245</v>
      </c>
      <c r="C83" s="370">
        <v>-639728</v>
      </c>
      <c r="D83" s="370">
        <v>-639728</v>
      </c>
      <c r="E83" s="370">
        <v>0</v>
      </c>
      <c r="F83" s="370">
        <f t="shared" si="1"/>
        <v>-639728</v>
      </c>
      <c r="G83" s="370">
        <v>0</v>
      </c>
      <c r="H83" s="370">
        <v>0</v>
      </c>
      <c r="I83" s="370">
        <v>0</v>
      </c>
      <c r="J83" s="370">
        <v>0</v>
      </c>
      <c r="K83" s="370">
        <v>0</v>
      </c>
      <c r="L83" s="376"/>
      <c r="M83" s="59"/>
      <c r="N83" s="59"/>
      <c r="O83" s="59"/>
      <c r="P83" s="59"/>
      <c r="Q83" s="59"/>
      <c r="R83" s="59"/>
      <c r="S83" s="59"/>
      <c r="T83" s="59"/>
      <c r="U83" s="59"/>
    </row>
    <row r="84" spans="1:21" ht="14.1" customHeight="1" x14ac:dyDescent="0.2">
      <c r="A84" s="54" t="s">
        <v>462</v>
      </c>
      <c r="B84" s="54" t="s">
        <v>461</v>
      </c>
      <c r="C84" s="370">
        <v>25615</v>
      </c>
      <c r="D84" s="370">
        <v>0</v>
      </c>
      <c r="E84" s="370">
        <v>25615</v>
      </c>
      <c r="F84" s="370">
        <f t="shared" si="1"/>
        <v>25615</v>
      </c>
      <c r="G84" s="370">
        <v>0</v>
      </c>
      <c r="H84" s="370">
        <v>0</v>
      </c>
      <c r="I84" s="370">
        <v>0</v>
      </c>
      <c r="J84" s="370">
        <v>0</v>
      </c>
      <c r="K84" s="370">
        <v>0</v>
      </c>
      <c r="L84" s="376"/>
      <c r="M84" s="59"/>
      <c r="N84" s="59"/>
      <c r="O84" s="59"/>
      <c r="P84" s="59"/>
      <c r="Q84" s="59"/>
      <c r="R84" s="59"/>
      <c r="S84" s="59"/>
      <c r="T84" s="59"/>
      <c r="U84" s="59"/>
    </row>
    <row r="85" spans="1:21" ht="14.1" customHeight="1" x14ac:dyDescent="0.2">
      <c r="A85" s="54" t="s">
        <v>456</v>
      </c>
      <c r="B85" s="54" t="s">
        <v>455</v>
      </c>
      <c r="C85" s="370">
        <v>-5322820100</v>
      </c>
      <c r="D85" s="370">
        <v>-5322820100</v>
      </c>
      <c r="E85" s="370">
        <v>0</v>
      </c>
      <c r="F85" s="370">
        <f t="shared" si="1"/>
        <v>-5322820100</v>
      </c>
      <c r="G85" s="370">
        <v>0</v>
      </c>
      <c r="H85" s="370">
        <v>0</v>
      </c>
      <c r="I85" s="370">
        <v>0</v>
      </c>
      <c r="J85" s="370">
        <v>0</v>
      </c>
      <c r="K85" s="370">
        <v>0</v>
      </c>
      <c r="L85" s="376"/>
      <c r="M85" s="59"/>
      <c r="N85" s="59"/>
      <c r="O85" s="59"/>
      <c r="P85" s="59"/>
      <c r="Q85" s="59"/>
      <c r="R85" s="59"/>
      <c r="S85" s="59"/>
      <c r="T85" s="59"/>
      <c r="U85" s="59"/>
    </row>
    <row r="86" spans="1:21" ht="14.1" customHeight="1" x14ac:dyDescent="0.2">
      <c r="A86" s="54" t="s">
        <v>60</v>
      </c>
      <c r="B86" s="54" t="s">
        <v>246</v>
      </c>
      <c r="C86" s="370">
        <v>2758883</v>
      </c>
      <c r="D86" s="370">
        <v>0</v>
      </c>
      <c r="E86" s="370">
        <v>0</v>
      </c>
      <c r="F86" s="370">
        <f t="shared" si="1"/>
        <v>0</v>
      </c>
      <c r="G86" s="370">
        <v>0</v>
      </c>
      <c r="H86" s="370">
        <v>2758883</v>
      </c>
      <c r="I86" s="370">
        <v>0</v>
      </c>
      <c r="J86" s="370">
        <v>0</v>
      </c>
      <c r="K86" s="370">
        <v>0</v>
      </c>
      <c r="L86" s="376"/>
      <c r="M86" s="59"/>
      <c r="N86" s="59"/>
      <c r="O86" s="59"/>
      <c r="P86" s="59"/>
      <c r="Q86" s="59"/>
      <c r="R86" s="59"/>
      <c r="S86" s="59"/>
      <c r="T86" s="59"/>
      <c r="U86" s="59"/>
    </row>
    <row r="87" spans="1:21" ht="14.1" customHeight="1" x14ac:dyDescent="0.2">
      <c r="A87" s="54" t="s">
        <v>61</v>
      </c>
      <c r="B87" s="54" t="s">
        <v>247</v>
      </c>
      <c r="C87" s="370">
        <v>-2758883</v>
      </c>
      <c r="D87" s="370">
        <v>0</v>
      </c>
      <c r="E87" s="370">
        <v>0</v>
      </c>
      <c r="F87" s="370">
        <f t="shared" si="1"/>
        <v>0</v>
      </c>
      <c r="G87" s="370">
        <v>0</v>
      </c>
      <c r="H87" s="370">
        <v>-2758883</v>
      </c>
      <c r="I87" s="370">
        <v>0</v>
      </c>
      <c r="J87" s="370">
        <v>0</v>
      </c>
      <c r="K87" s="370">
        <v>0</v>
      </c>
      <c r="L87" s="376"/>
      <c r="M87" s="59"/>
      <c r="N87" s="59"/>
      <c r="O87" s="59"/>
      <c r="P87" s="59"/>
      <c r="Q87" s="59"/>
      <c r="R87" s="59"/>
      <c r="S87" s="59"/>
      <c r="T87" s="59"/>
      <c r="U87" s="59"/>
    </row>
    <row r="88" spans="1:21" ht="14.1" customHeight="1" x14ac:dyDescent="0.2">
      <c r="A88" s="54" t="s">
        <v>62</v>
      </c>
      <c r="B88" s="54" t="s">
        <v>248</v>
      </c>
      <c r="C88" s="370">
        <v>0</v>
      </c>
      <c r="D88" s="370">
        <v>0</v>
      </c>
      <c r="E88" s="370">
        <v>0</v>
      </c>
      <c r="F88" s="370">
        <f t="shared" si="1"/>
        <v>0</v>
      </c>
      <c r="G88" s="370">
        <v>0</v>
      </c>
      <c r="H88" s="370">
        <v>0</v>
      </c>
      <c r="I88" s="370">
        <v>0</v>
      </c>
      <c r="J88" s="370">
        <v>0</v>
      </c>
      <c r="K88" s="370">
        <v>0</v>
      </c>
      <c r="L88" s="376"/>
      <c r="M88" s="59"/>
      <c r="N88" s="59"/>
      <c r="O88" s="59"/>
      <c r="P88" s="59"/>
      <c r="Q88" s="59"/>
      <c r="R88" s="59"/>
      <c r="S88" s="59"/>
      <c r="T88" s="59"/>
      <c r="U88" s="59"/>
    </row>
    <row r="89" spans="1:21" ht="14.1" customHeight="1" x14ac:dyDescent="0.2">
      <c r="A89" s="54" t="s">
        <v>63</v>
      </c>
      <c r="B89" s="54" t="s">
        <v>249</v>
      </c>
      <c r="C89" s="370">
        <v>0</v>
      </c>
      <c r="D89" s="370">
        <v>0</v>
      </c>
      <c r="E89" s="370">
        <v>0</v>
      </c>
      <c r="F89" s="370">
        <f t="shared" si="1"/>
        <v>0</v>
      </c>
      <c r="G89" s="370">
        <v>0</v>
      </c>
      <c r="H89" s="370">
        <v>0</v>
      </c>
      <c r="I89" s="370">
        <v>0</v>
      </c>
      <c r="J89" s="370">
        <v>0</v>
      </c>
      <c r="K89" s="370">
        <v>0</v>
      </c>
      <c r="L89" s="376"/>
      <c r="M89" s="59"/>
      <c r="N89" s="59"/>
      <c r="O89" s="59"/>
      <c r="P89" s="59"/>
      <c r="Q89" s="59"/>
      <c r="R89" s="59"/>
      <c r="S89" s="59"/>
      <c r="T89" s="59"/>
      <c r="U89" s="59"/>
    </row>
    <row r="90" spans="1:21" ht="14.1" customHeight="1" x14ac:dyDescent="0.2">
      <c r="A90" s="54" t="s">
        <v>64</v>
      </c>
      <c r="B90" s="54" t="s">
        <v>250</v>
      </c>
      <c r="C90" s="370">
        <v>0</v>
      </c>
      <c r="D90" s="370">
        <v>0</v>
      </c>
      <c r="E90" s="370">
        <v>0</v>
      </c>
      <c r="F90" s="370">
        <f t="shared" si="1"/>
        <v>0</v>
      </c>
      <c r="G90" s="370">
        <v>0</v>
      </c>
      <c r="H90" s="370">
        <v>0</v>
      </c>
      <c r="I90" s="370">
        <v>0</v>
      </c>
      <c r="J90" s="370">
        <v>0</v>
      </c>
      <c r="K90" s="370">
        <v>0</v>
      </c>
      <c r="L90" s="376"/>
      <c r="M90" s="59"/>
      <c r="N90" s="59"/>
      <c r="O90" s="59"/>
      <c r="P90" s="59"/>
      <c r="Q90" s="59"/>
      <c r="R90" s="59"/>
      <c r="S90" s="59"/>
      <c r="T90" s="59"/>
      <c r="U90" s="59"/>
    </row>
    <row r="91" spans="1:21" ht="14.1" customHeight="1" x14ac:dyDescent="0.2">
      <c r="A91" s="54" t="s">
        <v>65</v>
      </c>
      <c r="B91" s="54" t="s">
        <v>251</v>
      </c>
      <c r="C91" s="370">
        <v>0</v>
      </c>
      <c r="D91" s="370">
        <v>0</v>
      </c>
      <c r="E91" s="370">
        <v>0</v>
      </c>
      <c r="F91" s="370">
        <f t="shared" si="1"/>
        <v>0</v>
      </c>
      <c r="G91" s="370">
        <v>0</v>
      </c>
      <c r="H91" s="370">
        <v>0</v>
      </c>
      <c r="I91" s="370">
        <v>0</v>
      </c>
      <c r="J91" s="370">
        <v>0</v>
      </c>
      <c r="K91" s="370">
        <v>0</v>
      </c>
      <c r="L91" s="376"/>
      <c r="M91" s="59"/>
      <c r="N91" s="59"/>
      <c r="O91" s="59"/>
      <c r="P91" s="59"/>
      <c r="Q91" s="59"/>
      <c r="R91" s="59"/>
      <c r="S91" s="59"/>
      <c r="T91" s="59"/>
      <c r="U91" s="59"/>
    </row>
    <row r="92" spans="1:21" ht="14.1" customHeight="1" x14ac:dyDescent="0.2">
      <c r="A92" s="54" t="s">
        <v>66</v>
      </c>
      <c r="B92" s="54" t="s">
        <v>252</v>
      </c>
      <c r="C92" s="370">
        <v>0</v>
      </c>
      <c r="D92" s="370">
        <v>0</v>
      </c>
      <c r="E92" s="370">
        <v>0</v>
      </c>
      <c r="F92" s="370">
        <f t="shared" si="1"/>
        <v>0</v>
      </c>
      <c r="G92" s="370">
        <v>0</v>
      </c>
      <c r="H92" s="370">
        <v>0</v>
      </c>
      <c r="I92" s="370">
        <v>0</v>
      </c>
      <c r="J92" s="370">
        <v>0</v>
      </c>
      <c r="K92" s="370">
        <v>0</v>
      </c>
      <c r="L92" s="376"/>
      <c r="M92" s="59"/>
      <c r="N92" s="59"/>
      <c r="O92" s="59"/>
      <c r="P92" s="59"/>
      <c r="Q92" s="59"/>
      <c r="R92" s="59"/>
      <c r="S92" s="59"/>
      <c r="T92" s="59"/>
      <c r="U92" s="59"/>
    </row>
    <row r="93" spans="1:21" ht="14.1" customHeight="1" x14ac:dyDescent="0.2">
      <c r="A93" s="54" t="s">
        <v>67</v>
      </c>
      <c r="B93" s="54" t="s">
        <v>253</v>
      </c>
      <c r="C93" s="370">
        <v>0</v>
      </c>
      <c r="D93" s="370">
        <v>0</v>
      </c>
      <c r="E93" s="370">
        <v>0</v>
      </c>
      <c r="F93" s="370">
        <f t="shared" si="1"/>
        <v>0</v>
      </c>
      <c r="G93" s="370">
        <v>0</v>
      </c>
      <c r="H93" s="370">
        <v>0</v>
      </c>
      <c r="I93" s="370">
        <v>0</v>
      </c>
      <c r="J93" s="370">
        <v>0</v>
      </c>
      <c r="K93" s="370">
        <v>0</v>
      </c>
      <c r="L93" s="376"/>
      <c r="M93" s="59"/>
      <c r="N93" s="59"/>
      <c r="O93" s="59"/>
      <c r="P93" s="59"/>
      <c r="Q93" s="59"/>
      <c r="R93" s="59"/>
      <c r="S93" s="59"/>
      <c r="T93" s="59"/>
      <c r="U93" s="59"/>
    </row>
    <row r="94" spans="1:21" ht="14.1" customHeight="1" x14ac:dyDescent="0.2">
      <c r="A94" s="54" t="s">
        <v>68</v>
      </c>
      <c r="B94" s="54" t="s">
        <v>254</v>
      </c>
      <c r="C94" s="370">
        <v>0</v>
      </c>
      <c r="D94" s="370">
        <v>0</v>
      </c>
      <c r="E94" s="370">
        <v>0</v>
      </c>
      <c r="F94" s="370">
        <f t="shared" si="1"/>
        <v>0</v>
      </c>
      <c r="G94" s="370">
        <v>0</v>
      </c>
      <c r="H94" s="370">
        <v>0</v>
      </c>
      <c r="I94" s="370">
        <v>0</v>
      </c>
      <c r="J94" s="370">
        <v>0</v>
      </c>
      <c r="K94" s="370">
        <v>0</v>
      </c>
      <c r="L94" s="376"/>
      <c r="M94" s="59"/>
      <c r="N94" s="59"/>
      <c r="O94" s="59"/>
      <c r="P94" s="59"/>
      <c r="Q94" s="59"/>
      <c r="R94" s="59"/>
      <c r="S94" s="59"/>
      <c r="T94" s="59"/>
      <c r="U94" s="59"/>
    </row>
    <row r="95" spans="1:21" ht="14.1" customHeight="1" x14ac:dyDescent="0.2">
      <c r="A95" s="54" t="s">
        <v>69</v>
      </c>
      <c r="B95" s="54" t="s">
        <v>255</v>
      </c>
      <c r="C95" s="370">
        <v>0</v>
      </c>
      <c r="D95" s="370">
        <v>0</v>
      </c>
      <c r="E95" s="370">
        <v>0</v>
      </c>
      <c r="F95" s="370">
        <f t="shared" si="1"/>
        <v>0</v>
      </c>
      <c r="G95" s="370">
        <v>0</v>
      </c>
      <c r="H95" s="370">
        <v>0</v>
      </c>
      <c r="I95" s="370">
        <v>0</v>
      </c>
      <c r="J95" s="370">
        <v>0</v>
      </c>
      <c r="K95" s="370">
        <v>0</v>
      </c>
      <c r="L95" s="376"/>
      <c r="M95" s="59"/>
      <c r="N95" s="59"/>
      <c r="O95" s="59"/>
      <c r="P95" s="59"/>
      <c r="Q95" s="59"/>
      <c r="R95" s="59"/>
      <c r="S95" s="59"/>
      <c r="T95" s="59"/>
      <c r="U95" s="59"/>
    </row>
    <row r="96" spans="1:21" ht="14.1" customHeight="1" x14ac:dyDescent="0.2">
      <c r="A96" s="54" t="s">
        <v>70</v>
      </c>
      <c r="B96" s="54" t="s">
        <v>256</v>
      </c>
      <c r="C96" s="370">
        <v>0</v>
      </c>
      <c r="D96" s="370">
        <v>0</v>
      </c>
      <c r="E96" s="370">
        <v>0</v>
      </c>
      <c r="F96" s="370">
        <f t="shared" si="1"/>
        <v>0</v>
      </c>
      <c r="G96" s="370">
        <v>0</v>
      </c>
      <c r="H96" s="370">
        <v>0</v>
      </c>
      <c r="I96" s="370">
        <v>0</v>
      </c>
      <c r="J96" s="370">
        <v>0</v>
      </c>
      <c r="K96" s="370">
        <v>0</v>
      </c>
      <c r="L96" s="376"/>
      <c r="M96" s="59"/>
      <c r="N96" s="59"/>
      <c r="O96" s="59"/>
      <c r="P96" s="59"/>
      <c r="Q96" s="59"/>
      <c r="R96" s="59"/>
      <c r="S96" s="59"/>
      <c r="T96" s="59"/>
      <c r="U96" s="59"/>
    </row>
    <row r="97" spans="1:21" ht="14.1" customHeight="1" x14ac:dyDescent="0.2">
      <c r="A97" s="54" t="s">
        <v>71</v>
      </c>
      <c r="B97" s="54" t="s">
        <v>257</v>
      </c>
      <c r="C97" s="370">
        <v>0</v>
      </c>
      <c r="D97" s="370">
        <v>0</v>
      </c>
      <c r="E97" s="370">
        <v>0</v>
      </c>
      <c r="F97" s="370">
        <f t="shared" si="1"/>
        <v>0</v>
      </c>
      <c r="G97" s="370">
        <v>0</v>
      </c>
      <c r="H97" s="370">
        <v>0</v>
      </c>
      <c r="I97" s="370">
        <v>0</v>
      </c>
      <c r="J97" s="370">
        <v>0</v>
      </c>
      <c r="K97" s="370">
        <v>0</v>
      </c>
      <c r="L97" s="376"/>
      <c r="M97" s="59"/>
      <c r="N97" s="59"/>
      <c r="O97" s="59"/>
      <c r="P97" s="59"/>
      <c r="Q97" s="59"/>
      <c r="R97" s="59"/>
      <c r="S97" s="59"/>
      <c r="T97" s="59"/>
      <c r="U97" s="59"/>
    </row>
    <row r="98" spans="1:21" ht="14.1" customHeight="1" x14ac:dyDescent="0.2">
      <c r="A98" s="54" t="s">
        <v>72</v>
      </c>
      <c r="B98" s="54" t="s">
        <v>258</v>
      </c>
      <c r="C98" s="370">
        <v>0</v>
      </c>
      <c r="D98" s="370">
        <v>0</v>
      </c>
      <c r="E98" s="370">
        <v>0</v>
      </c>
      <c r="F98" s="370">
        <f t="shared" si="1"/>
        <v>0</v>
      </c>
      <c r="G98" s="370">
        <v>0</v>
      </c>
      <c r="H98" s="370">
        <v>0</v>
      </c>
      <c r="I98" s="370">
        <v>0</v>
      </c>
      <c r="J98" s="370">
        <v>0</v>
      </c>
      <c r="K98" s="370">
        <v>0</v>
      </c>
      <c r="L98" s="376"/>
      <c r="M98" s="59"/>
      <c r="N98" s="59"/>
      <c r="O98" s="59"/>
      <c r="P98" s="59"/>
      <c r="Q98" s="59"/>
      <c r="R98" s="59"/>
      <c r="S98" s="59"/>
      <c r="T98" s="59"/>
      <c r="U98" s="59"/>
    </row>
    <row r="99" spans="1:21" ht="14.1" customHeight="1" x14ac:dyDescent="0.2">
      <c r="A99" s="54" t="s">
        <v>73</v>
      </c>
      <c r="B99" s="54" t="s">
        <v>259</v>
      </c>
      <c r="C99" s="370">
        <v>0</v>
      </c>
      <c r="D99" s="370">
        <v>0</v>
      </c>
      <c r="E99" s="370">
        <v>0</v>
      </c>
      <c r="F99" s="370">
        <f t="shared" si="1"/>
        <v>0</v>
      </c>
      <c r="G99" s="370">
        <v>0</v>
      </c>
      <c r="H99" s="370">
        <v>0</v>
      </c>
      <c r="I99" s="370">
        <v>0</v>
      </c>
      <c r="J99" s="370">
        <v>0</v>
      </c>
      <c r="K99" s="370">
        <v>0</v>
      </c>
      <c r="L99" s="376"/>
      <c r="M99" s="59"/>
      <c r="N99" s="59"/>
      <c r="O99" s="59"/>
      <c r="P99" s="59"/>
      <c r="Q99" s="59"/>
      <c r="R99" s="59"/>
      <c r="S99" s="59"/>
      <c r="T99" s="59"/>
      <c r="U99" s="59"/>
    </row>
    <row r="100" spans="1:21" ht="14.1" customHeight="1" x14ac:dyDescent="0.2">
      <c r="A100" s="54" t="s">
        <v>74</v>
      </c>
      <c r="B100" s="54" t="s">
        <v>260</v>
      </c>
      <c r="C100" s="370">
        <v>0</v>
      </c>
      <c r="D100" s="370">
        <v>0</v>
      </c>
      <c r="E100" s="370">
        <v>0</v>
      </c>
      <c r="F100" s="370">
        <f t="shared" si="1"/>
        <v>0</v>
      </c>
      <c r="G100" s="370">
        <v>0</v>
      </c>
      <c r="H100" s="370">
        <v>0</v>
      </c>
      <c r="I100" s="370">
        <v>0</v>
      </c>
      <c r="J100" s="370">
        <v>0</v>
      </c>
      <c r="K100" s="370">
        <v>0</v>
      </c>
      <c r="L100" s="376"/>
      <c r="M100" s="59"/>
      <c r="N100" s="59"/>
      <c r="O100" s="59"/>
      <c r="P100" s="59"/>
      <c r="Q100" s="59"/>
      <c r="R100" s="59"/>
      <c r="S100" s="59"/>
      <c r="T100" s="59"/>
      <c r="U100" s="59"/>
    </row>
    <row r="101" spans="1:21" ht="14.1" customHeight="1" x14ac:dyDescent="0.2">
      <c r="A101" s="54" t="s">
        <v>75</v>
      </c>
      <c r="B101" s="54" t="s">
        <v>261</v>
      </c>
      <c r="C101" s="370">
        <v>-342369288</v>
      </c>
      <c r="D101" s="370">
        <v>-342369288</v>
      </c>
      <c r="E101" s="370">
        <v>0</v>
      </c>
      <c r="F101" s="370">
        <f t="shared" si="1"/>
        <v>-342369288</v>
      </c>
      <c r="G101" s="370">
        <v>0</v>
      </c>
      <c r="H101" s="370">
        <v>0</v>
      </c>
      <c r="I101" s="370">
        <v>0</v>
      </c>
      <c r="J101" s="370">
        <v>0</v>
      </c>
      <c r="K101" s="370">
        <v>0</v>
      </c>
      <c r="L101" s="376"/>
      <c r="M101" s="59"/>
      <c r="N101" s="59"/>
      <c r="O101" s="59"/>
      <c r="P101" s="59"/>
      <c r="Q101" s="59"/>
      <c r="R101" s="59"/>
      <c r="S101" s="59"/>
      <c r="T101" s="59"/>
      <c r="U101" s="59"/>
    </row>
    <row r="102" spans="1:21" ht="14.1" customHeight="1" x14ac:dyDescent="0.2">
      <c r="A102" s="54" t="s">
        <v>76</v>
      </c>
      <c r="B102" s="54" t="s">
        <v>262</v>
      </c>
      <c r="C102" s="370">
        <v>684539</v>
      </c>
      <c r="D102" s="370">
        <v>684539</v>
      </c>
      <c r="E102" s="370">
        <v>0</v>
      </c>
      <c r="F102" s="370">
        <f t="shared" si="1"/>
        <v>684539</v>
      </c>
      <c r="G102" s="370">
        <v>0</v>
      </c>
      <c r="H102" s="370">
        <v>0</v>
      </c>
      <c r="I102" s="370">
        <v>0</v>
      </c>
      <c r="J102" s="370">
        <v>0</v>
      </c>
      <c r="K102" s="370">
        <v>0</v>
      </c>
      <c r="L102" s="376"/>
      <c r="M102" s="59"/>
      <c r="N102" s="59"/>
      <c r="O102" s="59"/>
      <c r="P102" s="59"/>
      <c r="Q102" s="59"/>
      <c r="R102" s="59"/>
      <c r="S102" s="59"/>
      <c r="T102" s="59"/>
      <c r="U102" s="59"/>
    </row>
    <row r="103" spans="1:21" ht="14.1" customHeight="1" x14ac:dyDescent="0.2">
      <c r="A103" s="54" t="s">
        <v>77</v>
      </c>
      <c r="B103" s="54" t="s">
        <v>263</v>
      </c>
      <c r="C103" s="370">
        <v>28570524</v>
      </c>
      <c r="D103" s="370">
        <v>28570524</v>
      </c>
      <c r="E103" s="370">
        <v>0</v>
      </c>
      <c r="F103" s="370">
        <f t="shared" si="1"/>
        <v>28570524</v>
      </c>
      <c r="G103" s="370">
        <v>0</v>
      </c>
      <c r="H103" s="370">
        <v>0</v>
      </c>
      <c r="I103" s="370">
        <v>0</v>
      </c>
      <c r="J103" s="370">
        <v>0</v>
      </c>
      <c r="K103" s="370">
        <v>0</v>
      </c>
      <c r="L103" s="376"/>
      <c r="M103" s="59"/>
      <c r="N103" s="59"/>
      <c r="O103" s="59"/>
      <c r="P103" s="59"/>
      <c r="Q103" s="59"/>
      <c r="R103" s="59"/>
      <c r="S103" s="59"/>
      <c r="T103" s="59"/>
      <c r="U103" s="59"/>
    </row>
    <row r="104" spans="1:21" ht="14.1" customHeight="1" x14ac:dyDescent="0.2">
      <c r="A104" s="54" t="s">
        <v>78</v>
      </c>
      <c r="B104" s="54" t="s">
        <v>264</v>
      </c>
      <c r="C104" s="370">
        <v>2322408</v>
      </c>
      <c r="D104" s="370">
        <v>2322408</v>
      </c>
      <c r="E104" s="370">
        <v>0</v>
      </c>
      <c r="F104" s="370">
        <f t="shared" si="1"/>
        <v>2322408</v>
      </c>
      <c r="G104" s="370">
        <v>0</v>
      </c>
      <c r="H104" s="370">
        <v>0</v>
      </c>
      <c r="I104" s="370">
        <v>0</v>
      </c>
      <c r="J104" s="370">
        <v>0</v>
      </c>
      <c r="K104" s="370">
        <v>0</v>
      </c>
      <c r="L104" s="376"/>
      <c r="M104" s="59"/>
      <c r="N104" s="59"/>
      <c r="O104" s="59"/>
      <c r="P104" s="59"/>
      <c r="Q104" s="59"/>
      <c r="R104" s="59"/>
      <c r="S104" s="59"/>
      <c r="T104" s="59"/>
      <c r="U104" s="59"/>
    </row>
    <row r="105" spans="1:21" ht="14.1" customHeight="1" x14ac:dyDescent="0.2">
      <c r="A105" s="54" t="s">
        <v>79</v>
      </c>
      <c r="B105" s="54" t="s">
        <v>265</v>
      </c>
      <c r="C105" s="370">
        <v>4832785</v>
      </c>
      <c r="D105" s="370">
        <v>4832785</v>
      </c>
      <c r="E105" s="370">
        <v>0</v>
      </c>
      <c r="F105" s="370">
        <f t="shared" si="1"/>
        <v>4832785</v>
      </c>
      <c r="G105" s="370">
        <v>0</v>
      </c>
      <c r="H105" s="370">
        <v>0</v>
      </c>
      <c r="I105" s="370">
        <v>0</v>
      </c>
      <c r="J105" s="370">
        <v>0</v>
      </c>
      <c r="K105" s="370">
        <v>0</v>
      </c>
      <c r="L105" s="376"/>
      <c r="M105" s="59"/>
      <c r="N105" s="59"/>
      <c r="O105" s="59"/>
      <c r="P105" s="59"/>
      <c r="Q105" s="59"/>
      <c r="R105" s="59"/>
      <c r="S105" s="59"/>
      <c r="T105" s="59"/>
      <c r="U105" s="59"/>
    </row>
    <row r="106" spans="1:21" ht="14.1" customHeight="1" x14ac:dyDescent="0.2">
      <c r="A106" s="54" t="s">
        <v>80</v>
      </c>
      <c r="B106" s="54" t="s">
        <v>266</v>
      </c>
      <c r="C106" s="370">
        <v>3625883</v>
      </c>
      <c r="D106" s="370">
        <v>3625883</v>
      </c>
      <c r="E106" s="370">
        <v>0</v>
      </c>
      <c r="F106" s="370">
        <f t="shared" si="1"/>
        <v>3625883</v>
      </c>
      <c r="G106" s="370">
        <v>0</v>
      </c>
      <c r="H106" s="370">
        <v>0</v>
      </c>
      <c r="I106" s="370">
        <v>0</v>
      </c>
      <c r="J106" s="370">
        <v>0</v>
      </c>
      <c r="K106" s="370">
        <v>0</v>
      </c>
      <c r="L106" s="376"/>
      <c r="M106" s="59"/>
      <c r="N106" s="59"/>
      <c r="O106" s="59"/>
      <c r="P106" s="59"/>
      <c r="Q106" s="59"/>
      <c r="R106" s="59"/>
      <c r="S106" s="59"/>
      <c r="T106" s="59"/>
      <c r="U106" s="59"/>
    </row>
    <row r="107" spans="1:21" ht="14.1" customHeight="1" x14ac:dyDescent="0.2">
      <c r="A107" s="54" t="s">
        <v>81</v>
      </c>
      <c r="B107" s="54" t="s">
        <v>267</v>
      </c>
      <c r="C107" s="370">
        <v>4016090</v>
      </c>
      <c r="D107" s="370">
        <v>4016090</v>
      </c>
      <c r="E107" s="370">
        <v>0</v>
      </c>
      <c r="F107" s="370">
        <f t="shared" si="1"/>
        <v>4016090</v>
      </c>
      <c r="G107" s="370">
        <v>0</v>
      </c>
      <c r="H107" s="370">
        <v>0</v>
      </c>
      <c r="I107" s="370">
        <v>0</v>
      </c>
      <c r="J107" s="370">
        <v>0</v>
      </c>
      <c r="K107" s="370">
        <v>0</v>
      </c>
      <c r="L107" s="376"/>
      <c r="M107" s="59"/>
      <c r="N107" s="59"/>
      <c r="O107" s="59"/>
      <c r="P107" s="59"/>
      <c r="Q107" s="59"/>
      <c r="R107" s="59"/>
      <c r="S107" s="59"/>
      <c r="T107" s="59"/>
      <c r="U107" s="59"/>
    </row>
    <row r="108" spans="1:21" ht="14.1" customHeight="1" x14ac:dyDescent="0.2">
      <c r="A108" s="54" t="s">
        <v>82</v>
      </c>
      <c r="B108" s="54" t="s">
        <v>268</v>
      </c>
      <c r="C108" s="370">
        <v>47728230</v>
      </c>
      <c r="D108" s="370">
        <v>47728230</v>
      </c>
      <c r="E108" s="370">
        <v>0</v>
      </c>
      <c r="F108" s="370">
        <f t="shared" si="1"/>
        <v>47728230</v>
      </c>
      <c r="G108" s="370">
        <v>0</v>
      </c>
      <c r="H108" s="370">
        <v>0</v>
      </c>
      <c r="I108" s="370">
        <v>0</v>
      </c>
      <c r="J108" s="370">
        <v>0</v>
      </c>
      <c r="K108" s="370">
        <v>0</v>
      </c>
      <c r="L108" s="376"/>
      <c r="M108" s="59"/>
      <c r="N108" s="59"/>
      <c r="O108" s="59"/>
      <c r="P108" s="59"/>
      <c r="Q108" s="59"/>
      <c r="R108" s="59"/>
      <c r="S108" s="59"/>
      <c r="T108" s="59"/>
      <c r="U108" s="59"/>
    </row>
    <row r="109" spans="1:21" ht="14.1" customHeight="1" x14ac:dyDescent="0.2">
      <c r="A109" s="54" t="s">
        <v>83</v>
      </c>
      <c r="B109" s="54" t="s">
        <v>269</v>
      </c>
      <c r="C109" s="370">
        <v>-1180151</v>
      </c>
      <c r="D109" s="370">
        <v>-1180151</v>
      </c>
      <c r="E109" s="370">
        <v>0</v>
      </c>
      <c r="F109" s="370">
        <f t="shared" si="1"/>
        <v>-1180151</v>
      </c>
      <c r="G109" s="370">
        <v>0</v>
      </c>
      <c r="H109" s="370">
        <v>0</v>
      </c>
      <c r="I109" s="370">
        <v>0</v>
      </c>
      <c r="J109" s="370">
        <v>0</v>
      </c>
      <c r="K109" s="370">
        <v>0</v>
      </c>
      <c r="L109" s="376"/>
      <c r="M109" s="59"/>
      <c r="N109" s="59"/>
      <c r="O109" s="59"/>
      <c r="P109" s="59"/>
      <c r="Q109" s="59"/>
      <c r="R109" s="59"/>
      <c r="S109" s="59"/>
      <c r="T109" s="59"/>
      <c r="U109" s="59"/>
    </row>
    <row r="110" spans="1:21" ht="14.1" customHeight="1" x14ac:dyDescent="0.2">
      <c r="A110" s="54" t="s">
        <v>84</v>
      </c>
      <c r="B110" s="54" t="s">
        <v>270</v>
      </c>
      <c r="C110" s="370">
        <v>858652</v>
      </c>
      <c r="D110" s="370">
        <v>858652</v>
      </c>
      <c r="E110" s="370">
        <v>0</v>
      </c>
      <c r="F110" s="370">
        <f t="shared" si="1"/>
        <v>858652</v>
      </c>
      <c r="G110" s="370">
        <v>0</v>
      </c>
      <c r="H110" s="370">
        <v>0</v>
      </c>
      <c r="I110" s="370">
        <v>0</v>
      </c>
      <c r="J110" s="370">
        <v>0</v>
      </c>
      <c r="K110" s="370">
        <v>0</v>
      </c>
      <c r="L110" s="376"/>
      <c r="M110" s="59"/>
      <c r="N110" s="59"/>
      <c r="O110" s="59"/>
      <c r="P110" s="59"/>
      <c r="Q110" s="59"/>
      <c r="R110" s="59"/>
      <c r="S110" s="59"/>
      <c r="T110" s="59"/>
      <c r="U110" s="59"/>
    </row>
    <row r="111" spans="1:21" ht="14.1" customHeight="1" x14ac:dyDescent="0.2">
      <c r="A111" s="54" t="s">
        <v>85</v>
      </c>
      <c r="B111" s="54" t="s">
        <v>271</v>
      </c>
      <c r="C111" s="370">
        <v>91466</v>
      </c>
      <c r="D111" s="370">
        <v>91466</v>
      </c>
      <c r="E111" s="370">
        <v>0</v>
      </c>
      <c r="F111" s="370">
        <f t="shared" si="1"/>
        <v>91466</v>
      </c>
      <c r="G111" s="370">
        <v>0</v>
      </c>
      <c r="H111" s="370">
        <v>0</v>
      </c>
      <c r="I111" s="370">
        <v>0</v>
      </c>
      <c r="J111" s="370">
        <v>0</v>
      </c>
      <c r="K111" s="370">
        <v>0</v>
      </c>
      <c r="L111" s="376"/>
      <c r="M111" s="59"/>
      <c r="N111" s="59"/>
      <c r="O111" s="59"/>
      <c r="P111" s="59"/>
      <c r="Q111" s="59"/>
      <c r="R111" s="59"/>
      <c r="S111" s="59"/>
      <c r="T111" s="59"/>
      <c r="U111" s="59"/>
    </row>
    <row r="112" spans="1:21" ht="14.1" customHeight="1" x14ac:dyDescent="0.2">
      <c r="A112" s="54" t="s">
        <v>86</v>
      </c>
      <c r="B112" s="54" t="s">
        <v>272</v>
      </c>
      <c r="C112" s="370">
        <v>1805623</v>
      </c>
      <c r="D112" s="370">
        <v>1805623</v>
      </c>
      <c r="E112" s="370">
        <v>0</v>
      </c>
      <c r="F112" s="370">
        <f t="shared" si="1"/>
        <v>1805623</v>
      </c>
      <c r="G112" s="370">
        <v>0</v>
      </c>
      <c r="H112" s="370">
        <v>0</v>
      </c>
      <c r="I112" s="370">
        <v>0</v>
      </c>
      <c r="J112" s="370">
        <v>0</v>
      </c>
      <c r="K112" s="370">
        <v>0</v>
      </c>
      <c r="L112" s="376"/>
      <c r="M112" s="59"/>
      <c r="N112" s="59"/>
      <c r="O112" s="59"/>
      <c r="P112" s="59"/>
      <c r="Q112" s="59"/>
      <c r="R112" s="59"/>
      <c r="S112" s="59"/>
      <c r="T112" s="59"/>
      <c r="U112" s="59"/>
    </row>
    <row r="113" spans="1:21" ht="14.1" customHeight="1" x14ac:dyDescent="0.2">
      <c r="A113" s="54" t="s">
        <v>87</v>
      </c>
      <c r="B113" s="54" t="s">
        <v>273</v>
      </c>
      <c r="C113" s="370">
        <v>0</v>
      </c>
      <c r="D113" s="370">
        <v>0</v>
      </c>
      <c r="E113" s="370">
        <v>0</v>
      </c>
      <c r="F113" s="370">
        <f t="shared" si="1"/>
        <v>0</v>
      </c>
      <c r="G113" s="370">
        <v>0</v>
      </c>
      <c r="H113" s="370">
        <v>0</v>
      </c>
      <c r="I113" s="370">
        <v>0</v>
      </c>
      <c r="J113" s="370">
        <v>0</v>
      </c>
      <c r="K113" s="370">
        <v>0</v>
      </c>
      <c r="L113" s="376"/>
      <c r="M113" s="59"/>
      <c r="N113" s="59"/>
      <c r="O113" s="59"/>
      <c r="P113" s="59"/>
      <c r="Q113" s="59"/>
      <c r="R113" s="59"/>
      <c r="S113" s="59"/>
      <c r="T113" s="59"/>
      <c r="U113" s="59"/>
    </row>
    <row r="114" spans="1:21" ht="14.1" customHeight="1" x14ac:dyDescent="0.2">
      <c r="A114" s="54" t="s">
        <v>88</v>
      </c>
      <c r="B114" s="54" t="s">
        <v>274</v>
      </c>
      <c r="C114" s="370">
        <v>0</v>
      </c>
      <c r="D114" s="370">
        <v>0</v>
      </c>
      <c r="E114" s="370">
        <v>0</v>
      </c>
      <c r="F114" s="370">
        <f t="shared" si="1"/>
        <v>0</v>
      </c>
      <c r="G114" s="370">
        <v>0</v>
      </c>
      <c r="H114" s="370">
        <v>0</v>
      </c>
      <c r="I114" s="370">
        <v>0</v>
      </c>
      <c r="J114" s="370">
        <v>0</v>
      </c>
      <c r="K114" s="370">
        <v>0</v>
      </c>
      <c r="L114" s="376"/>
      <c r="M114" s="59"/>
      <c r="N114" s="59"/>
      <c r="O114" s="59"/>
      <c r="P114" s="59"/>
      <c r="Q114" s="59"/>
      <c r="R114" s="59"/>
      <c r="S114" s="59"/>
      <c r="T114" s="59"/>
      <c r="U114" s="59"/>
    </row>
    <row r="115" spans="1:21" ht="14.1" customHeight="1" x14ac:dyDescent="0.2">
      <c r="A115" s="54" t="s">
        <v>89</v>
      </c>
      <c r="B115" s="54" t="s">
        <v>275</v>
      </c>
      <c r="C115" s="370">
        <v>0</v>
      </c>
      <c r="D115" s="370">
        <v>0</v>
      </c>
      <c r="E115" s="370">
        <v>0</v>
      </c>
      <c r="F115" s="370">
        <f t="shared" si="1"/>
        <v>0</v>
      </c>
      <c r="G115" s="370">
        <v>0</v>
      </c>
      <c r="H115" s="370">
        <v>0</v>
      </c>
      <c r="I115" s="370">
        <v>0</v>
      </c>
      <c r="J115" s="370">
        <v>0</v>
      </c>
      <c r="K115" s="370">
        <v>0</v>
      </c>
      <c r="L115" s="376"/>
      <c r="M115" s="59"/>
      <c r="N115" s="59"/>
      <c r="O115" s="59"/>
      <c r="P115" s="59"/>
      <c r="Q115" s="59"/>
      <c r="R115" s="59"/>
      <c r="S115" s="59"/>
      <c r="T115" s="59"/>
      <c r="U115" s="59"/>
    </row>
    <row r="116" spans="1:21" ht="14.1" customHeight="1" x14ac:dyDescent="0.2">
      <c r="A116" s="54" t="s">
        <v>90</v>
      </c>
      <c r="B116" s="54" t="s">
        <v>276</v>
      </c>
      <c r="C116" s="370">
        <v>244555</v>
      </c>
      <c r="D116" s="370">
        <v>244555</v>
      </c>
      <c r="E116" s="370">
        <v>0</v>
      </c>
      <c r="F116" s="370">
        <f t="shared" si="1"/>
        <v>244555</v>
      </c>
      <c r="G116" s="370">
        <v>0</v>
      </c>
      <c r="H116" s="370">
        <v>0</v>
      </c>
      <c r="I116" s="370">
        <v>0</v>
      </c>
      <c r="J116" s="370">
        <v>0</v>
      </c>
      <c r="K116" s="370">
        <v>0</v>
      </c>
      <c r="L116" s="376"/>
      <c r="M116" s="59"/>
      <c r="N116" s="59"/>
      <c r="O116" s="59"/>
      <c r="P116" s="59"/>
      <c r="Q116" s="59"/>
      <c r="R116" s="59"/>
      <c r="S116" s="59"/>
      <c r="T116" s="59"/>
      <c r="U116" s="59"/>
    </row>
    <row r="117" spans="1:21" ht="14.1" customHeight="1" x14ac:dyDescent="0.2">
      <c r="A117" s="54" t="s">
        <v>91</v>
      </c>
      <c r="B117" s="54" t="s">
        <v>277</v>
      </c>
      <c r="C117" s="370">
        <v>-344306</v>
      </c>
      <c r="D117" s="370">
        <v>-344306</v>
      </c>
      <c r="E117" s="370">
        <v>0</v>
      </c>
      <c r="F117" s="370">
        <f t="shared" si="1"/>
        <v>-344306</v>
      </c>
      <c r="G117" s="370">
        <v>0</v>
      </c>
      <c r="H117" s="370">
        <v>0</v>
      </c>
      <c r="I117" s="370">
        <v>0</v>
      </c>
      <c r="J117" s="370">
        <v>0</v>
      </c>
      <c r="K117" s="370">
        <v>0</v>
      </c>
      <c r="L117" s="376"/>
      <c r="M117" s="59"/>
      <c r="N117" s="59"/>
      <c r="O117" s="59"/>
      <c r="P117" s="59"/>
      <c r="Q117" s="59"/>
      <c r="R117" s="59"/>
      <c r="S117" s="59"/>
      <c r="T117" s="59"/>
      <c r="U117" s="59"/>
    </row>
    <row r="118" spans="1:21" ht="14.1" customHeight="1" x14ac:dyDescent="0.2">
      <c r="A118" s="54" t="s">
        <v>92</v>
      </c>
      <c r="B118" s="54" t="s">
        <v>278</v>
      </c>
      <c r="C118" s="370">
        <v>99751</v>
      </c>
      <c r="D118" s="370">
        <v>99751</v>
      </c>
      <c r="E118" s="370">
        <v>0</v>
      </c>
      <c r="F118" s="370">
        <f t="shared" si="1"/>
        <v>99751</v>
      </c>
      <c r="G118" s="370">
        <v>0</v>
      </c>
      <c r="H118" s="370">
        <v>0</v>
      </c>
      <c r="I118" s="370">
        <v>0</v>
      </c>
      <c r="J118" s="370">
        <v>0</v>
      </c>
      <c r="K118" s="370">
        <v>0</v>
      </c>
      <c r="L118" s="376"/>
      <c r="M118" s="59"/>
      <c r="N118" s="59"/>
      <c r="O118" s="59"/>
      <c r="P118" s="59"/>
      <c r="Q118" s="59"/>
      <c r="R118" s="59"/>
      <c r="S118" s="59"/>
      <c r="T118" s="59"/>
      <c r="U118" s="59"/>
    </row>
    <row r="119" spans="1:21" ht="14.1" customHeight="1" x14ac:dyDescent="0.2">
      <c r="A119" s="54" t="s">
        <v>93</v>
      </c>
      <c r="B119" s="54" t="s">
        <v>279</v>
      </c>
      <c r="C119" s="370">
        <v>0</v>
      </c>
      <c r="D119" s="370">
        <v>0</v>
      </c>
      <c r="E119" s="370">
        <v>0</v>
      </c>
      <c r="F119" s="370">
        <f t="shared" si="1"/>
        <v>0</v>
      </c>
      <c r="G119" s="370">
        <v>0</v>
      </c>
      <c r="H119" s="370">
        <v>0</v>
      </c>
      <c r="I119" s="370">
        <v>0</v>
      </c>
      <c r="J119" s="370">
        <v>0</v>
      </c>
      <c r="K119" s="370">
        <v>0</v>
      </c>
      <c r="L119" s="376"/>
      <c r="M119" s="59"/>
      <c r="N119" s="59"/>
      <c r="O119" s="59"/>
      <c r="P119" s="59"/>
      <c r="Q119" s="59"/>
      <c r="R119" s="59"/>
      <c r="S119" s="59"/>
      <c r="T119" s="59"/>
      <c r="U119" s="59"/>
    </row>
    <row r="120" spans="1:21" ht="14.1" customHeight="1" x14ac:dyDescent="0.2">
      <c r="A120" s="54" t="s">
        <v>94</v>
      </c>
      <c r="B120" s="54" t="s">
        <v>280</v>
      </c>
      <c r="C120" s="370">
        <v>-7693</v>
      </c>
      <c r="D120" s="370">
        <v>-7693</v>
      </c>
      <c r="E120" s="370">
        <v>0</v>
      </c>
      <c r="F120" s="370">
        <f t="shared" si="1"/>
        <v>-7693</v>
      </c>
      <c r="G120" s="370">
        <v>0</v>
      </c>
      <c r="H120" s="370">
        <v>0</v>
      </c>
      <c r="I120" s="370">
        <v>0</v>
      </c>
      <c r="J120" s="370">
        <v>0</v>
      </c>
      <c r="K120" s="370">
        <v>0</v>
      </c>
      <c r="L120" s="376"/>
      <c r="M120" s="59"/>
      <c r="N120" s="59"/>
      <c r="O120" s="59"/>
      <c r="P120" s="59"/>
      <c r="Q120" s="59"/>
      <c r="R120" s="59"/>
      <c r="S120" s="59"/>
      <c r="T120" s="59"/>
      <c r="U120" s="59"/>
    </row>
    <row r="121" spans="1:21" ht="14.1" customHeight="1" x14ac:dyDescent="0.2">
      <c r="A121" s="54" t="s">
        <v>95</v>
      </c>
      <c r="B121" s="54" t="s">
        <v>281</v>
      </c>
      <c r="C121" s="370">
        <v>-1611497</v>
      </c>
      <c r="D121" s="370">
        <v>-1611497</v>
      </c>
      <c r="E121" s="370">
        <v>0</v>
      </c>
      <c r="F121" s="370">
        <f t="shared" si="1"/>
        <v>-1611497</v>
      </c>
      <c r="G121" s="370">
        <v>0</v>
      </c>
      <c r="H121" s="370">
        <v>0</v>
      </c>
      <c r="I121" s="370">
        <v>0</v>
      </c>
      <c r="J121" s="370">
        <v>0</v>
      </c>
      <c r="K121" s="370">
        <v>0</v>
      </c>
      <c r="L121" s="376"/>
      <c r="M121" s="59"/>
      <c r="N121" s="59"/>
      <c r="O121" s="59"/>
      <c r="P121" s="59"/>
      <c r="Q121" s="59"/>
      <c r="R121" s="59"/>
      <c r="S121" s="59"/>
      <c r="T121" s="59"/>
      <c r="U121" s="59"/>
    </row>
    <row r="122" spans="1:21" ht="14.1" customHeight="1" x14ac:dyDescent="0.2">
      <c r="A122" s="54" t="s">
        <v>96</v>
      </c>
      <c r="B122" s="54" t="s">
        <v>282</v>
      </c>
      <c r="C122" s="370">
        <v>0</v>
      </c>
      <c r="D122" s="370">
        <v>0</v>
      </c>
      <c r="E122" s="370">
        <v>0</v>
      </c>
      <c r="F122" s="370">
        <f t="shared" si="1"/>
        <v>0</v>
      </c>
      <c r="G122" s="370">
        <v>0</v>
      </c>
      <c r="H122" s="370">
        <v>0</v>
      </c>
      <c r="I122" s="370">
        <v>0</v>
      </c>
      <c r="J122" s="370">
        <v>0</v>
      </c>
      <c r="K122" s="370">
        <v>0</v>
      </c>
      <c r="L122" s="376"/>
      <c r="M122" s="59"/>
      <c r="N122" s="59"/>
      <c r="O122" s="59"/>
      <c r="P122" s="59"/>
      <c r="Q122" s="59"/>
      <c r="R122" s="59"/>
      <c r="S122" s="59"/>
      <c r="T122" s="59"/>
      <c r="U122" s="59"/>
    </row>
    <row r="123" spans="1:21" ht="14.1" customHeight="1" x14ac:dyDescent="0.2">
      <c r="A123" s="54" t="s">
        <v>97</v>
      </c>
      <c r="B123" s="54" t="s">
        <v>283</v>
      </c>
      <c r="C123" s="370">
        <v>0</v>
      </c>
      <c r="D123" s="370">
        <v>0</v>
      </c>
      <c r="E123" s="370">
        <v>0</v>
      </c>
      <c r="F123" s="370">
        <f t="shared" si="1"/>
        <v>0</v>
      </c>
      <c r="G123" s="370">
        <v>0</v>
      </c>
      <c r="H123" s="370">
        <v>0</v>
      </c>
      <c r="I123" s="370">
        <v>0</v>
      </c>
      <c r="J123" s="370">
        <v>0</v>
      </c>
      <c r="K123" s="370">
        <v>0</v>
      </c>
      <c r="L123" s="376"/>
      <c r="M123" s="59"/>
      <c r="N123" s="59"/>
      <c r="O123" s="59"/>
      <c r="P123" s="59"/>
      <c r="Q123" s="59"/>
      <c r="R123" s="59"/>
      <c r="S123" s="59"/>
      <c r="T123" s="59"/>
      <c r="U123" s="59"/>
    </row>
    <row r="124" spans="1:21" ht="14.1" customHeight="1" x14ac:dyDescent="0.2">
      <c r="A124" s="54" t="s">
        <v>98</v>
      </c>
      <c r="B124" s="54" t="s">
        <v>284</v>
      </c>
      <c r="C124" s="370">
        <v>0</v>
      </c>
      <c r="D124" s="370">
        <v>0</v>
      </c>
      <c r="E124" s="370">
        <v>0</v>
      </c>
      <c r="F124" s="370">
        <f t="shared" si="1"/>
        <v>0</v>
      </c>
      <c r="G124" s="370">
        <v>0</v>
      </c>
      <c r="H124" s="370">
        <v>0</v>
      </c>
      <c r="I124" s="370">
        <v>0</v>
      </c>
      <c r="J124" s="370">
        <v>0</v>
      </c>
      <c r="K124" s="370">
        <v>0</v>
      </c>
      <c r="L124" s="376"/>
      <c r="M124" s="59"/>
      <c r="N124" s="59"/>
      <c r="O124" s="59"/>
      <c r="P124" s="59"/>
      <c r="Q124" s="59"/>
      <c r="R124" s="59"/>
      <c r="S124" s="59"/>
      <c r="T124" s="59"/>
      <c r="U124" s="59"/>
    </row>
    <row r="125" spans="1:21" ht="14.1" customHeight="1" x14ac:dyDescent="0.2">
      <c r="A125" s="54" t="s">
        <v>99</v>
      </c>
      <c r="B125" s="54" t="s">
        <v>285</v>
      </c>
      <c r="C125" s="370">
        <v>0</v>
      </c>
      <c r="D125" s="370">
        <v>0</v>
      </c>
      <c r="E125" s="370">
        <v>0</v>
      </c>
      <c r="F125" s="370">
        <f t="shared" si="1"/>
        <v>0</v>
      </c>
      <c r="G125" s="370">
        <v>0</v>
      </c>
      <c r="H125" s="370">
        <v>0</v>
      </c>
      <c r="I125" s="370">
        <v>0</v>
      </c>
      <c r="J125" s="370">
        <v>0</v>
      </c>
      <c r="K125" s="370">
        <v>0</v>
      </c>
      <c r="L125" s="376"/>
      <c r="M125" s="59"/>
      <c r="N125" s="59"/>
      <c r="O125" s="59"/>
      <c r="P125" s="59"/>
      <c r="Q125" s="59"/>
      <c r="R125" s="59"/>
      <c r="S125" s="59"/>
      <c r="T125" s="59"/>
      <c r="U125" s="59"/>
    </row>
    <row r="126" spans="1:21" ht="14.1" customHeight="1" x14ac:dyDescent="0.2">
      <c r="A126" s="54" t="s">
        <v>100</v>
      </c>
      <c r="B126" s="54" t="s">
        <v>286</v>
      </c>
      <c r="C126" s="370">
        <v>-255611</v>
      </c>
      <c r="D126" s="370">
        <v>-255611</v>
      </c>
      <c r="E126" s="370">
        <v>0</v>
      </c>
      <c r="F126" s="370">
        <f t="shared" si="1"/>
        <v>-255611</v>
      </c>
      <c r="G126" s="370">
        <v>0</v>
      </c>
      <c r="H126" s="370">
        <v>0</v>
      </c>
      <c r="I126" s="370">
        <v>0</v>
      </c>
      <c r="J126" s="370">
        <v>0</v>
      </c>
      <c r="K126" s="370">
        <v>0</v>
      </c>
      <c r="L126" s="376"/>
      <c r="M126" s="59"/>
      <c r="N126" s="59"/>
      <c r="O126" s="59"/>
      <c r="P126" s="59"/>
      <c r="Q126" s="59"/>
      <c r="R126" s="59"/>
      <c r="S126" s="59"/>
      <c r="T126" s="59"/>
      <c r="U126" s="59"/>
    </row>
    <row r="127" spans="1:21" ht="14.1" customHeight="1" x14ac:dyDescent="0.2">
      <c r="A127" s="54" t="s">
        <v>101</v>
      </c>
      <c r="B127" s="54" t="s">
        <v>287</v>
      </c>
      <c r="C127" s="370">
        <v>1959439</v>
      </c>
      <c r="D127" s="370">
        <v>1959439</v>
      </c>
      <c r="E127" s="370">
        <v>0</v>
      </c>
      <c r="F127" s="370">
        <f t="shared" si="1"/>
        <v>1959439</v>
      </c>
      <c r="G127" s="370">
        <v>0</v>
      </c>
      <c r="H127" s="370">
        <v>0</v>
      </c>
      <c r="I127" s="370">
        <v>0</v>
      </c>
      <c r="J127" s="370">
        <v>0</v>
      </c>
      <c r="K127" s="370">
        <v>0</v>
      </c>
      <c r="L127" s="376"/>
      <c r="M127" s="59"/>
      <c r="N127" s="59"/>
      <c r="O127" s="59"/>
      <c r="P127" s="59"/>
      <c r="Q127" s="59"/>
      <c r="R127" s="59"/>
      <c r="S127" s="59"/>
      <c r="T127" s="59"/>
      <c r="U127" s="59"/>
    </row>
    <row r="128" spans="1:21" ht="14.1" customHeight="1" x14ac:dyDescent="0.2">
      <c r="A128" s="54" t="s">
        <v>102</v>
      </c>
      <c r="B128" s="54" t="s">
        <v>288</v>
      </c>
      <c r="C128" s="370">
        <v>-858983</v>
      </c>
      <c r="D128" s="370">
        <v>-858983</v>
      </c>
      <c r="E128" s="370">
        <v>0</v>
      </c>
      <c r="F128" s="370">
        <f t="shared" si="1"/>
        <v>-858983</v>
      </c>
      <c r="G128" s="370">
        <v>0</v>
      </c>
      <c r="H128" s="370">
        <v>0</v>
      </c>
      <c r="I128" s="370">
        <v>0</v>
      </c>
      <c r="J128" s="370">
        <v>0</v>
      </c>
      <c r="K128" s="370">
        <v>0</v>
      </c>
      <c r="L128" s="376"/>
      <c r="M128" s="59"/>
      <c r="N128" s="59"/>
      <c r="O128" s="59"/>
      <c r="P128" s="59"/>
      <c r="Q128" s="59"/>
      <c r="R128" s="59"/>
      <c r="S128" s="59"/>
      <c r="T128" s="59"/>
      <c r="U128" s="59"/>
    </row>
    <row r="129" spans="1:21" ht="14.1" customHeight="1" x14ac:dyDescent="0.2">
      <c r="A129" s="54" t="s">
        <v>103</v>
      </c>
      <c r="B129" s="54" t="s">
        <v>289</v>
      </c>
      <c r="C129" s="370">
        <v>0</v>
      </c>
      <c r="D129" s="370">
        <v>0</v>
      </c>
      <c r="E129" s="370">
        <v>0</v>
      </c>
      <c r="F129" s="370">
        <f t="shared" si="1"/>
        <v>0</v>
      </c>
      <c r="G129" s="370">
        <v>0</v>
      </c>
      <c r="H129" s="370">
        <v>0</v>
      </c>
      <c r="I129" s="370">
        <v>0</v>
      </c>
      <c r="J129" s="370">
        <v>0</v>
      </c>
      <c r="K129" s="370">
        <v>0</v>
      </c>
      <c r="L129" s="376"/>
      <c r="M129" s="59"/>
      <c r="N129" s="59"/>
      <c r="O129" s="59"/>
      <c r="P129" s="59"/>
      <c r="Q129" s="59"/>
      <c r="R129" s="59"/>
      <c r="S129" s="59"/>
      <c r="T129" s="59"/>
      <c r="U129" s="59"/>
    </row>
    <row r="130" spans="1:21" ht="14.1" customHeight="1" x14ac:dyDescent="0.2">
      <c r="A130" s="54" t="s">
        <v>104</v>
      </c>
      <c r="B130" s="54" t="s">
        <v>290</v>
      </c>
      <c r="C130" s="370">
        <v>1570957</v>
      </c>
      <c r="D130" s="370">
        <v>1570957</v>
      </c>
      <c r="E130" s="370">
        <v>0</v>
      </c>
      <c r="F130" s="370">
        <f t="shared" si="1"/>
        <v>1570957</v>
      </c>
      <c r="G130" s="370">
        <v>0</v>
      </c>
      <c r="H130" s="370">
        <v>0</v>
      </c>
      <c r="I130" s="370">
        <v>0</v>
      </c>
      <c r="J130" s="370">
        <v>0</v>
      </c>
      <c r="K130" s="370">
        <v>0</v>
      </c>
      <c r="L130" s="376"/>
      <c r="M130" s="59"/>
      <c r="N130" s="59"/>
      <c r="O130" s="59"/>
      <c r="P130" s="59"/>
      <c r="Q130" s="59"/>
      <c r="R130" s="59"/>
      <c r="S130" s="59"/>
      <c r="T130" s="59"/>
      <c r="U130" s="59"/>
    </row>
    <row r="131" spans="1:21" ht="14.1" customHeight="1" x14ac:dyDescent="0.2">
      <c r="A131" s="54" t="s">
        <v>105</v>
      </c>
      <c r="B131" s="54" t="s">
        <v>291</v>
      </c>
      <c r="C131" s="370">
        <v>97982</v>
      </c>
      <c r="D131" s="370">
        <v>97982</v>
      </c>
      <c r="E131" s="370">
        <v>0</v>
      </c>
      <c r="F131" s="370">
        <f t="shared" si="1"/>
        <v>97982</v>
      </c>
      <c r="G131" s="370">
        <v>0</v>
      </c>
      <c r="H131" s="370">
        <v>0</v>
      </c>
      <c r="I131" s="370">
        <v>0</v>
      </c>
      <c r="J131" s="370">
        <v>0</v>
      </c>
      <c r="K131" s="370">
        <v>0</v>
      </c>
      <c r="L131" s="376"/>
      <c r="M131" s="59"/>
      <c r="N131" s="59"/>
      <c r="O131" s="59"/>
      <c r="P131" s="59"/>
      <c r="Q131" s="59"/>
      <c r="R131" s="59"/>
      <c r="S131" s="59"/>
      <c r="T131" s="59"/>
      <c r="U131" s="59"/>
    </row>
    <row r="132" spans="1:21" ht="14.1" customHeight="1" x14ac:dyDescent="0.2">
      <c r="A132" s="54" t="s">
        <v>106</v>
      </c>
      <c r="B132" s="54" t="s">
        <v>292</v>
      </c>
      <c r="C132" s="370">
        <v>-2447322</v>
      </c>
      <c r="D132" s="370">
        <v>-2447322</v>
      </c>
      <c r="E132" s="370">
        <v>0</v>
      </c>
      <c r="F132" s="370">
        <f t="shared" si="1"/>
        <v>-2447322</v>
      </c>
      <c r="G132" s="370">
        <v>0</v>
      </c>
      <c r="H132" s="370">
        <v>0</v>
      </c>
      <c r="I132" s="370">
        <v>0</v>
      </c>
      <c r="J132" s="370">
        <v>0</v>
      </c>
      <c r="K132" s="370">
        <v>0</v>
      </c>
      <c r="L132" s="376"/>
      <c r="M132" s="59"/>
      <c r="N132" s="59"/>
      <c r="O132" s="59"/>
      <c r="P132" s="59"/>
      <c r="Q132" s="59"/>
      <c r="R132" s="59"/>
      <c r="S132" s="59"/>
      <c r="T132" s="59"/>
      <c r="U132" s="59"/>
    </row>
    <row r="133" spans="1:21" ht="14.1" customHeight="1" x14ac:dyDescent="0.2">
      <c r="A133" s="54" t="s">
        <v>107</v>
      </c>
      <c r="B133" s="54" t="s">
        <v>293</v>
      </c>
      <c r="C133" s="370">
        <v>-2560221</v>
      </c>
      <c r="D133" s="370">
        <v>-2560221</v>
      </c>
      <c r="E133" s="370">
        <v>0</v>
      </c>
      <c r="F133" s="370">
        <f t="shared" si="1"/>
        <v>-2560221</v>
      </c>
      <c r="G133" s="370">
        <v>0</v>
      </c>
      <c r="H133" s="370">
        <v>0</v>
      </c>
      <c r="I133" s="370">
        <v>0</v>
      </c>
      <c r="J133" s="370">
        <v>0</v>
      </c>
      <c r="K133" s="370">
        <v>0</v>
      </c>
      <c r="L133" s="376"/>
      <c r="M133" s="59"/>
      <c r="N133" s="59"/>
      <c r="O133" s="59"/>
      <c r="P133" s="59"/>
      <c r="Q133" s="59"/>
      <c r="R133" s="59"/>
      <c r="S133" s="59"/>
      <c r="T133" s="59"/>
      <c r="U133" s="59"/>
    </row>
    <row r="134" spans="1:21" ht="14.1" customHeight="1" x14ac:dyDescent="0.2">
      <c r="A134" s="54" t="s">
        <v>108</v>
      </c>
      <c r="B134" s="54" t="s">
        <v>294</v>
      </c>
      <c r="C134" s="370">
        <v>0</v>
      </c>
      <c r="D134" s="370">
        <v>0</v>
      </c>
      <c r="E134" s="370">
        <v>0</v>
      </c>
      <c r="F134" s="370">
        <f t="shared" si="1"/>
        <v>0</v>
      </c>
      <c r="G134" s="370">
        <v>0</v>
      </c>
      <c r="H134" s="370">
        <v>0</v>
      </c>
      <c r="I134" s="370">
        <v>0</v>
      </c>
      <c r="J134" s="370">
        <v>0</v>
      </c>
      <c r="K134" s="370">
        <v>0</v>
      </c>
      <c r="L134" s="376"/>
      <c r="M134" s="59"/>
      <c r="N134" s="59"/>
      <c r="O134" s="59"/>
      <c r="P134" s="59"/>
      <c r="Q134" s="59"/>
      <c r="R134" s="59"/>
      <c r="S134" s="59"/>
      <c r="T134" s="59"/>
      <c r="U134" s="59"/>
    </row>
    <row r="135" spans="1:21" ht="14.1" customHeight="1" x14ac:dyDescent="0.2">
      <c r="A135" s="54" t="s">
        <v>109</v>
      </c>
      <c r="B135" s="54" t="s">
        <v>295</v>
      </c>
      <c r="C135" s="370">
        <v>4555044</v>
      </c>
      <c r="D135" s="370">
        <v>4555044</v>
      </c>
      <c r="E135" s="370">
        <v>0</v>
      </c>
      <c r="F135" s="370">
        <f t="shared" si="1"/>
        <v>4555044</v>
      </c>
      <c r="G135" s="370">
        <v>0</v>
      </c>
      <c r="H135" s="370">
        <v>0</v>
      </c>
      <c r="I135" s="370">
        <v>0</v>
      </c>
      <c r="J135" s="370">
        <v>0</v>
      </c>
      <c r="K135" s="370">
        <v>0</v>
      </c>
      <c r="L135" s="376"/>
      <c r="M135" s="59"/>
      <c r="N135" s="59"/>
      <c r="O135" s="59"/>
      <c r="P135" s="59"/>
      <c r="Q135" s="59"/>
      <c r="R135" s="59"/>
      <c r="S135" s="59"/>
      <c r="T135" s="59"/>
      <c r="U135" s="59"/>
    </row>
    <row r="136" spans="1:21" ht="14.1" customHeight="1" x14ac:dyDescent="0.2">
      <c r="A136" s="54" t="s">
        <v>110</v>
      </c>
      <c r="B136" s="54" t="s">
        <v>296</v>
      </c>
      <c r="C136" s="370">
        <v>25659160</v>
      </c>
      <c r="D136" s="370">
        <v>25659160</v>
      </c>
      <c r="E136" s="370">
        <v>0</v>
      </c>
      <c r="F136" s="370">
        <f t="shared" si="1"/>
        <v>25659160</v>
      </c>
      <c r="G136" s="370">
        <v>0</v>
      </c>
      <c r="H136" s="370">
        <v>0</v>
      </c>
      <c r="I136" s="370">
        <v>0</v>
      </c>
      <c r="J136" s="370">
        <v>0</v>
      </c>
      <c r="K136" s="370">
        <v>0</v>
      </c>
      <c r="L136" s="376"/>
      <c r="M136" s="59"/>
      <c r="N136" s="59"/>
      <c r="O136" s="59"/>
      <c r="P136" s="59"/>
      <c r="Q136" s="59"/>
      <c r="R136" s="59"/>
      <c r="S136" s="59"/>
      <c r="T136" s="59"/>
      <c r="U136" s="59"/>
    </row>
    <row r="137" spans="1:21" ht="14.1" customHeight="1" x14ac:dyDescent="0.2">
      <c r="A137" s="54" t="s">
        <v>111</v>
      </c>
      <c r="B137" s="54" t="s">
        <v>297</v>
      </c>
      <c r="C137" s="370">
        <v>13196061</v>
      </c>
      <c r="D137" s="370">
        <v>13196061</v>
      </c>
      <c r="E137" s="370">
        <v>0</v>
      </c>
      <c r="F137" s="370">
        <f t="shared" ref="F137:F200" si="2">D137+E137</f>
        <v>13196061</v>
      </c>
      <c r="G137" s="370">
        <v>0</v>
      </c>
      <c r="H137" s="370">
        <v>0</v>
      </c>
      <c r="I137" s="370">
        <v>0</v>
      </c>
      <c r="J137" s="370">
        <v>0</v>
      </c>
      <c r="K137" s="370">
        <v>0</v>
      </c>
      <c r="L137" s="376"/>
      <c r="M137" s="59"/>
      <c r="N137" s="59"/>
      <c r="O137" s="59"/>
      <c r="P137" s="59"/>
      <c r="Q137" s="59"/>
      <c r="R137" s="59"/>
      <c r="S137" s="59"/>
      <c r="T137" s="59"/>
      <c r="U137" s="59"/>
    </row>
    <row r="138" spans="1:21" ht="14.1" customHeight="1" x14ac:dyDescent="0.2">
      <c r="A138" s="54" t="s">
        <v>112</v>
      </c>
      <c r="B138" s="54" t="s">
        <v>298</v>
      </c>
      <c r="C138" s="370">
        <v>-6598027</v>
      </c>
      <c r="D138" s="370">
        <v>-6598027</v>
      </c>
      <c r="E138" s="370">
        <v>0</v>
      </c>
      <c r="F138" s="370">
        <f t="shared" si="2"/>
        <v>-6598027</v>
      </c>
      <c r="G138" s="370">
        <v>0</v>
      </c>
      <c r="H138" s="370">
        <v>0</v>
      </c>
      <c r="I138" s="370">
        <v>0</v>
      </c>
      <c r="J138" s="370">
        <v>0</v>
      </c>
      <c r="K138" s="370">
        <v>0</v>
      </c>
      <c r="L138" s="376"/>
      <c r="M138" s="59"/>
      <c r="N138" s="59"/>
      <c r="O138" s="59"/>
      <c r="P138" s="59"/>
      <c r="Q138" s="59"/>
      <c r="R138" s="59"/>
      <c r="S138" s="59"/>
      <c r="T138" s="59"/>
      <c r="U138" s="59"/>
    </row>
    <row r="139" spans="1:21" ht="14.1" customHeight="1" x14ac:dyDescent="0.2">
      <c r="A139" s="54" t="s">
        <v>113</v>
      </c>
      <c r="B139" s="54" t="s">
        <v>299</v>
      </c>
      <c r="C139" s="370">
        <v>5649929</v>
      </c>
      <c r="D139" s="370">
        <v>5649929</v>
      </c>
      <c r="E139" s="370">
        <v>0</v>
      </c>
      <c r="F139" s="370">
        <f t="shared" si="2"/>
        <v>5649929</v>
      </c>
      <c r="G139" s="370">
        <v>0</v>
      </c>
      <c r="H139" s="370">
        <v>0</v>
      </c>
      <c r="I139" s="370">
        <v>0</v>
      </c>
      <c r="J139" s="370">
        <v>0</v>
      </c>
      <c r="K139" s="370">
        <v>0</v>
      </c>
      <c r="L139" s="376"/>
      <c r="M139" s="59"/>
      <c r="N139" s="59"/>
      <c r="O139" s="59"/>
      <c r="P139" s="59"/>
      <c r="Q139" s="59"/>
      <c r="R139" s="59"/>
      <c r="S139" s="59"/>
      <c r="T139" s="59"/>
      <c r="U139" s="59"/>
    </row>
    <row r="140" spans="1:21" ht="14.1" customHeight="1" x14ac:dyDescent="0.2">
      <c r="A140" s="54" t="s">
        <v>114</v>
      </c>
      <c r="B140" s="54" t="s">
        <v>300</v>
      </c>
      <c r="C140" s="370">
        <v>-2824989</v>
      </c>
      <c r="D140" s="370">
        <v>-2824989</v>
      </c>
      <c r="E140" s="370">
        <v>0</v>
      </c>
      <c r="F140" s="370">
        <f t="shared" si="2"/>
        <v>-2824989</v>
      </c>
      <c r="G140" s="370">
        <v>0</v>
      </c>
      <c r="H140" s="370">
        <v>0</v>
      </c>
      <c r="I140" s="370">
        <v>0</v>
      </c>
      <c r="J140" s="370">
        <v>0</v>
      </c>
      <c r="K140" s="370">
        <v>0</v>
      </c>
      <c r="L140" s="376"/>
      <c r="M140" s="59"/>
      <c r="N140" s="59"/>
      <c r="O140" s="59"/>
      <c r="P140" s="59"/>
      <c r="Q140" s="59"/>
      <c r="R140" s="59"/>
      <c r="S140" s="59"/>
      <c r="T140" s="59"/>
      <c r="U140" s="59"/>
    </row>
    <row r="141" spans="1:21" ht="14.1" customHeight="1" x14ac:dyDescent="0.2">
      <c r="A141" s="54" t="s">
        <v>115</v>
      </c>
      <c r="B141" s="54" t="s">
        <v>301</v>
      </c>
      <c r="C141" s="370">
        <v>39051823</v>
      </c>
      <c r="D141" s="370">
        <v>39051823</v>
      </c>
      <c r="E141" s="370">
        <v>0</v>
      </c>
      <c r="F141" s="370">
        <f t="shared" si="2"/>
        <v>39051823</v>
      </c>
      <c r="G141" s="370">
        <v>0</v>
      </c>
      <c r="H141" s="370">
        <v>0</v>
      </c>
      <c r="I141" s="370">
        <v>0</v>
      </c>
      <c r="J141" s="370">
        <v>0</v>
      </c>
      <c r="K141" s="370">
        <v>0</v>
      </c>
      <c r="L141" s="376"/>
      <c r="M141" s="59"/>
      <c r="N141" s="59"/>
      <c r="O141" s="59"/>
      <c r="P141" s="59"/>
      <c r="Q141" s="59"/>
      <c r="R141" s="59"/>
      <c r="S141" s="59"/>
      <c r="T141" s="59"/>
      <c r="U141" s="59"/>
    </row>
    <row r="142" spans="1:21" ht="14.1" customHeight="1" x14ac:dyDescent="0.2">
      <c r="A142" s="54" t="s">
        <v>116</v>
      </c>
      <c r="B142" s="54" t="s">
        <v>302</v>
      </c>
      <c r="C142" s="370">
        <v>-19525908</v>
      </c>
      <c r="D142" s="370">
        <v>-19525908</v>
      </c>
      <c r="E142" s="370">
        <v>0</v>
      </c>
      <c r="F142" s="370">
        <f t="shared" si="2"/>
        <v>-19525908</v>
      </c>
      <c r="G142" s="370">
        <v>0</v>
      </c>
      <c r="H142" s="370">
        <v>0</v>
      </c>
      <c r="I142" s="370">
        <v>0</v>
      </c>
      <c r="J142" s="370">
        <v>0</v>
      </c>
      <c r="K142" s="370">
        <v>0</v>
      </c>
      <c r="L142" s="376"/>
      <c r="M142" s="59"/>
      <c r="N142" s="59"/>
      <c r="O142" s="59"/>
      <c r="P142" s="59"/>
      <c r="Q142" s="59"/>
      <c r="R142" s="59"/>
      <c r="S142" s="59"/>
      <c r="T142" s="59"/>
      <c r="U142" s="59"/>
    </row>
    <row r="143" spans="1:21" ht="14.1" customHeight="1" x14ac:dyDescent="0.2">
      <c r="A143" s="54" t="s">
        <v>117</v>
      </c>
      <c r="B143" s="54" t="s">
        <v>303</v>
      </c>
      <c r="C143" s="370">
        <v>-112278</v>
      </c>
      <c r="D143" s="370">
        <v>-112278</v>
      </c>
      <c r="E143" s="370">
        <v>0</v>
      </c>
      <c r="F143" s="370">
        <f t="shared" si="2"/>
        <v>-112278</v>
      </c>
      <c r="G143" s="370">
        <v>0</v>
      </c>
      <c r="H143" s="370">
        <v>0</v>
      </c>
      <c r="I143" s="370">
        <v>0</v>
      </c>
      <c r="J143" s="370">
        <v>0</v>
      </c>
      <c r="K143" s="370">
        <v>0</v>
      </c>
      <c r="L143" s="376"/>
      <c r="M143" s="59"/>
      <c r="N143" s="59"/>
      <c r="O143" s="59"/>
      <c r="P143" s="59"/>
      <c r="Q143" s="59"/>
      <c r="R143" s="59"/>
      <c r="S143" s="59"/>
      <c r="T143" s="59"/>
      <c r="U143" s="59"/>
    </row>
    <row r="144" spans="1:21" ht="14.1" customHeight="1" x14ac:dyDescent="0.2">
      <c r="A144" s="54" t="s">
        <v>118</v>
      </c>
      <c r="B144" s="54" t="s">
        <v>304</v>
      </c>
      <c r="C144" s="370">
        <v>-27452764</v>
      </c>
      <c r="D144" s="370">
        <v>-27452764</v>
      </c>
      <c r="E144" s="370">
        <v>0</v>
      </c>
      <c r="F144" s="370">
        <f t="shared" si="2"/>
        <v>-27452764</v>
      </c>
      <c r="G144" s="370">
        <v>0</v>
      </c>
      <c r="H144" s="370">
        <v>0</v>
      </c>
      <c r="I144" s="370">
        <v>0</v>
      </c>
      <c r="J144" s="370">
        <v>0</v>
      </c>
      <c r="K144" s="370">
        <v>0</v>
      </c>
      <c r="L144" s="376"/>
      <c r="M144" s="59"/>
      <c r="N144" s="59"/>
      <c r="O144" s="59"/>
      <c r="P144" s="59"/>
      <c r="Q144" s="59"/>
      <c r="R144" s="59"/>
      <c r="S144" s="59"/>
      <c r="T144" s="59"/>
      <c r="U144" s="59"/>
    </row>
    <row r="145" spans="1:21" ht="14.1" customHeight="1" x14ac:dyDescent="0.2">
      <c r="A145" s="54" t="s">
        <v>119</v>
      </c>
      <c r="B145" s="54" t="s">
        <v>305</v>
      </c>
      <c r="C145" s="370">
        <v>0</v>
      </c>
      <c r="D145" s="370">
        <v>0</v>
      </c>
      <c r="E145" s="370">
        <v>0</v>
      </c>
      <c r="F145" s="370">
        <f t="shared" si="2"/>
        <v>0</v>
      </c>
      <c r="G145" s="370">
        <v>0</v>
      </c>
      <c r="H145" s="370">
        <v>0</v>
      </c>
      <c r="I145" s="370">
        <v>0</v>
      </c>
      <c r="J145" s="370">
        <v>0</v>
      </c>
      <c r="K145" s="370">
        <v>0</v>
      </c>
      <c r="L145" s="376"/>
      <c r="M145" s="59"/>
      <c r="N145" s="59"/>
      <c r="O145" s="59"/>
      <c r="P145" s="59"/>
      <c r="Q145" s="59"/>
      <c r="R145" s="59"/>
      <c r="S145" s="59"/>
      <c r="T145" s="59"/>
      <c r="U145" s="59"/>
    </row>
    <row r="146" spans="1:21" ht="14.1" customHeight="1" x14ac:dyDescent="0.2">
      <c r="A146" s="54" t="s">
        <v>120</v>
      </c>
      <c r="B146" s="54" t="s">
        <v>306</v>
      </c>
      <c r="C146" s="370">
        <v>0</v>
      </c>
      <c r="D146" s="370">
        <v>0</v>
      </c>
      <c r="E146" s="370">
        <v>0</v>
      </c>
      <c r="F146" s="370">
        <f t="shared" si="2"/>
        <v>0</v>
      </c>
      <c r="G146" s="370">
        <v>0</v>
      </c>
      <c r="H146" s="370">
        <v>0</v>
      </c>
      <c r="I146" s="370">
        <v>0</v>
      </c>
      <c r="J146" s="370">
        <v>0</v>
      </c>
      <c r="K146" s="370">
        <v>0</v>
      </c>
      <c r="L146" s="376"/>
      <c r="M146" s="59"/>
      <c r="N146" s="59"/>
      <c r="O146" s="59"/>
      <c r="P146" s="59"/>
      <c r="Q146" s="59"/>
      <c r="R146" s="59"/>
      <c r="S146" s="59"/>
      <c r="T146" s="59"/>
      <c r="U146" s="59"/>
    </row>
    <row r="147" spans="1:21" ht="14.1" customHeight="1" x14ac:dyDescent="0.2">
      <c r="A147" s="54" t="s">
        <v>121</v>
      </c>
      <c r="B147" s="54" t="s">
        <v>307</v>
      </c>
      <c r="C147" s="370">
        <v>0</v>
      </c>
      <c r="D147" s="370">
        <v>0</v>
      </c>
      <c r="E147" s="370">
        <v>0</v>
      </c>
      <c r="F147" s="370">
        <f t="shared" si="2"/>
        <v>0</v>
      </c>
      <c r="G147" s="370">
        <v>0</v>
      </c>
      <c r="H147" s="370">
        <v>0</v>
      </c>
      <c r="I147" s="370">
        <v>0</v>
      </c>
      <c r="J147" s="370">
        <v>0</v>
      </c>
      <c r="K147" s="370">
        <v>0</v>
      </c>
      <c r="L147" s="376"/>
      <c r="M147" s="59"/>
      <c r="N147" s="59"/>
      <c r="O147" s="59"/>
      <c r="P147" s="59"/>
      <c r="Q147" s="59"/>
      <c r="R147" s="59"/>
      <c r="S147" s="59"/>
      <c r="T147" s="59"/>
      <c r="U147" s="59"/>
    </row>
    <row r="148" spans="1:21" ht="14.1" customHeight="1" x14ac:dyDescent="0.2">
      <c r="A148" s="54" t="s">
        <v>122</v>
      </c>
      <c r="B148" s="54" t="s">
        <v>308</v>
      </c>
      <c r="C148" s="370">
        <v>-7425802</v>
      </c>
      <c r="D148" s="370">
        <v>-7425802</v>
      </c>
      <c r="E148" s="370">
        <v>0</v>
      </c>
      <c r="F148" s="370">
        <f t="shared" si="2"/>
        <v>-7425802</v>
      </c>
      <c r="G148" s="370">
        <v>0</v>
      </c>
      <c r="H148" s="370">
        <v>0</v>
      </c>
      <c r="I148" s="370">
        <v>0</v>
      </c>
      <c r="J148" s="370">
        <v>0</v>
      </c>
      <c r="K148" s="370">
        <v>0</v>
      </c>
      <c r="L148" s="376"/>
      <c r="M148" s="59"/>
      <c r="N148" s="59"/>
      <c r="O148" s="59"/>
      <c r="P148" s="59"/>
      <c r="Q148" s="59"/>
      <c r="R148" s="59"/>
      <c r="S148" s="59"/>
      <c r="T148" s="59"/>
      <c r="U148" s="59"/>
    </row>
    <row r="149" spans="1:21" ht="14.1" customHeight="1" x14ac:dyDescent="0.2">
      <c r="A149" s="54" t="s">
        <v>123</v>
      </c>
      <c r="B149" s="54" t="s">
        <v>309</v>
      </c>
      <c r="C149" s="370">
        <v>63417104</v>
      </c>
      <c r="D149" s="370">
        <v>63417104</v>
      </c>
      <c r="E149" s="370">
        <v>0</v>
      </c>
      <c r="F149" s="370">
        <f t="shared" si="2"/>
        <v>63417104</v>
      </c>
      <c r="G149" s="370">
        <v>0</v>
      </c>
      <c r="H149" s="370">
        <v>0</v>
      </c>
      <c r="I149" s="370">
        <v>0</v>
      </c>
      <c r="J149" s="370">
        <v>0</v>
      </c>
      <c r="K149" s="370">
        <v>0</v>
      </c>
      <c r="L149" s="376"/>
      <c r="M149" s="59"/>
      <c r="N149" s="59"/>
      <c r="O149" s="59"/>
      <c r="P149" s="59"/>
      <c r="Q149" s="59"/>
      <c r="R149" s="59"/>
      <c r="S149" s="59"/>
      <c r="T149" s="59"/>
      <c r="U149" s="59"/>
    </row>
    <row r="150" spans="1:21" ht="14.1" customHeight="1" x14ac:dyDescent="0.2">
      <c r="A150" s="54" t="s">
        <v>124</v>
      </c>
      <c r="B150" s="54" t="s">
        <v>310</v>
      </c>
      <c r="C150" s="370">
        <v>1911515</v>
      </c>
      <c r="D150" s="370">
        <v>1911515</v>
      </c>
      <c r="E150" s="370">
        <v>0</v>
      </c>
      <c r="F150" s="370">
        <f t="shared" si="2"/>
        <v>1911515</v>
      </c>
      <c r="G150" s="370">
        <v>0</v>
      </c>
      <c r="H150" s="370">
        <v>0</v>
      </c>
      <c r="I150" s="370">
        <v>0</v>
      </c>
      <c r="J150" s="370">
        <v>0</v>
      </c>
      <c r="K150" s="370">
        <v>0</v>
      </c>
      <c r="L150" s="376"/>
      <c r="M150" s="59"/>
      <c r="N150" s="59"/>
      <c r="O150" s="59"/>
      <c r="P150" s="59"/>
      <c r="Q150" s="59"/>
      <c r="R150" s="59"/>
      <c r="S150" s="59"/>
      <c r="T150" s="59"/>
      <c r="U150" s="59"/>
    </row>
    <row r="151" spans="1:21" ht="14.1" customHeight="1" x14ac:dyDescent="0.2">
      <c r="A151" s="54" t="s">
        <v>125</v>
      </c>
      <c r="B151" s="54" t="s">
        <v>311</v>
      </c>
      <c r="C151" s="370">
        <v>-3250514</v>
      </c>
      <c r="D151" s="370">
        <v>-3250514</v>
      </c>
      <c r="E151" s="370">
        <v>0</v>
      </c>
      <c r="F151" s="370">
        <f t="shared" si="2"/>
        <v>-3250514</v>
      </c>
      <c r="G151" s="370">
        <v>0</v>
      </c>
      <c r="H151" s="370">
        <v>0</v>
      </c>
      <c r="I151" s="370">
        <v>0</v>
      </c>
      <c r="J151" s="370">
        <v>0</v>
      </c>
      <c r="K151" s="370">
        <v>0</v>
      </c>
      <c r="L151" s="376"/>
      <c r="M151" s="59"/>
      <c r="N151" s="59"/>
      <c r="O151" s="59"/>
      <c r="P151" s="59"/>
      <c r="Q151" s="59"/>
      <c r="R151" s="59"/>
      <c r="S151" s="59"/>
      <c r="T151" s="59"/>
      <c r="U151" s="59"/>
    </row>
    <row r="152" spans="1:21" ht="14.1" customHeight="1" x14ac:dyDescent="0.2">
      <c r="A152" s="54" t="s">
        <v>126</v>
      </c>
      <c r="B152" s="54" t="s">
        <v>312</v>
      </c>
      <c r="C152" s="370">
        <v>0</v>
      </c>
      <c r="D152" s="370">
        <v>0</v>
      </c>
      <c r="E152" s="370">
        <v>0</v>
      </c>
      <c r="F152" s="370">
        <f t="shared" si="2"/>
        <v>0</v>
      </c>
      <c r="G152" s="370">
        <v>0</v>
      </c>
      <c r="H152" s="370">
        <v>0</v>
      </c>
      <c r="I152" s="370">
        <v>0</v>
      </c>
      <c r="J152" s="370">
        <v>0</v>
      </c>
      <c r="K152" s="370">
        <v>0</v>
      </c>
      <c r="L152" s="376"/>
      <c r="M152" s="59"/>
      <c r="N152" s="59"/>
      <c r="O152" s="59"/>
      <c r="P152" s="59"/>
      <c r="Q152" s="59"/>
      <c r="R152" s="59"/>
      <c r="S152" s="59"/>
      <c r="T152" s="59"/>
      <c r="U152" s="59"/>
    </row>
    <row r="153" spans="1:21" ht="14.1" customHeight="1" x14ac:dyDescent="0.2">
      <c r="A153" s="54" t="s">
        <v>127</v>
      </c>
      <c r="B153" s="54" t="s">
        <v>313</v>
      </c>
      <c r="C153" s="370">
        <v>-3699626</v>
      </c>
      <c r="D153" s="370">
        <v>-3699626</v>
      </c>
      <c r="E153" s="370">
        <v>0</v>
      </c>
      <c r="F153" s="370">
        <f t="shared" si="2"/>
        <v>-3699626</v>
      </c>
      <c r="G153" s="370">
        <v>0</v>
      </c>
      <c r="H153" s="370">
        <v>0</v>
      </c>
      <c r="I153" s="370">
        <v>0</v>
      </c>
      <c r="J153" s="370">
        <v>0</v>
      </c>
      <c r="K153" s="370">
        <v>0</v>
      </c>
      <c r="L153" s="376"/>
      <c r="M153" s="59"/>
      <c r="N153" s="59"/>
      <c r="O153" s="59"/>
      <c r="P153" s="59"/>
      <c r="Q153" s="59"/>
      <c r="R153" s="59"/>
      <c r="S153" s="59"/>
      <c r="T153" s="59"/>
      <c r="U153" s="59"/>
    </row>
    <row r="154" spans="1:21" ht="14.1" customHeight="1" x14ac:dyDescent="0.2">
      <c r="A154" s="54" t="s">
        <v>128</v>
      </c>
      <c r="B154" s="54" t="s">
        <v>314</v>
      </c>
      <c r="C154" s="370">
        <v>-188203</v>
      </c>
      <c r="D154" s="370">
        <v>-188203</v>
      </c>
      <c r="E154" s="370">
        <v>0</v>
      </c>
      <c r="F154" s="370">
        <f t="shared" si="2"/>
        <v>-188203</v>
      </c>
      <c r="G154" s="370">
        <v>0</v>
      </c>
      <c r="H154" s="370">
        <v>0</v>
      </c>
      <c r="I154" s="370">
        <v>0</v>
      </c>
      <c r="J154" s="370">
        <v>0</v>
      </c>
      <c r="K154" s="370">
        <v>0</v>
      </c>
      <c r="M154" s="59"/>
      <c r="N154" s="59"/>
      <c r="O154" s="59"/>
      <c r="P154" s="59"/>
      <c r="Q154" s="59"/>
      <c r="R154" s="59"/>
      <c r="S154" s="59"/>
      <c r="T154" s="59"/>
      <c r="U154" s="59"/>
    </row>
    <row r="155" spans="1:21" ht="14.1" customHeight="1" x14ac:dyDescent="0.2">
      <c r="A155" s="54" t="s">
        <v>129</v>
      </c>
      <c r="B155" s="54" t="s">
        <v>315</v>
      </c>
      <c r="C155" s="370">
        <v>0</v>
      </c>
      <c r="D155" s="370">
        <v>0</v>
      </c>
      <c r="E155" s="370">
        <v>0</v>
      </c>
      <c r="F155" s="370">
        <f t="shared" si="2"/>
        <v>0</v>
      </c>
      <c r="G155" s="370">
        <v>0</v>
      </c>
      <c r="H155" s="370">
        <v>0</v>
      </c>
      <c r="I155" s="370">
        <v>0</v>
      </c>
      <c r="J155" s="370">
        <v>0</v>
      </c>
      <c r="K155" s="370">
        <v>0</v>
      </c>
      <c r="L155" s="376"/>
      <c r="M155" s="59"/>
      <c r="N155" s="59"/>
      <c r="O155" s="59"/>
      <c r="P155" s="59"/>
      <c r="Q155" s="59"/>
      <c r="R155" s="59"/>
      <c r="S155" s="59"/>
      <c r="T155" s="59"/>
      <c r="U155" s="59"/>
    </row>
    <row r="156" spans="1:21" ht="14.1" customHeight="1" x14ac:dyDescent="0.2">
      <c r="A156" s="54" t="s">
        <v>130</v>
      </c>
      <c r="B156" s="54" t="s">
        <v>316</v>
      </c>
      <c r="C156" s="370">
        <v>-2102199</v>
      </c>
      <c r="D156" s="370">
        <v>-2102199</v>
      </c>
      <c r="E156" s="370">
        <v>0</v>
      </c>
      <c r="F156" s="370">
        <f t="shared" si="2"/>
        <v>-2102199</v>
      </c>
      <c r="G156" s="370">
        <v>0</v>
      </c>
      <c r="H156" s="370">
        <v>0</v>
      </c>
      <c r="I156" s="370">
        <v>0</v>
      </c>
      <c r="J156" s="370">
        <v>0</v>
      </c>
      <c r="K156" s="370">
        <v>0</v>
      </c>
      <c r="L156" s="376"/>
      <c r="M156" s="59"/>
      <c r="N156" s="59"/>
      <c r="O156" s="59"/>
      <c r="P156" s="59"/>
      <c r="Q156" s="59"/>
      <c r="R156" s="59"/>
      <c r="S156" s="59"/>
      <c r="T156" s="59"/>
      <c r="U156" s="59"/>
    </row>
    <row r="157" spans="1:21" ht="14.1" customHeight="1" x14ac:dyDescent="0.2">
      <c r="A157" s="54" t="s">
        <v>131</v>
      </c>
      <c r="B157" s="54" t="s">
        <v>317</v>
      </c>
      <c r="C157" s="370">
        <v>11257</v>
      </c>
      <c r="D157" s="370">
        <v>11257</v>
      </c>
      <c r="E157" s="370">
        <v>0</v>
      </c>
      <c r="F157" s="370">
        <f t="shared" si="2"/>
        <v>11257</v>
      </c>
      <c r="G157" s="370">
        <v>0</v>
      </c>
      <c r="H157" s="370">
        <v>0</v>
      </c>
      <c r="I157" s="370">
        <v>0</v>
      </c>
      <c r="J157" s="370">
        <v>0</v>
      </c>
      <c r="K157" s="370">
        <v>0</v>
      </c>
      <c r="L157" s="376"/>
      <c r="M157" s="59"/>
      <c r="N157" s="59"/>
      <c r="O157" s="59"/>
      <c r="P157" s="59"/>
      <c r="Q157" s="59"/>
      <c r="R157" s="59"/>
      <c r="S157" s="59"/>
      <c r="T157" s="59"/>
      <c r="U157" s="59"/>
    </row>
    <row r="158" spans="1:21" ht="14.1" customHeight="1" x14ac:dyDescent="0.2">
      <c r="A158" s="54" t="s">
        <v>406</v>
      </c>
      <c r="B158" s="54" t="s">
        <v>405</v>
      </c>
      <c r="C158" s="370">
        <v>-3739435</v>
      </c>
      <c r="D158" s="370">
        <v>0</v>
      </c>
      <c r="E158" s="370">
        <v>-3739435</v>
      </c>
      <c r="F158" s="370">
        <f t="shared" si="2"/>
        <v>-3739435</v>
      </c>
      <c r="G158" s="370">
        <v>0</v>
      </c>
      <c r="H158" s="370">
        <v>0</v>
      </c>
      <c r="I158" s="370">
        <v>0</v>
      </c>
      <c r="J158" s="370">
        <v>0</v>
      </c>
      <c r="K158" s="370">
        <v>0</v>
      </c>
      <c r="L158" s="376"/>
      <c r="M158" s="59"/>
      <c r="N158" s="59"/>
      <c r="O158" s="59"/>
      <c r="P158" s="59"/>
      <c r="Q158" s="59"/>
      <c r="R158" s="59"/>
      <c r="S158" s="59"/>
      <c r="T158" s="59"/>
      <c r="U158" s="59"/>
    </row>
    <row r="159" spans="1:21" ht="14.1" customHeight="1" x14ac:dyDescent="0.2">
      <c r="A159" s="54" t="s">
        <v>132</v>
      </c>
      <c r="B159" s="54" t="s">
        <v>318</v>
      </c>
      <c r="C159" s="370">
        <v>-56657560</v>
      </c>
      <c r="D159" s="370">
        <v>-56657560</v>
      </c>
      <c r="E159" s="370">
        <v>0</v>
      </c>
      <c r="F159" s="370">
        <f t="shared" si="2"/>
        <v>-56657560</v>
      </c>
      <c r="G159" s="370">
        <v>0</v>
      </c>
      <c r="H159" s="370">
        <v>0</v>
      </c>
      <c r="I159" s="370">
        <v>0</v>
      </c>
      <c r="J159" s="370">
        <v>0</v>
      </c>
      <c r="K159" s="370">
        <v>0</v>
      </c>
      <c r="L159" s="376"/>
      <c r="M159" s="59"/>
      <c r="N159" s="59"/>
      <c r="O159" s="59"/>
      <c r="P159" s="59"/>
      <c r="Q159" s="59"/>
      <c r="R159" s="59"/>
      <c r="S159" s="59"/>
      <c r="T159" s="59"/>
      <c r="U159" s="59"/>
    </row>
    <row r="160" spans="1:21" ht="14.1" customHeight="1" x14ac:dyDescent="0.2">
      <c r="A160" s="54" t="s">
        <v>133</v>
      </c>
      <c r="B160" s="54" t="s">
        <v>319</v>
      </c>
      <c r="C160" s="370">
        <v>-93412316</v>
      </c>
      <c r="D160" s="370">
        <v>-93412316</v>
      </c>
      <c r="E160" s="370">
        <v>0</v>
      </c>
      <c r="F160" s="370">
        <f t="shared" si="2"/>
        <v>-93412316</v>
      </c>
      <c r="G160" s="370">
        <v>0</v>
      </c>
      <c r="H160" s="370">
        <v>0</v>
      </c>
      <c r="I160" s="370">
        <v>0</v>
      </c>
      <c r="J160" s="370">
        <v>0</v>
      </c>
      <c r="K160" s="370">
        <v>0</v>
      </c>
      <c r="L160" s="376"/>
      <c r="M160" s="59"/>
      <c r="N160" s="59"/>
      <c r="O160" s="59"/>
      <c r="P160" s="59"/>
      <c r="Q160" s="59"/>
      <c r="R160" s="59"/>
      <c r="S160" s="59"/>
      <c r="T160" s="59"/>
      <c r="U160" s="59"/>
    </row>
    <row r="161" spans="1:21" ht="14.1" customHeight="1" x14ac:dyDescent="0.2">
      <c r="A161" s="54" t="s">
        <v>134</v>
      </c>
      <c r="B161" s="54" t="s">
        <v>320</v>
      </c>
      <c r="C161" s="370">
        <v>0</v>
      </c>
      <c r="D161" s="370">
        <v>0</v>
      </c>
      <c r="E161" s="370">
        <v>0</v>
      </c>
      <c r="F161" s="370">
        <f t="shared" si="2"/>
        <v>0</v>
      </c>
      <c r="G161" s="370">
        <v>0</v>
      </c>
      <c r="H161" s="370">
        <v>0</v>
      </c>
      <c r="I161" s="370">
        <v>0</v>
      </c>
      <c r="J161" s="370">
        <v>0</v>
      </c>
      <c r="K161" s="370">
        <v>0</v>
      </c>
      <c r="L161" s="376"/>
      <c r="M161" s="59"/>
      <c r="N161" s="59"/>
      <c r="O161" s="59"/>
      <c r="P161" s="59"/>
      <c r="Q161" s="59"/>
      <c r="R161" s="59"/>
      <c r="S161" s="59"/>
      <c r="T161" s="59"/>
      <c r="U161" s="59"/>
    </row>
    <row r="162" spans="1:21" ht="14.1" customHeight="1" x14ac:dyDescent="0.2">
      <c r="A162" s="54" t="s">
        <v>135</v>
      </c>
      <c r="B162" s="54" t="s">
        <v>321</v>
      </c>
      <c r="C162" s="370">
        <v>0</v>
      </c>
      <c r="D162" s="370">
        <v>0</v>
      </c>
      <c r="E162" s="370">
        <v>0</v>
      </c>
      <c r="F162" s="370">
        <f t="shared" si="2"/>
        <v>0</v>
      </c>
      <c r="G162" s="370">
        <v>0</v>
      </c>
      <c r="H162" s="370">
        <v>0</v>
      </c>
      <c r="I162" s="370">
        <v>0</v>
      </c>
      <c r="J162" s="370">
        <v>0</v>
      </c>
      <c r="K162" s="370">
        <v>0</v>
      </c>
      <c r="L162" s="376"/>
      <c r="M162" s="59"/>
      <c r="N162" s="59"/>
      <c r="O162" s="59"/>
      <c r="P162" s="59"/>
      <c r="Q162" s="59"/>
      <c r="R162" s="59"/>
      <c r="S162" s="59"/>
      <c r="T162" s="59"/>
      <c r="U162" s="59"/>
    </row>
    <row r="163" spans="1:21" ht="14.1" customHeight="1" x14ac:dyDescent="0.2">
      <c r="A163" s="54" t="s">
        <v>136</v>
      </c>
      <c r="B163" s="54" t="s">
        <v>322</v>
      </c>
      <c r="C163" s="370">
        <v>4202369</v>
      </c>
      <c r="D163" s="370">
        <v>4202369</v>
      </c>
      <c r="E163" s="370">
        <v>0</v>
      </c>
      <c r="F163" s="370">
        <f t="shared" si="2"/>
        <v>4202369</v>
      </c>
      <c r="G163" s="370">
        <v>0</v>
      </c>
      <c r="H163" s="370">
        <v>0</v>
      </c>
      <c r="I163" s="370">
        <v>0</v>
      </c>
      <c r="J163" s="370">
        <v>0</v>
      </c>
      <c r="K163" s="370">
        <v>0</v>
      </c>
      <c r="L163" s="376"/>
      <c r="M163" s="59"/>
      <c r="N163" s="59"/>
      <c r="O163" s="59"/>
      <c r="P163" s="59"/>
      <c r="Q163" s="59"/>
      <c r="R163" s="59"/>
      <c r="S163" s="59"/>
      <c r="T163" s="59"/>
      <c r="U163" s="59"/>
    </row>
    <row r="164" spans="1:21" ht="14.1" customHeight="1" x14ac:dyDescent="0.2">
      <c r="A164" s="54" t="s">
        <v>137</v>
      </c>
      <c r="B164" s="54" t="s">
        <v>323</v>
      </c>
      <c r="C164" s="370">
        <v>0</v>
      </c>
      <c r="D164" s="370">
        <v>0</v>
      </c>
      <c r="E164" s="370">
        <v>0</v>
      </c>
      <c r="F164" s="370">
        <f t="shared" si="2"/>
        <v>0</v>
      </c>
      <c r="G164" s="370">
        <v>0</v>
      </c>
      <c r="H164" s="370">
        <v>0</v>
      </c>
      <c r="I164" s="370">
        <v>0</v>
      </c>
      <c r="J164" s="370">
        <v>0</v>
      </c>
      <c r="K164" s="370">
        <v>0</v>
      </c>
      <c r="L164" s="376"/>
      <c r="M164" s="59"/>
      <c r="N164" s="59"/>
      <c r="O164" s="59"/>
      <c r="P164" s="59"/>
      <c r="Q164" s="59"/>
      <c r="R164" s="59"/>
      <c r="S164" s="59"/>
      <c r="T164" s="59"/>
      <c r="U164" s="59"/>
    </row>
    <row r="165" spans="1:21" ht="14.1" customHeight="1" x14ac:dyDescent="0.2">
      <c r="A165" s="54" t="s">
        <v>138</v>
      </c>
      <c r="B165" s="54" t="s">
        <v>324</v>
      </c>
      <c r="C165" s="370">
        <v>0</v>
      </c>
      <c r="D165" s="370">
        <v>0</v>
      </c>
      <c r="E165" s="370">
        <v>0</v>
      </c>
      <c r="F165" s="370">
        <f t="shared" si="2"/>
        <v>0</v>
      </c>
      <c r="G165" s="370">
        <v>0</v>
      </c>
      <c r="H165" s="370">
        <v>0</v>
      </c>
      <c r="I165" s="370">
        <v>0</v>
      </c>
      <c r="J165" s="370">
        <v>0</v>
      </c>
      <c r="K165" s="370">
        <v>0</v>
      </c>
      <c r="L165" s="376"/>
      <c r="M165" s="59"/>
      <c r="N165" s="59"/>
      <c r="O165" s="59"/>
      <c r="P165" s="59"/>
      <c r="Q165" s="59"/>
      <c r="R165" s="59"/>
      <c r="S165" s="59"/>
      <c r="T165" s="59"/>
      <c r="U165" s="59"/>
    </row>
    <row r="166" spans="1:21" ht="14.1" customHeight="1" x14ac:dyDescent="0.2">
      <c r="A166" s="54" t="s">
        <v>139</v>
      </c>
      <c r="B166" s="54" t="s">
        <v>325</v>
      </c>
      <c r="C166" s="370">
        <v>1853353</v>
      </c>
      <c r="D166" s="370">
        <v>1853353</v>
      </c>
      <c r="E166" s="370">
        <v>0</v>
      </c>
      <c r="F166" s="370">
        <f t="shared" si="2"/>
        <v>1853353</v>
      </c>
      <c r="G166" s="370">
        <v>0</v>
      </c>
      <c r="H166" s="370">
        <v>0</v>
      </c>
      <c r="I166" s="370">
        <v>0</v>
      </c>
      <c r="J166" s="370">
        <v>0</v>
      </c>
      <c r="K166" s="370">
        <v>0</v>
      </c>
      <c r="L166" s="376"/>
      <c r="M166" s="59"/>
      <c r="N166" s="59"/>
      <c r="O166" s="59"/>
      <c r="P166" s="59"/>
      <c r="Q166" s="59"/>
      <c r="R166" s="59"/>
      <c r="S166" s="59"/>
      <c r="T166" s="59"/>
      <c r="U166" s="59"/>
    </row>
    <row r="167" spans="1:21" ht="14.1" customHeight="1" x14ac:dyDescent="0.2">
      <c r="A167" s="54" t="s">
        <v>140</v>
      </c>
      <c r="B167" s="54" t="s">
        <v>326</v>
      </c>
      <c r="C167" s="370">
        <v>0</v>
      </c>
      <c r="D167" s="370">
        <v>0</v>
      </c>
      <c r="E167" s="370">
        <v>0</v>
      </c>
      <c r="F167" s="370">
        <f t="shared" si="2"/>
        <v>0</v>
      </c>
      <c r="G167" s="370">
        <v>0</v>
      </c>
      <c r="H167" s="370">
        <v>0</v>
      </c>
      <c r="I167" s="370">
        <v>0</v>
      </c>
      <c r="J167" s="370">
        <v>0</v>
      </c>
      <c r="K167" s="370">
        <v>0</v>
      </c>
      <c r="L167" s="376"/>
      <c r="M167" s="59"/>
      <c r="N167" s="59"/>
      <c r="O167" s="59"/>
      <c r="P167" s="59"/>
      <c r="Q167" s="59"/>
      <c r="R167" s="59"/>
      <c r="S167" s="59"/>
      <c r="T167" s="59"/>
      <c r="U167" s="59"/>
    </row>
    <row r="168" spans="1:21" ht="14.1" customHeight="1" x14ac:dyDescent="0.2">
      <c r="A168" s="54" t="s">
        <v>141</v>
      </c>
      <c r="B168" s="54" t="s">
        <v>327</v>
      </c>
      <c r="C168" s="370">
        <v>1380794</v>
      </c>
      <c r="D168" s="370">
        <v>1380794</v>
      </c>
      <c r="E168" s="370">
        <v>0</v>
      </c>
      <c r="F168" s="370">
        <f t="shared" si="2"/>
        <v>1380794</v>
      </c>
      <c r="G168" s="370">
        <v>0</v>
      </c>
      <c r="H168" s="370">
        <v>0</v>
      </c>
      <c r="I168" s="370">
        <v>0</v>
      </c>
      <c r="J168" s="370">
        <v>0</v>
      </c>
      <c r="K168" s="370">
        <v>0</v>
      </c>
      <c r="L168" s="376"/>
      <c r="M168" s="59"/>
      <c r="N168" s="59"/>
      <c r="O168" s="59"/>
      <c r="P168" s="59"/>
      <c r="Q168" s="59"/>
      <c r="R168" s="59"/>
      <c r="S168" s="59"/>
      <c r="T168" s="59"/>
      <c r="U168" s="59"/>
    </row>
    <row r="169" spans="1:21" ht="14.1" customHeight="1" x14ac:dyDescent="0.2">
      <c r="A169" s="54" t="s">
        <v>142</v>
      </c>
      <c r="B169" s="54" t="s">
        <v>328</v>
      </c>
      <c r="C169" s="370">
        <v>28315963</v>
      </c>
      <c r="D169" s="370">
        <v>28315963</v>
      </c>
      <c r="E169" s="370">
        <v>0</v>
      </c>
      <c r="F169" s="370">
        <f t="shared" si="2"/>
        <v>28315963</v>
      </c>
      <c r="G169" s="370">
        <v>0</v>
      </c>
      <c r="H169" s="370">
        <v>0</v>
      </c>
      <c r="I169" s="370">
        <v>0</v>
      </c>
      <c r="J169" s="370">
        <v>0</v>
      </c>
      <c r="K169" s="370">
        <v>0</v>
      </c>
      <c r="L169" s="376"/>
      <c r="M169" s="59"/>
      <c r="N169" s="59"/>
      <c r="O169" s="59"/>
      <c r="P169" s="59"/>
      <c r="Q169" s="59"/>
      <c r="R169" s="59"/>
      <c r="S169" s="59"/>
      <c r="T169" s="59"/>
      <c r="U169" s="59"/>
    </row>
    <row r="170" spans="1:21" ht="14.1" customHeight="1" x14ac:dyDescent="0.2">
      <c r="A170" s="54" t="s">
        <v>143</v>
      </c>
      <c r="B170" s="54" t="s">
        <v>329</v>
      </c>
      <c r="C170" s="370">
        <v>6099482</v>
      </c>
      <c r="D170" s="370">
        <v>6099482</v>
      </c>
      <c r="E170" s="370">
        <v>0</v>
      </c>
      <c r="F170" s="370">
        <f t="shared" si="2"/>
        <v>6099482</v>
      </c>
      <c r="G170" s="370">
        <v>0</v>
      </c>
      <c r="H170" s="370">
        <v>0</v>
      </c>
      <c r="I170" s="370">
        <v>0</v>
      </c>
      <c r="J170" s="370">
        <v>0</v>
      </c>
      <c r="K170" s="370">
        <v>0</v>
      </c>
      <c r="L170" s="376"/>
      <c r="M170" s="59"/>
      <c r="N170" s="59"/>
      <c r="O170" s="59"/>
      <c r="P170" s="59"/>
      <c r="Q170" s="59"/>
      <c r="R170" s="59"/>
      <c r="S170" s="59"/>
      <c r="T170" s="59"/>
      <c r="U170" s="59"/>
    </row>
    <row r="171" spans="1:21" ht="14.1" customHeight="1" x14ac:dyDescent="0.2">
      <c r="A171" s="54" t="s">
        <v>144</v>
      </c>
      <c r="B171" s="54" t="s">
        <v>330</v>
      </c>
      <c r="C171" s="370">
        <v>0</v>
      </c>
      <c r="D171" s="370">
        <v>0</v>
      </c>
      <c r="E171" s="370">
        <v>0</v>
      </c>
      <c r="F171" s="370">
        <f t="shared" si="2"/>
        <v>0</v>
      </c>
      <c r="G171" s="370">
        <v>0</v>
      </c>
      <c r="H171" s="370">
        <v>0</v>
      </c>
      <c r="I171" s="370">
        <v>0</v>
      </c>
      <c r="J171" s="370">
        <v>0</v>
      </c>
      <c r="K171" s="370">
        <v>0</v>
      </c>
      <c r="L171" s="376"/>
      <c r="M171" s="59"/>
      <c r="N171" s="59"/>
      <c r="O171" s="59"/>
      <c r="P171" s="59"/>
      <c r="Q171" s="59"/>
      <c r="R171" s="59"/>
      <c r="S171" s="59"/>
      <c r="T171" s="59"/>
      <c r="U171" s="59"/>
    </row>
    <row r="172" spans="1:21" ht="14.1" customHeight="1" x14ac:dyDescent="0.2">
      <c r="A172" s="54" t="s">
        <v>145</v>
      </c>
      <c r="B172" s="54" t="s">
        <v>331</v>
      </c>
      <c r="C172" s="370">
        <v>2350373</v>
      </c>
      <c r="D172" s="370">
        <v>2350373</v>
      </c>
      <c r="E172" s="370">
        <v>0</v>
      </c>
      <c r="F172" s="370">
        <f t="shared" si="2"/>
        <v>2350373</v>
      </c>
      <c r="G172" s="370">
        <v>0</v>
      </c>
      <c r="H172" s="370">
        <v>0</v>
      </c>
      <c r="I172" s="370">
        <v>0</v>
      </c>
      <c r="J172" s="370">
        <v>0</v>
      </c>
      <c r="K172" s="370">
        <v>0</v>
      </c>
      <c r="L172" s="376"/>
      <c r="M172" s="59"/>
      <c r="N172" s="59"/>
      <c r="O172" s="59"/>
      <c r="P172" s="59"/>
      <c r="Q172" s="59"/>
      <c r="R172" s="59"/>
      <c r="S172" s="59"/>
      <c r="T172" s="59"/>
      <c r="U172" s="59"/>
    </row>
    <row r="173" spans="1:21" ht="14.1" customHeight="1" x14ac:dyDescent="0.2">
      <c r="A173" s="54" t="s">
        <v>146</v>
      </c>
      <c r="B173" s="54" t="s">
        <v>332</v>
      </c>
      <c r="C173" s="370">
        <v>0</v>
      </c>
      <c r="D173" s="370">
        <v>0</v>
      </c>
      <c r="E173" s="370">
        <v>0</v>
      </c>
      <c r="F173" s="370">
        <f t="shared" si="2"/>
        <v>0</v>
      </c>
      <c r="G173" s="370">
        <v>0</v>
      </c>
      <c r="H173" s="370">
        <v>0</v>
      </c>
      <c r="I173" s="370">
        <v>0</v>
      </c>
      <c r="J173" s="370">
        <v>0</v>
      </c>
      <c r="K173" s="370">
        <v>0</v>
      </c>
      <c r="L173" s="376"/>
      <c r="M173" s="59"/>
      <c r="N173" s="59"/>
      <c r="O173" s="59"/>
      <c r="P173" s="59"/>
      <c r="Q173" s="59"/>
      <c r="R173" s="59"/>
      <c r="S173" s="59"/>
      <c r="T173" s="59"/>
      <c r="U173" s="59"/>
    </row>
    <row r="174" spans="1:21" ht="14.1" customHeight="1" x14ac:dyDescent="0.2">
      <c r="A174" s="54" t="s">
        <v>147</v>
      </c>
      <c r="B174" s="54" t="s">
        <v>333</v>
      </c>
      <c r="C174" s="370">
        <v>0</v>
      </c>
      <c r="D174" s="370">
        <v>0</v>
      </c>
      <c r="E174" s="370">
        <v>0</v>
      </c>
      <c r="F174" s="370">
        <f t="shared" si="2"/>
        <v>0</v>
      </c>
      <c r="G174" s="370">
        <v>0</v>
      </c>
      <c r="H174" s="370">
        <v>0</v>
      </c>
      <c r="I174" s="370">
        <v>0</v>
      </c>
      <c r="J174" s="370">
        <v>0</v>
      </c>
      <c r="K174" s="370">
        <v>0</v>
      </c>
      <c r="L174" s="376"/>
      <c r="M174" s="59"/>
      <c r="N174" s="59"/>
      <c r="O174" s="59"/>
      <c r="P174" s="59"/>
      <c r="Q174" s="59"/>
      <c r="R174" s="59"/>
      <c r="S174" s="59"/>
      <c r="T174" s="59"/>
      <c r="U174" s="59"/>
    </row>
    <row r="175" spans="1:21" ht="14.1" customHeight="1" x14ac:dyDescent="0.2">
      <c r="A175" s="54" t="s">
        <v>148</v>
      </c>
      <c r="B175" s="54" t="s">
        <v>334</v>
      </c>
      <c r="C175" s="370">
        <v>0</v>
      </c>
      <c r="D175" s="370">
        <v>0</v>
      </c>
      <c r="E175" s="370">
        <v>0</v>
      </c>
      <c r="F175" s="370">
        <f t="shared" si="2"/>
        <v>0</v>
      </c>
      <c r="G175" s="370">
        <v>0</v>
      </c>
      <c r="H175" s="370">
        <v>0</v>
      </c>
      <c r="I175" s="370">
        <v>0</v>
      </c>
      <c r="J175" s="370">
        <v>0</v>
      </c>
      <c r="K175" s="370">
        <v>0</v>
      </c>
      <c r="L175" s="376"/>
      <c r="M175" s="59"/>
      <c r="N175" s="59"/>
      <c r="O175" s="59"/>
      <c r="P175" s="59"/>
      <c r="Q175" s="59"/>
      <c r="R175" s="59"/>
      <c r="S175" s="59"/>
      <c r="T175" s="59"/>
      <c r="U175" s="59"/>
    </row>
    <row r="176" spans="1:21" ht="14.1" customHeight="1" x14ac:dyDescent="0.2">
      <c r="A176" s="54" t="s">
        <v>149</v>
      </c>
      <c r="B176" s="54" t="s">
        <v>335</v>
      </c>
      <c r="C176" s="370">
        <v>0</v>
      </c>
      <c r="D176" s="370">
        <v>0</v>
      </c>
      <c r="E176" s="370">
        <v>0</v>
      </c>
      <c r="F176" s="370">
        <f t="shared" si="2"/>
        <v>0</v>
      </c>
      <c r="G176" s="370">
        <v>0</v>
      </c>
      <c r="H176" s="370">
        <v>0</v>
      </c>
      <c r="I176" s="370">
        <v>0</v>
      </c>
      <c r="J176" s="370">
        <v>0</v>
      </c>
      <c r="K176" s="370">
        <v>0</v>
      </c>
      <c r="L176" s="376"/>
      <c r="M176" s="59"/>
      <c r="N176" s="59"/>
      <c r="O176" s="59"/>
      <c r="P176" s="59"/>
      <c r="Q176" s="59"/>
      <c r="R176" s="59"/>
      <c r="S176" s="59"/>
      <c r="T176" s="59"/>
      <c r="U176" s="59"/>
    </row>
    <row r="177" spans="1:21" ht="14.1" customHeight="1" x14ac:dyDescent="0.2">
      <c r="A177" s="54" t="s">
        <v>150</v>
      </c>
      <c r="B177" s="54" t="s">
        <v>336</v>
      </c>
      <c r="C177" s="370">
        <v>0</v>
      </c>
      <c r="D177" s="370">
        <v>0</v>
      </c>
      <c r="E177" s="370">
        <v>0</v>
      </c>
      <c r="F177" s="370">
        <f t="shared" si="2"/>
        <v>0</v>
      </c>
      <c r="G177" s="370">
        <v>0</v>
      </c>
      <c r="H177" s="370">
        <v>0</v>
      </c>
      <c r="I177" s="370">
        <v>0</v>
      </c>
      <c r="J177" s="370">
        <v>0</v>
      </c>
      <c r="K177" s="370">
        <v>0</v>
      </c>
      <c r="L177" s="376"/>
      <c r="M177" s="59"/>
      <c r="N177" s="59"/>
      <c r="O177" s="59"/>
      <c r="P177" s="59"/>
      <c r="Q177" s="59"/>
      <c r="R177" s="59"/>
      <c r="S177" s="59"/>
      <c r="T177" s="59"/>
      <c r="U177" s="59"/>
    </row>
    <row r="178" spans="1:21" ht="14.1" customHeight="1" x14ac:dyDescent="0.2">
      <c r="A178" s="54" t="s">
        <v>151</v>
      </c>
      <c r="B178" s="54" t="s">
        <v>337</v>
      </c>
      <c r="C178" s="370">
        <v>40940</v>
      </c>
      <c r="D178" s="370">
        <v>10825</v>
      </c>
      <c r="E178" s="370">
        <v>0</v>
      </c>
      <c r="F178" s="370">
        <f t="shared" si="2"/>
        <v>10825</v>
      </c>
      <c r="G178" s="370">
        <v>0</v>
      </c>
      <c r="H178" s="370">
        <v>0</v>
      </c>
      <c r="I178" s="370">
        <v>30115</v>
      </c>
      <c r="J178" s="370">
        <v>0</v>
      </c>
      <c r="K178" s="370">
        <v>0</v>
      </c>
      <c r="L178" s="376"/>
      <c r="M178" s="59"/>
      <c r="N178" s="59"/>
      <c r="O178" s="59"/>
      <c r="P178" s="59"/>
      <c r="Q178" s="59"/>
      <c r="R178" s="59"/>
      <c r="S178" s="59"/>
      <c r="T178" s="59"/>
      <c r="U178" s="59"/>
    </row>
    <row r="179" spans="1:21" ht="14.1" customHeight="1" x14ac:dyDescent="0.2">
      <c r="A179" s="54" t="s">
        <v>152</v>
      </c>
      <c r="B179" s="54" t="s">
        <v>338</v>
      </c>
      <c r="C179" s="370">
        <v>0</v>
      </c>
      <c r="D179" s="370">
        <v>0</v>
      </c>
      <c r="E179" s="370">
        <v>0</v>
      </c>
      <c r="F179" s="370">
        <f t="shared" si="2"/>
        <v>0</v>
      </c>
      <c r="G179" s="370">
        <v>0</v>
      </c>
      <c r="H179" s="370">
        <v>0</v>
      </c>
      <c r="I179" s="370">
        <v>0</v>
      </c>
      <c r="J179" s="370">
        <v>0</v>
      </c>
      <c r="K179" s="370">
        <v>0</v>
      </c>
      <c r="L179" s="376"/>
      <c r="M179" s="59"/>
      <c r="N179" s="59"/>
      <c r="O179" s="59"/>
      <c r="P179" s="59"/>
      <c r="Q179" s="59"/>
      <c r="R179" s="59"/>
      <c r="S179" s="59"/>
      <c r="T179" s="59"/>
      <c r="U179" s="59"/>
    </row>
    <row r="180" spans="1:21" ht="14.1" customHeight="1" x14ac:dyDescent="0.2">
      <c r="A180" s="54" t="s">
        <v>153</v>
      </c>
      <c r="B180" s="54" t="s">
        <v>339</v>
      </c>
      <c r="C180" s="370">
        <v>1554081</v>
      </c>
      <c r="D180" s="370">
        <v>1554081</v>
      </c>
      <c r="E180" s="370">
        <v>0</v>
      </c>
      <c r="F180" s="370">
        <f t="shared" si="2"/>
        <v>1554081</v>
      </c>
      <c r="G180" s="370">
        <v>0</v>
      </c>
      <c r="H180" s="370">
        <v>0</v>
      </c>
      <c r="I180" s="370">
        <v>0</v>
      </c>
      <c r="J180" s="370">
        <v>0</v>
      </c>
      <c r="K180" s="370">
        <v>0</v>
      </c>
      <c r="L180" s="376"/>
      <c r="M180" s="59"/>
      <c r="N180" s="59"/>
      <c r="O180" s="59"/>
      <c r="P180" s="59"/>
      <c r="Q180" s="59"/>
      <c r="R180" s="59"/>
      <c r="S180" s="59"/>
      <c r="T180" s="59"/>
      <c r="U180" s="59"/>
    </row>
    <row r="181" spans="1:21" ht="14.1" customHeight="1" x14ac:dyDescent="0.2">
      <c r="A181" s="54" t="s">
        <v>154</v>
      </c>
      <c r="B181" s="54" t="s">
        <v>336</v>
      </c>
      <c r="C181" s="370">
        <v>0</v>
      </c>
      <c r="D181" s="370">
        <v>0</v>
      </c>
      <c r="E181" s="370">
        <v>0</v>
      </c>
      <c r="F181" s="370">
        <f t="shared" si="2"/>
        <v>0</v>
      </c>
      <c r="G181" s="370">
        <v>0</v>
      </c>
      <c r="H181" s="370">
        <v>0</v>
      </c>
      <c r="I181" s="370">
        <v>0</v>
      </c>
      <c r="J181" s="370">
        <v>0</v>
      </c>
      <c r="K181" s="370">
        <v>0</v>
      </c>
      <c r="L181" s="376"/>
      <c r="M181" s="59"/>
      <c r="N181" s="59"/>
      <c r="O181" s="59"/>
      <c r="P181" s="59"/>
      <c r="Q181" s="59"/>
      <c r="R181" s="59"/>
      <c r="S181" s="59"/>
      <c r="T181" s="59"/>
      <c r="U181" s="59"/>
    </row>
    <row r="182" spans="1:21" ht="14.1" customHeight="1" x14ac:dyDescent="0.2">
      <c r="A182" s="54" t="s">
        <v>155</v>
      </c>
      <c r="B182" s="54" t="s">
        <v>340</v>
      </c>
      <c r="C182" s="370">
        <v>35599322</v>
      </c>
      <c r="D182" s="370">
        <v>35599322</v>
      </c>
      <c r="E182" s="370">
        <v>0</v>
      </c>
      <c r="F182" s="370">
        <f t="shared" si="2"/>
        <v>35599322</v>
      </c>
      <c r="G182" s="370">
        <v>0</v>
      </c>
      <c r="H182" s="370">
        <v>0</v>
      </c>
      <c r="I182" s="370">
        <v>0</v>
      </c>
      <c r="J182" s="370">
        <v>0</v>
      </c>
      <c r="K182" s="370">
        <v>0</v>
      </c>
      <c r="L182" s="376"/>
      <c r="M182" s="59"/>
      <c r="N182" s="59"/>
      <c r="O182" s="59"/>
      <c r="P182" s="59"/>
      <c r="Q182" s="59"/>
      <c r="R182" s="59"/>
      <c r="S182" s="59"/>
      <c r="T182" s="59"/>
      <c r="U182" s="59"/>
    </row>
    <row r="183" spans="1:21" ht="14.1" customHeight="1" x14ac:dyDescent="0.2">
      <c r="A183" s="54" t="s">
        <v>156</v>
      </c>
      <c r="B183" s="54" t="s">
        <v>341</v>
      </c>
      <c r="C183" s="370">
        <v>1383176</v>
      </c>
      <c r="D183" s="370">
        <v>1383176</v>
      </c>
      <c r="E183" s="370">
        <v>0</v>
      </c>
      <c r="F183" s="370">
        <f t="shared" si="2"/>
        <v>1383176</v>
      </c>
      <c r="G183" s="370">
        <v>0</v>
      </c>
      <c r="H183" s="370">
        <v>0</v>
      </c>
      <c r="I183" s="370">
        <v>0</v>
      </c>
      <c r="J183" s="370">
        <v>0</v>
      </c>
      <c r="K183" s="370">
        <v>0</v>
      </c>
      <c r="L183" s="376"/>
      <c r="M183" s="59"/>
      <c r="N183" s="59"/>
      <c r="O183" s="59"/>
      <c r="P183" s="59"/>
      <c r="Q183" s="59"/>
      <c r="R183" s="59"/>
      <c r="S183" s="59"/>
      <c r="T183" s="59"/>
      <c r="U183" s="59"/>
    </row>
    <row r="184" spans="1:21" ht="14.1" customHeight="1" x14ac:dyDescent="0.2">
      <c r="A184" s="54" t="s">
        <v>157</v>
      </c>
      <c r="B184" s="54" t="s">
        <v>342</v>
      </c>
      <c r="C184" s="370">
        <v>16108</v>
      </c>
      <c r="D184" s="370">
        <v>16108</v>
      </c>
      <c r="E184" s="370">
        <v>0</v>
      </c>
      <c r="F184" s="370">
        <f t="shared" si="2"/>
        <v>16108</v>
      </c>
      <c r="G184" s="370">
        <v>0</v>
      </c>
      <c r="H184" s="370">
        <v>0</v>
      </c>
      <c r="I184" s="370">
        <v>0</v>
      </c>
      <c r="J184" s="370">
        <v>0</v>
      </c>
      <c r="K184" s="370">
        <v>0</v>
      </c>
      <c r="L184" s="376"/>
      <c r="M184" s="59"/>
      <c r="N184" s="59"/>
      <c r="O184" s="59"/>
      <c r="P184" s="59"/>
      <c r="Q184" s="59"/>
      <c r="R184" s="59"/>
      <c r="S184" s="59"/>
      <c r="T184" s="59"/>
      <c r="U184" s="59"/>
    </row>
    <row r="185" spans="1:21" ht="14.1" customHeight="1" x14ac:dyDescent="0.2">
      <c r="A185" s="54" t="s">
        <v>158</v>
      </c>
      <c r="B185" s="54" t="s">
        <v>343</v>
      </c>
      <c r="C185" s="370">
        <v>0</v>
      </c>
      <c r="D185" s="370">
        <v>0</v>
      </c>
      <c r="E185" s="370">
        <v>0</v>
      </c>
      <c r="F185" s="370">
        <f t="shared" si="2"/>
        <v>0</v>
      </c>
      <c r="G185" s="370">
        <v>0</v>
      </c>
      <c r="H185" s="370">
        <v>0</v>
      </c>
      <c r="I185" s="370">
        <v>0</v>
      </c>
      <c r="J185" s="370">
        <v>0</v>
      </c>
      <c r="K185" s="370">
        <v>0</v>
      </c>
      <c r="L185" s="376"/>
      <c r="M185" s="59"/>
      <c r="N185" s="59"/>
      <c r="O185" s="59"/>
      <c r="P185" s="59"/>
      <c r="Q185" s="59"/>
      <c r="R185" s="59"/>
      <c r="S185" s="59"/>
      <c r="T185" s="59"/>
      <c r="U185" s="59"/>
    </row>
    <row r="186" spans="1:21" ht="14.1" customHeight="1" x14ac:dyDescent="0.2">
      <c r="A186" s="54" t="s">
        <v>159</v>
      </c>
      <c r="B186" s="54" t="s">
        <v>344</v>
      </c>
      <c r="C186" s="370">
        <v>0</v>
      </c>
      <c r="D186" s="370">
        <v>0</v>
      </c>
      <c r="E186" s="370">
        <v>0</v>
      </c>
      <c r="F186" s="370">
        <f t="shared" si="2"/>
        <v>0</v>
      </c>
      <c r="G186" s="370">
        <v>0</v>
      </c>
      <c r="H186" s="370">
        <v>0</v>
      </c>
      <c r="I186" s="370">
        <v>0</v>
      </c>
      <c r="J186" s="370">
        <v>0</v>
      </c>
      <c r="K186" s="370">
        <v>0</v>
      </c>
      <c r="L186" s="376"/>
      <c r="M186" s="59"/>
      <c r="N186" s="59"/>
      <c r="O186" s="59"/>
      <c r="P186" s="59"/>
      <c r="Q186" s="59"/>
      <c r="R186" s="59"/>
      <c r="S186" s="59"/>
      <c r="T186" s="59"/>
      <c r="U186" s="59"/>
    </row>
    <row r="187" spans="1:21" ht="14.1" customHeight="1" x14ac:dyDescent="0.2">
      <c r="A187" s="54" t="s">
        <v>160</v>
      </c>
      <c r="B187" s="54" t="s">
        <v>345</v>
      </c>
      <c r="C187" s="370">
        <v>326932</v>
      </c>
      <c r="D187" s="370">
        <v>0</v>
      </c>
      <c r="E187" s="370">
        <v>0</v>
      </c>
      <c r="F187" s="370">
        <f t="shared" si="2"/>
        <v>0</v>
      </c>
      <c r="G187" s="370">
        <v>0</v>
      </c>
      <c r="H187" s="370">
        <v>0</v>
      </c>
      <c r="I187" s="370">
        <v>326933</v>
      </c>
      <c r="J187" s="370">
        <v>0</v>
      </c>
      <c r="K187" s="370">
        <v>0</v>
      </c>
      <c r="L187" s="376"/>
      <c r="M187" s="59"/>
      <c r="N187" s="59"/>
      <c r="O187" s="59"/>
      <c r="P187" s="59"/>
      <c r="Q187" s="59"/>
      <c r="R187" s="59"/>
      <c r="S187" s="59"/>
      <c r="T187" s="59"/>
      <c r="U187" s="59"/>
    </row>
    <row r="188" spans="1:21" ht="14.1" customHeight="1" x14ac:dyDescent="0.2">
      <c r="A188" s="54" t="s">
        <v>161</v>
      </c>
      <c r="B188" s="54" t="s">
        <v>346</v>
      </c>
      <c r="C188" s="370">
        <v>0</v>
      </c>
      <c r="D188" s="370">
        <v>0</v>
      </c>
      <c r="E188" s="370">
        <v>0</v>
      </c>
      <c r="F188" s="370">
        <f t="shared" si="2"/>
        <v>0</v>
      </c>
      <c r="G188" s="370">
        <v>0</v>
      </c>
      <c r="H188" s="370">
        <v>0</v>
      </c>
      <c r="I188" s="370">
        <v>0</v>
      </c>
      <c r="J188" s="370">
        <v>0</v>
      </c>
      <c r="K188" s="370">
        <v>0</v>
      </c>
      <c r="L188" s="376"/>
      <c r="M188" s="59"/>
      <c r="N188" s="59"/>
      <c r="O188" s="59"/>
      <c r="P188" s="59"/>
      <c r="Q188" s="59"/>
      <c r="R188" s="59"/>
      <c r="S188" s="59"/>
      <c r="T188" s="59"/>
      <c r="U188" s="59"/>
    </row>
    <row r="189" spans="1:21" ht="14.1" customHeight="1" x14ac:dyDescent="0.2">
      <c r="A189" s="54" t="s">
        <v>162</v>
      </c>
      <c r="B189" s="54" t="s">
        <v>347</v>
      </c>
      <c r="C189" s="370">
        <v>-17828654</v>
      </c>
      <c r="D189" s="370">
        <v>-17828654</v>
      </c>
      <c r="E189" s="370">
        <v>0</v>
      </c>
      <c r="F189" s="370">
        <f t="shared" si="2"/>
        <v>-17828654</v>
      </c>
      <c r="G189" s="370">
        <v>0</v>
      </c>
      <c r="H189" s="370">
        <v>0</v>
      </c>
      <c r="I189" s="370">
        <v>0</v>
      </c>
      <c r="J189" s="370">
        <v>0</v>
      </c>
      <c r="K189" s="370">
        <v>0</v>
      </c>
      <c r="L189" s="376"/>
      <c r="M189" s="59"/>
      <c r="N189" s="59"/>
      <c r="O189" s="59"/>
      <c r="P189" s="59"/>
      <c r="Q189" s="59"/>
      <c r="R189" s="59"/>
      <c r="S189" s="59"/>
      <c r="T189" s="59"/>
      <c r="U189" s="59"/>
    </row>
    <row r="190" spans="1:21" ht="14.1" customHeight="1" x14ac:dyDescent="0.2">
      <c r="A190" s="54" t="s">
        <v>163</v>
      </c>
      <c r="B190" s="54" t="s">
        <v>348</v>
      </c>
      <c r="C190" s="370">
        <v>-710905</v>
      </c>
      <c r="D190" s="370">
        <v>-710905</v>
      </c>
      <c r="E190" s="370">
        <v>0</v>
      </c>
      <c r="F190" s="370">
        <f t="shared" si="2"/>
        <v>-710905</v>
      </c>
      <c r="G190" s="370">
        <v>0</v>
      </c>
      <c r="H190" s="370">
        <v>0</v>
      </c>
      <c r="I190" s="370">
        <v>0</v>
      </c>
      <c r="J190" s="370">
        <v>0</v>
      </c>
      <c r="K190" s="370">
        <v>0</v>
      </c>
      <c r="L190" s="376"/>
      <c r="M190" s="59"/>
      <c r="N190" s="59"/>
      <c r="O190" s="59"/>
      <c r="P190" s="59"/>
      <c r="Q190" s="59"/>
      <c r="R190" s="59"/>
      <c r="S190" s="59"/>
      <c r="T190" s="59"/>
      <c r="U190" s="59"/>
    </row>
    <row r="191" spans="1:21" ht="14.1" customHeight="1" x14ac:dyDescent="0.2">
      <c r="A191" s="54" t="s">
        <v>164</v>
      </c>
      <c r="B191" s="54" t="s">
        <v>349</v>
      </c>
      <c r="C191" s="370">
        <v>0</v>
      </c>
      <c r="D191" s="370">
        <v>0</v>
      </c>
      <c r="E191" s="370">
        <v>0</v>
      </c>
      <c r="F191" s="370">
        <f t="shared" si="2"/>
        <v>0</v>
      </c>
      <c r="G191" s="370">
        <v>0</v>
      </c>
      <c r="H191" s="370">
        <v>0</v>
      </c>
      <c r="I191" s="370">
        <v>0</v>
      </c>
      <c r="J191" s="370">
        <v>0</v>
      </c>
      <c r="K191" s="370">
        <v>0</v>
      </c>
      <c r="L191" s="376"/>
      <c r="M191" s="59"/>
      <c r="N191" s="59"/>
      <c r="O191" s="59"/>
      <c r="P191" s="59"/>
      <c r="Q191" s="59"/>
      <c r="R191" s="59"/>
      <c r="S191" s="59"/>
      <c r="T191" s="59"/>
      <c r="U191" s="59"/>
    </row>
    <row r="192" spans="1:21" ht="14.1" customHeight="1" x14ac:dyDescent="0.2">
      <c r="A192" s="54" t="s">
        <v>165</v>
      </c>
      <c r="B192" s="54" t="s">
        <v>350</v>
      </c>
      <c r="C192" s="370">
        <v>0</v>
      </c>
      <c r="D192" s="370">
        <v>0</v>
      </c>
      <c r="E192" s="370">
        <v>0</v>
      </c>
      <c r="F192" s="370">
        <f t="shared" si="2"/>
        <v>0</v>
      </c>
      <c r="G192" s="370">
        <v>0</v>
      </c>
      <c r="H192" s="370">
        <v>0</v>
      </c>
      <c r="I192" s="370">
        <v>0</v>
      </c>
      <c r="J192" s="370">
        <v>0</v>
      </c>
      <c r="K192" s="370">
        <v>0</v>
      </c>
      <c r="L192" s="376"/>
      <c r="M192" s="59"/>
      <c r="N192" s="59"/>
      <c r="O192" s="59"/>
      <c r="P192" s="59"/>
      <c r="Q192" s="59"/>
      <c r="R192" s="59"/>
      <c r="S192" s="59"/>
      <c r="T192" s="59"/>
      <c r="U192" s="59"/>
    </row>
    <row r="193" spans="1:21" ht="14.1" customHeight="1" x14ac:dyDescent="0.2">
      <c r="A193" s="54" t="s">
        <v>404</v>
      </c>
      <c r="B193" s="54" t="s">
        <v>403</v>
      </c>
      <c r="C193" s="370">
        <v>0</v>
      </c>
      <c r="D193" s="370">
        <v>0</v>
      </c>
      <c r="E193" s="370">
        <v>0</v>
      </c>
      <c r="F193" s="370">
        <f t="shared" si="2"/>
        <v>0</v>
      </c>
      <c r="G193" s="370">
        <v>0</v>
      </c>
      <c r="H193" s="370">
        <v>0</v>
      </c>
      <c r="I193" s="370">
        <v>0</v>
      </c>
      <c r="J193" s="370">
        <v>0</v>
      </c>
      <c r="K193" s="370">
        <v>0</v>
      </c>
      <c r="L193" s="376"/>
      <c r="M193" s="59"/>
      <c r="N193" s="59"/>
      <c r="O193" s="59"/>
      <c r="P193" s="59"/>
      <c r="Q193" s="59"/>
      <c r="R193" s="59"/>
      <c r="S193" s="59"/>
      <c r="T193" s="59"/>
      <c r="U193" s="59"/>
    </row>
    <row r="194" spans="1:21" ht="14.1" customHeight="1" x14ac:dyDescent="0.2">
      <c r="A194" s="54" t="s">
        <v>166</v>
      </c>
      <c r="B194" s="54" t="s">
        <v>351</v>
      </c>
      <c r="C194" s="370">
        <v>-9457249</v>
      </c>
      <c r="D194" s="370">
        <v>-9457249</v>
      </c>
      <c r="E194" s="370">
        <v>0</v>
      </c>
      <c r="F194" s="370">
        <f t="shared" si="2"/>
        <v>-9457249</v>
      </c>
      <c r="G194" s="370">
        <v>0</v>
      </c>
      <c r="H194" s="370">
        <v>0</v>
      </c>
      <c r="I194" s="370">
        <v>0</v>
      </c>
      <c r="J194" s="370">
        <v>0</v>
      </c>
      <c r="K194" s="370">
        <v>0</v>
      </c>
      <c r="L194" s="376"/>
      <c r="M194" s="59"/>
      <c r="N194" s="59"/>
      <c r="O194" s="59"/>
      <c r="P194" s="59"/>
      <c r="Q194" s="59"/>
      <c r="R194" s="59"/>
      <c r="S194" s="59"/>
      <c r="T194" s="59"/>
      <c r="U194" s="59"/>
    </row>
    <row r="195" spans="1:21" ht="14.1" customHeight="1" x14ac:dyDescent="0.2">
      <c r="A195" s="54" t="s">
        <v>167</v>
      </c>
      <c r="B195" s="54" t="s">
        <v>352</v>
      </c>
      <c r="C195" s="370">
        <v>0</v>
      </c>
      <c r="D195" s="370">
        <v>0</v>
      </c>
      <c r="E195" s="370">
        <v>0</v>
      </c>
      <c r="F195" s="370">
        <f t="shared" si="2"/>
        <v>0</v>
      </c>
      <c r="G195" s="370">
        <v>0</v>
      </c>
      <c r="H195" s="370">
        <v>0</v>
      </c>
      <c r="I195" s="370">
        <v>0</v>
      </c>
      <c r="J195" s="370">
        <v>0</v>
      </c>
      <c r="K195" s="370">
        <v>0</v>
      </c>
      <c r="M195" s="59"/>
      <c r="N195" s="59"/>
      <c r="O195" s="59"/>
      <c r="P195" s="59"/>
      <c r="Q195" s="59"/>
      <c r="R195" s="59"/>
      <c r="S195" s="59"/>
      <c r="T195" s="59"/>
      <c r="U195" s="59"/>
    </row>
    <row r="196" spans="1:21" ht="14.1" customHeight="1" x14ac:dyDescent="0.2">
      <c r="A196" s="54" t="s">
        <v>168</v>
      </c>
      <c r="B196" s="54" t="s">
        <v>353</v>
      </c>
      <c r="C196" s="370">
        <v>225</v>
      </c>
      <c r="D196" s="370">
        <v>225</v>
      </c>
      <c r="E196" s="370">
        <v>0</v>
      </c>
      <c r="F196" s="370">
        <f t="shared" si="2"/>
        <v>225</v>
      </c>
      <c r="G196" s="370">
        <v>0</v>
      </c>
      <c r="H196" s="370">
        <v>0</v>
      </c>
      <c r="I196" s="370">
        <v>0</v>
      </c>
      <c r="J196" s="370">
        <v>0</v>
      </c>
      <c r="K196" s="370">
        <v>0</v>
      </c>
      <c r="L196" s="376"/>
      <c r="M196" s="59"/>
      <c r="N196" s="59"/>
      <c r="O196" s="59"/>
      <c r="P196" s="59"/>
      <c r="Q196" s="59"/>
      <c r="R196" s="59"/>
      <c r="S196" s="59"/>
      <c r="T196" s="59"/>
      <c r="U196" s="59"/>
    </row>
    <row r="197" spans="1:21" ht="14.1" customHeight="1" x14ac:dyDescent="0.2">
      <c r="A197" s="54" t="s">
        <v>169</v>
      </c>
      <c r="B197" s="54" t="s">
        <v>354</v>
      </c>
      <c r="C197" s="370">
        <v>0</v>
      </c>
      <c r="D197" s="370">
        <v>0</v>
      </c>
      <c r="E197" s="370">
        <v>0</v>
      </c>
      <c r="F197" s="370">
        <f t="shared" si="2"/>
        <v>0</v>
      </c>
      <c r="G197" s="370">
        <v>0</v>
      </c>
      <c r="H197" s="370">
        <v>0</v>
      </c>
      <c r="I197" s="370">
        <v>0</v>
      </c>
      <c r="J197" s="370">
        <v>0</v>
      </c>
      <c r="K197" s="370">
        <v>0</v>
      </c>
      <c r="L197" s="376"/>
      <c r="M197" s="59"/>
      <c r="N197" s="59"/>
      <c r="O197" s="59"/>
      <c r="P197" s="59"/>
      <c r="Q197" s="59"/>
      <c r="R197" s="59"/>
      <c r="S197" s="59"/>
      <c r="T197" s="59"/>
      <c r="U197" s="59"/>
    </row>
    <row r="198" spans="1:21" ht="14.1" customHeight="1" x14ac:dyDescent="0.2">
      <c r="A198" s="54" t="s">
        <v>170</v>
      </c>
      <c r="B198" s="54" t="s">
        <v>355</v>
      </c>
      <c r="C198" s="370">
        <v>28033165</v>
      </c>
      <c r="D198" s="370">
        <v>28033165</v>
      </c>
      <c r="E198" s="370">
        <v>0</v>
      </c>
      <c r="F198" s="370">
        <f t="shared" si="2"/>
        <v>28033165</v>
      </c>
      <c r="G198" s="370">
        <v>0</v>
      </c>
      <c r="H198" s="370">
        <v>0</v>
      </c>
      <c r="I198" s="370">
        <v>0</v>
      </c>
      <c r="J198" s="370">
        <v>0</v>
      </c>
      <c r="K198" s="370">
        <v>0</v>
      </c>
      <c r="L198" s="376"/>
      <c r="M198" s="59"/>
      <c r="N198" s="59"/>
      <c r="O198" s="59"/>
      <c r="P198" s="59"/>
      <c r="Q198" s="59"/>
      <c r="R198" s="59"/>
      <c r="S198" s="59"/>
      <c r="T198" s="59"/>
      <c r="U198" s="59"/>
    </row>
    <row r="199" spans="1:21" ht="14.1" customHeight="1" x14ac:dyDescent="0.2">
      <c r="A199" s="54" t="s">
        <v>402</v>
      </c>
      <c r="B199" s="54" t="s">
        <v>401</v>
      </c>
      <c r="C199" s="370">
        <v>-1771852</v>
      </c>
      <c r="D199" s="370">
        <v>-1771852</v>
      </c>
      <c r="E199" s="370">
        <v>0</v>
      </c>
      <c r="F199" s="370">
        <f t="shared" si="2"/>
        <v>-1771852</v>
      </c>
      <c r="G199" s="370">
        <v>0</v>
      </c>
      <c r="H199" s="370">
        <v>0</v>
      </c>
      <c r="I199" s="370">
        <v>0</v>
      </c>
      <c r="J199" s="370">
        <v>0</v>
      </c>
      <c r="K199" s="370">
        <v>0</v>
      </c>
      <c r="L199" s="376" t="s">
        <v>613</v>
      </c>
      <c r="M199" s="59"/>
      <c r="N199" s="59"/>
      <c r="O199" s="59"/>
      <c r="P199" s="59"/>
      <c r="Q199" s="59"/>
      <c r="R199" s="59"/>
      <c r="S199" s="59"/>
      <c r="T199" s="59"/>
      <c r="U199" s="59"/>
    </row>
    <row r="200" spans="1:21" ht="14.1" customHeight="1" x14ac:dyDescent="0.2">
      <c r="A200" s="54" t="s">
        <v>400</v>
      </c>
      <c r="B200" s="54" t="s">
        <v>399</v>
      </c>
      <c r="C200" s="370">
        <v>0</v>
      </c>
      <c r="D200" s="370">
        <v>0</v>
      </c>
      <c r="E200" s="370">
        <v>0</v>
      </c>
      <c r="F200" s="370">
        <f t="shared" si="2"/>
        <v>0</v>
      </c>
      <c r="G200" s="370">
        <v>0</v>
      </c>
      <c r="H200" s="370">
        <v>0</v>
      </c>
      <c r="I200" s="370">
        <v>0</v>
      </c>
      <c r="J200" s="370">
        <v>0</v>
      </c>
      <c r="K200" s="370">
        <v>0</v>
      </c>
      <c r="L200" s="376"/>
      <c r="M200" s="59"/>
      <c r="N200" s="59"/>
      <c r="O200" s="59"/>
      <c r="P200" s="59"/>
      <c r="Q200" s="59"/>
      <c r="R200" s="59"/>
      <c r="S200" s="59"/>
      <c r="T200" s="59"/>
      <c r="U200" s="59"/>
    </row>
    <row r="201" spans="1:21" ht="14.1" customHeight="1" x14ac:dyDescent="0.2">
      <c r="A201" s="54" t="s">
        <v>398</v>
      </c>
      <c r="B201" s="54" t="s">
        <v>397</v>
      </c>
      <c r="C201" s="370">
        <v>0</v>
      </c>
      <c r="D201" s="370">
        <v>0</v>
      </c>
      <c r="E201" s="370">
        <v>0</v>
      </c>
      <c r="F201" s="370">
        <f t="shared" ref="F201:F230" si="3">D201+E201</f>
        <v>0</v>
      </c>
      <c r="G201" s="370">
        <v>0</v>
      </c>
      <c r="H201" s="370">
        <v>0</v>
      </c>
      <c r="I201" s="370">
        <v>0</v>
      </c>
      <c r="J201" s="370">
        <v>0</v>
      </c>
      <c r="K201" s="370">
        <v>0</v>
      </c>
      <c r="L201" s="376"/>
      <c r="M201" s="59"/>
      <c r="N201" s="59"/>
      <c r="O201" s="59"/>
      <c r="P201" s="59"/>
      <c r="Q201" s="59"/>
      <c r="R201" s="59"/>
      <c r="S201" s="59"/>
      <c r="T201" s="59"/>
      <c r="U201" s="59"/>
    </row>
    <row r="202" spans="1:21" ht="14.1" customHeight="1" x14ac:dyDescent="0.2">
      <c r="A202" s="54" t="s">
        <v>591</v>
      </c>
      <c r="B202" s="54" t="s">
        <v>592</v>
      </c>
      <c r="C202" s="370">
        <v>0</v>
      </c>
      <c r="D202" s="370">
        <v>0</v>
      </c>
      <c r="E202" s="370">
        <v>0</v>
      </c>
      <c r="F202" s="370">
        <f t="shared" si="3"/>
        <v>0</v>
      </c>
      <c r="G202" s="370">
        <v>0</v>
      </c>
      <c r="H202" s="370">
        <v>0</v>
      </c>
      <c r="I202" s="370">
        <v>0</v>
      </c>
      <c r="J202" s="370">
        <v>0</v>
      </c>
      <c r="K202" s="370">
        <v>0</v>
      </c>
      <c r="L202" s="376"/>
      <c r="M202" s="59"/>
      <c r="N202" s="59"/>
      <c r="O202" s="59"/>
      <c r="P202" s="59"/>
      <c r="Q202" s="59"/>
      <c r="R202" s="59"/>
      <c r="S202" s="59"/>
      <c r="T202" s="59"/>
      <c r="U202" s="59"/>
    </row>
    <row r="203" spans="1:21" ht="14.1" customHeight="1" x14ac:dyDescent="0.2">
      <c r="A203" s="54" t="s">
        <v>171</v>
      </c>
      <c r="B203" s="54" t="s">
        <v>356</v>
      </c>
      <c r="C203" s="370">
        <v>10118562</v>
      </c>
      <c r="D203" s="370">
        <v>10118562</v>
      </c>
      <c r="E203" s="370">
        <v>0</v>
      </c>
      <c r="F203" s="370">
        <f t="shared" si="3"/>
        <v>10118562</v>
      </c>
      <c r="G203" s="370">
        <v>0</v>
      </c>
      <c r="H203" s="370">
        <v>0</v>
      </c>
      <c r="I203" s="370">
        <v>0</v>
      </c>
      <c r="J203" s="370">
        <v>0</v>
      </c>
      <c r="K203" s="370">
        <v>0</v>
      </c>
      <c r="L203" s="376"/>
      <c r="M203" s="59"/>
      <c r="N203" s="59"/>
      <c r="O203" s="59"/>
      <c r="P203" s="59"/>
      <c r="Q203" s="59"/>
      <c r="R203" s="59"/>
      <c r="S203" s="59"/>
      <c r="T203" s="59"/>
      <c r="U203" s="59"/>
    </row>
    <row r="204" spans="1:21" ht="14.1" customHeight="1" x14ac:dyDescent="0.2">
      <c r="A204" s="54" t="s">
        <v>172</v>
      </c>
      <c r="B204" s="54" t="s">
        <v>357</v>
      </c>
      <c r="C204" s="370">
        <v>3138307</v>
      </c>
      <c r="D204" s="370">
        <v>3138307</v>
      </c>
      <c r="E204" s="370">
        <v>0</v>
      </c>
      <c r="F204" s="370">
        <f t="shared" si="3"/>
        <v>3138307</v>
      </c>
      <c r="G204" s="370">
        <v>0</v>
      </c>
      <c r="H204" s="370">
        <v>0</v>
      </c>
      <c r="I204" s="370">
        <v>0</v>
      </c>
      <c r="J204" s="370">
        <v>0</v>
      </c>
      <c r="K204" s="370">
        <v>0</v>
      </c>
      <c r="L204" s="376"/>
      <c r="M204" s="59"/>
      <c r="N204" s="59"/>
      <c r="O204" s="59"/>
      <c r="P204" s="59"/>
      <c r="Q204" s="59"/>
      <c r="R204" s="59"/>
      <c r="S204" s="59"/>
      <c r="T204" s="59"/>
      <c r="U204" s="59"/>
    </row>
    <row r="205" spans="1:21" ht="14.1" customHeight="1" x14ac:dyDescent="0.2">
      <c r="A205" s="54" t="s">
        <v>173</v>
      </c>
      <c r="B205" s="54" t="s">
        <v>358</v>
      </c>
      <c r="C205" s="370">
        <v>0</v>
      </c>
      <c r="D205" s="370">
        <v>0</v>
      </c>
      <c r="E205" s="370">
        <v>0</v>
      </c>
      <c r="F205" s="370">
        <f t="shared" si="3"/>
        <v>0</v>
      </c>
      <c r="G205" s="370">
        <v>0</v>
      </c>
      <c r="H205" s="370">
        <v>0</v>
      </c>
      <c r="I205" s="370">
        <v>0</v>
      </c>
      <c r="J205" s="370">
        <v>0</v>
      </c>
      <c r="K205" s="370">
        <v>0</v>
      </c>
      <c r="L205" s="376"/>
      <c r="M205" s="59"/>
      <c r="N205" s="59"/>
      <c r="O205" s="59"/>
      <c r="P205" s="59"/>
      <c r="Q205" s="59"/>
      <c r="R205" s="59"/>
      <c r="S205" s="59"/>
      <c r="T205" s="59"/>
      <c r="U205" s="59"/>
    </row>
    <row r="206" spans="1:21" ht="14.1" customHeight="1" x14ac:dyDescent="0.2">
      <c r="A206" s="54" t="s">
        <v>174</v>
      </c>
      <c r="B206" s="54" t="s">
        <v>359</v>
      </c>
      <c r="C206" s="370">
        <v>0</v>
      </c>
      <c r="D206" s="370">
        <v>0</v>
      </c>
      <c r="E206" s="370">
        <v>0</v>
      </c>
      <c r="F206" s="370">
        <f t="shared" si="3"/>
        <v>0</v>
      </c>
      <c r="G206" s="370">
        <v>0</v>
      </c>
      <c r="H206" s="370">
        <v>0</v>
      </c>
      <c r="I206" s="370">
        <v>0</v>
      </c>
      <c r="J206" s="370">
        <v>0</v>
      </c>
      <c r="K206" s="370">
        <v>0</v>
      </c>
      <c r="L206" s="376"/>
      <c r="M206" s="59"/>
      <c r="N206" s="59"/>
      <c r="O206" s="59"/>
      <c r="P206" s="59"/>
      <c r="Q206" s="59"/>
      <c r="R206" s="59"/>
      <c r="S206" s="59"/>
      <c r="T206" s="59"/>
      <c r="U206" s="59"/>
    </row>
    <row r="207" spans="1:21" ht="14.1" customHeight="1" x14ac:dyDescent="0.2">
      <c r="A207" s="54" t="s">
        <v>175</v>
      </c>
      <c r="B207" s="54" t="s">
        <v>360</v>
      </c>
      <c r="C207" s="370">
        <v>0</v>
      </c>
      <c r="D207" s="370">
        <v>0</v>
      </c>
      <c r="E207" s="370">
        <v>0</v>
      </c>
      <c r="F207" s="370">
        <f t="shared" si="3"/>
        <v>0</v>
      </c>
      <c r="G207" s="370">
        <v>0</v>
      </c>
      <c r="H207" s="370">
        <v>0</v>
      </c>
      <c r="I207" s="370">
        <v>0</v>
      </c>
      <c r="J207" s="370">
        <v>0</v>
      </c>
      <c r="K207" s="370">
        <v>0</v>
      </c>
      <c r="L207" s="376"/>
      <c r="M207" s="59"/>
      <c r="N207" s="59"/>
      <c r="O207" s="59"/>
      <c r="P207" s="59"/>
      <c r="Q207" s="59"/>
      <c r="R207" s="59"/>
      <c r="S207" s="59"/>
      <c r="T207" s="59"/>
      <c r="U207" s="59"/>
    </row>
    <row r="208" spans="1:21" ht="14.1" customHeight="1" x14ac:dyDescent="0.2">
      <c r="A208" s="54" t="s">
        <v>176</v>
      </c>
      <c r="B208" s="54" t="s">
        <v>361</v>
      </c>
      <c r="C208" s="370">
        <v>-17120025</v>
      </c>
      <c r="D208" s="370">
        <v>-17120025</v>
      </c>
      <c r="E208" s="370">
        <v>0</v>
      </c>
      <c r="F208" s="370">
        <f t="shared" si="3"/>
        <v>-17120025</v>
      </c>
      <c r="G208" s="370">
        <v>0</v>
      </c>
      <c r="H208" s="370">
        <v>0</v>
      </c>
      <c r="I208" s="370">
        <v>0</v>
      </c>
      <c r="J208" s="370">
        <v>0</v>
      </c>
      <c r="K208" s="370">
        <v>0</v>
      </c>
      <c r="L208" s="376"/>
      <c r="M208" s="59"/>
      <c r="N208" s="59"/>
      <c r="O208" s="59"/>
      <c r="P208" s="59"/>
      <c r="Q208" s="59"/>
      <c r="R208" s="59"/>
      <c r="S208" s="59"/>
      <c r="T208" s="59"/>
      <c r="U208" s="59"/>
    </row>
    <row r="209" spans="1:21" ht="14.1" customHeight="1" x14ac:dyDescent="0.2">
      <c r="A209" s="54" t="s">
        <v>177</v>
      </c>
      <c r="B209" s="54" t="s">
        <v>362</v>
      </c>
      <c r="C209" s="370">
        <v>1241296</v>
      </c>
      <c r="D209" s="370">
        <v>1241296</v>
      </c>
      <c r="E209" s="370">
        <v>0</v>
      </c>
      <c r="F209" s="370">
        <f t="shared" si="3"/>
        <v>1241296</v>
      </c>
      <c r="G209" s="370">
        <v>0</v>
      </c>
      <c r="H209" s="370">
        <v>0</v>
      </c>
      <c r="I209" s="370">
        <v>0</v>
      </c>
      <c r="J209" s="370">
        <v>0</v>
      </c>
      <c r="K209" s="370">
        <v>0</v>
      </c>
      <c r="L209" s="376"/>
      <c r="M209" s="59"/>
      <c r="N209" s="59"/>
      <c r="O209" s="59"/>
      <c r="P209" s="59"/>
      <c r="Q209" s="59"/>
      <c r="R209" s="59"/>
      <c r="S209" s="59"/>
      <c r="T209" s="59"/>
      <c r="U209" s="59"/>
    </row>
    <row r="210" spans="1:21" ht="14.1" customHeight="1" x14ac:dyDescent="0.2">
      <c r="A210" s="54" t="s">
        <v>178</v>
      </c>
      <c r="B210" s="54" t="s">
        <v>363</v>
      </c>
      <c r="C210" s="370">
        <v>0</v>
      </c>
      <c r="D210" s="370">
        <v>0</v>
      </c>
      <c r="E210" s="370">
        <v>0</v>
      </c>
      <c r="F210" s="370">
        <f t="shared" si="3"/>
        <v>0</v>
      </c>
      <c r="G210" s="370">
        <v>0</v>
      </c>
      <c r="H210" s="370">
        <v>0</v>
      </c>
      <c r="I210" s="370">
        <v>0</v>
      </c>
      <c r="J210" s="370">
        <v>0</v>
      </c>
      <c r="K210" s="370">
        <v>0</v>
      </c>
      <c r="L210" s="376"/>
      <c r="M210" s="59"/>
      <c r="N210" s="59"/>
      <c r="O210" s="59"/>
      <c r="P210" s="59"/>
      <c r="Q210" s="59"/>
      <c r="R210" s="59"/>
      <c r="S210" s="59"/>
      <c r="T210" s="59"/>
      <c r="U210" s="59"/>
    </row>
    <row r="211" spans="1:21" ht="14.1" customHeight="1" x14ac:dyDescent="0.2">
      <c r="A211" s="54" t="s">
        <v>179</v>
      </c>
      <c r="B211" s="54" t="s">
        <v>364</v>
      </c>
      <c r="C211" s="370">
        <v>-29271444</v>
      </c>
      <c r="D211" s="370">
        <v>-29271444</v>
      </c>
      <c r="E211" s="370">
        <v>0</v>
      </c>
      <c r="F211" s="370">
        <f t="shared" si="3"/>
        <v>-29271444</v>
      </c>
      <c r="G211" s="370">
        <v>0</v>
      </c>
      <c r="H211" s="370">
        <v>0</v>
      </c>
      <c r="I211" s="370">
        <v>0</v>
      </c>
      <c r="J211" s="370">
        <v>0</v>
      </c>
      <c r="K211" s="370">
        <v>0</v>
      </c>
      <c r="L211" s="376"/>
      <c r="M211" s="59"/>
      <c r="N211" s="59"/>
      <c r="O211" s="59"/>
      <c r="P211" s="59"/>
      <c r="Q211" s="59"/>
      <c r="R211" s="59"/>
      <c r="S211" s="59"/>
      <c r="T211" s="59"/>
      <c r="U211" s="59"/>
    </row>
    <row r="212" spans="1:21" ht="14.1" customHeight="1" x14ac:dyDescent="0.2">
      <c r="A212" s="54" t="s">
        <v>180</v>
      </c>
      <c r="B212" s="54" t="s">
        <v>365</v>
      </c>
      <c r="C212" s="370">
        <v>1324037</v>
      </c>
      <c r="D212" s="370">
        <v>1324037</v>
      </c>
      <c r="E212" s="370">
        <v>0</v>
      </c>
      <c r="F212" s="370">
        <f t="shared" si="3"/>
        <v>1324037</v>
      </c>
      <c r="G212" s="370">
        <v>0</v>
      </c>
      <c r="H212" s="370">
        <v>0</v>
      </c>
      <c r="I212" s="370">
        <v>0</v>
      </c>
      <c r="J212" s="370">
        <v>0</v>
      </c>
      <c r="K212" s="370">
        <v>0</v>
      </c>
      <c r="L212" s="376"/>
      <c r="M212" s="59"/>
      <c r="N212" s="59"/>
      <c r="O212" s="59"/>
      <c r="P212" s="59"/>
      <c r="Q212" s="59"/>
      <c r="R212" s="59"/>
      <c r="S212" s="59"/>
      <c r="T212" s="59"/>
      <c r="U212" s="59"/>
    </row>
    <row r="213" spans="1:21" ht="14.1" customHeight="1" x14ac:dyDescent="0.2">
      <c r="A213" s="54" t="s">
        <v>181</v>
      </c>
      <c r="B213" s="54" t="s">
        <v>366</v>
      </c>
      <c r="C213" s="370">
        <v>18824985</v>
      </c>
      <c r="D213" s="370">
        <v>18824985</v>
      </c>
      <c r="E213" s="370">
        <v>0</v>
      </c>
      <c r="F213" s="370">
        <f t="shared" si="3"/>
        <v>18824985</v>
      </c>
      <c r="G213" s="370">
        <v>0</v>
      </c>
      <c r="H213" s="370">
        <v>0</v>
      </c>
      <c r="I213" s="370">
        <v>0</v>
      </c>
      <c r="J213" s="370">
        <v>0</v>
      </c>
      <c r="K213" s="370">
        <v>0</v>
      </c>
      <c r="M213" s="59"/>
      <c r="N213" s="59"/>
      <c r="O213" s="59"/>
      <c r="P213" s="59"/>
      <c r="Q213" s="59"/>
      <c r="R213" s="59"/>
      <c r="S213" s="59"/>
      <c r="T213" s="59"/>
      <c r="U213" s="59"/>
    </row>
    <row r="214" spans="1:21" ht="14.1" customHeight="1" x14ac:dyDescent="0.2">
      <c r="A214" s="54" t="s">
        <v>182</v>
      </c>
      <c r="B214" s="54" t="s">
        <v>367</v>
      </c>
      <c r="C214" s="370">
        <v>0</v>
      </c>
      <c r="D214" s="370">
        <v>0</v>
      </c>
      <c r="E214" s="370">
        <v>0</v>
      </c>
      <c r="F214" s="370">
        <f t="shared" si="3"/>
        <v>0</v>
      </c>
      <c r="G214" s="370">
        <v>0</v>
      </c>
      <c r="H214" s="370">
        <v>0</v>
      </c>
      <c r="I214" s="370">
        <v>0</v>
      </c>
      <c r="J214" s="370">
        <v>0</v>
      </c>
      <c r="K214" s="370">
        <v>0</v>
      </c>
      <c r="M214" s="59"/>
      <c r="N214" s="59"/>
      <c r="O214" s="59"/>
      <c r="P214" s="59"/>
      <c r="Q214" s="59"/>
      <c r="R214" s="59"/>
      <c r="S214" s="59"/>
      <c r="T214" s="59"/>
      <c r="U214" s="59"/>
    </row>
    <row r="215" spans="1:21" ht="14.1" customHeight="1" x14ac:dyDescent="0.2">
      <c r="A215" s="54" t="s">
        <v>183</v>
      </c>
      <c r="B215" s="54" t="s">
        <v>368</v>
      </c>
      <c r="C215" s="370">
        <v>0</v>
      </c>
      <c r="D215" s="370">
        <v>0</v>
      </c>
      <c r="E215" s="370">
        <v>0</v>
      </c>
      <c r="F215" s="370">
        <f t="shared" si="3"/>
        <v>0</v>
      </c>
      <c r="G215" s="370">
        <v>0</v>
      </c>
      <c r="H215" s="370">
        <v>0</v>
      </c>
      <c r="I215" s="370">
        <v>0</v>
      </c>
      <c r="J215" s="370">
        <v>0</v>
      </c>
      <c r="K215" s="370">
        <v>0</v>
      </c>
      <c r="M215" s="59"/>
      <c r="N215" s="59"/>
      <c r="O215" s="59"/>
      <c r="P215" s="59"/>
      <c r="Q215" s="59"/>
      <c r="R215" s="59"/>
      <c r="S215" s="59"/>
      <c r="T215" s="59"/>
      <c r="U215" s="59"/>
    </row>
    <row r="216" spans="1:21" ht="14.1" customHeight="1" x14ac:dyDescent="0.2">
      <c r="A216" s="54" t="s">
        <v>184</v>
      </c>
      <c r="B216" s="54" t="s">
        <v>369</v>
      </c>
      <c r="C216" s="370">
        <v>-15038186</v>
      </c>
      <c r="D216" s="370">
        <v>-15038186</v>
      </c>
      <c r="E216" s="370">
        <v>0</v>
      </c>
      <c r="F216" s="370">
        <f t="shared" si="3"/>
        <v>-15038186</v>
      </c>
      <c r="G216" s="370">
        <v>0</v>
      </c>
      <c r="H216" s="370">
        <v>0</v>
      </c>
      <c r="I216" s="370">
        <v>0</v>
      </c>
      <c r="J216" s="370">
        <v>0</v>
      </c>
      <c r="K216" s="370">
        <v>0</v>
      </c>
      <c r="M216" s="59"/>
      <c r="N216" s="59"/>
      <c r="O216" s="59"/>
      <c r="P216" s="59"/>
      <c r="Q216" s="59"/>
      <c r="R216" s="59"/>
      <c r="S216" s="59"/>
      <c r="T216" s="59"/>
      <c r="U216" s="59"/>
    </row>
    <row r="217" spans="1:21" ht="14.1" customHeight="1" x14ac:dyDescent="0.2">
      <c r="A217" s="54" t="s">
        <v>185</v>
      </c>
      <c r="B217" s="54" t="s">
        <v>370</v>
      </c>
      <c r="C217" s="370">
        <v>0</v>
      </c>
      <c r="D217" s="370">
        <v>0</v>
      </c>
      <c r="E217" s="370">
        <v>0</v>
      </c>
      <c r="F217" s="370">
        <f t="shared" si="3"/>
        <v>0</v>
      </c>
      <c r="G217" s="370">
        <v>0</v>
      </c>
      <c r="H217" s="370">
        <v>0</v>
      </c>
      <c r="I217" s="370">
        <v>0</v>
      </c>
      <c r="J217" s="370">
        <v>0</v>
      </c>
      <c r="K217" s="370">
        <v>0</v>
      </c>
      <c r="M217" s="59"/>
      <c r="N217" s="59"/>
      <c r="O217" s="59"/>
      <c r="P217" s="59"/>
      <c r="Q217" s="59"/>
      <c r="R217" s="59"/>
      <c r="S217" s="59"/>
      <c r="T217" s="59"/>
      <c r="U217" s="59"/>
    </row>
    <row r="218" spans="1:21" ht="14.1" customHeight="1" x14ac:dyDescent="0.2">
      <c r="A218" s="54" t="s">
        <v>593</v>
      </c>
      <c r="B218" s="54" t="s">
        <v>459</v>
      </c>
      <c r="C218" s="370">
        <v>0</v>
      </c>
      <c r="D218" s="370">
        <v>0</v>
      </c>
      <c r="E218" s="370">
        <v>0</v>
      </c>
      <c r="F218" s="370">
        <f t="shared" si="3"/>
        <v>0</v>
      </c>
      <c r="G218" s="370">
        <v>0</v>
      </c>
      <c r="H218" s="370">
        <v>0</v>
      </c>
      <c r="I218" s="370">
        <v>0</v>
      </c>
      <c r="J218" s="370">
        <v>0</v>
      </c>
      <c r="K218" s="370">
        <v>0</v>
      </c>
      <c r="M218" s="59"/>
      <c r="N218" s="59"/>
      <c r="O218" s="59"/>
      <c r="P218" s="59"/>
      <c r="Q218" s="59"/>
      <c r="R218" s="59"/>
      <c r="S218" s="59"/>
      <c r="T218" s="59"/>
      <c r="U218" s="59"/>
    </row>
    <row r="219" spans="1:21" ht="14.1" customHeight="1" x14ac:dyDescent="0.2">
      <c r="A219" s="54" t="s">
        <v>396</v>
      </c>
      <c r="B219" s="54" t="s">
        <v>395</v>
      </c>
      <c r="C219" s="370">
        <v>724553148</v>
      </c>
      <c r="D219" s="370">
        <v>726241955</v>
      </c>
      <c r="E219" s="370">
        <v>0</v>
      </c>
      <c r="F219" s="370">
        <f t="shared" si="3"/>
        <v>726241955</v>
      </c>
      <c r="G219" s="370">
        <v>-1502430</v>
      </c>
      <c r="H219" s="370">
        <v>0</v>
      </c>
      <c r="I219" s="370">
        <v>-186377</v>
      </c>
      <c r="J219" s="370">
        <v>0</v>
      </c>
      <c r="K219" s="370">
        <v>0</v>
      </c>
      <c r="L219" s="376" t="s">
        <v>443</v>
      </c>
      <c r="M219" s="59"/>
      <c r="N219" s="59"/>
      <c r="O219" s="59"/>
      <c r="P219" s="59"/>
      <c r="Q219" s="59"/>
      <c r="R219" s="59"/>
      <c r="S219" s="59"/>
      <c r="T219" s="59"/>
      <c r="U219" s="59"/>
    </row>
    <row r="220" spans="1:21" ht="14.1" customHeight="1" x14ac:dyDescent="0.2">
      <c r="A220" s="54" t="s">
        <v>394</v>
      </c>
      <c r="B220" s="54" t="s">
        <v>393</v>
      </c>
      <c r="C220" s="370">
        <v>2724520796</v>
      </c>
      <c r="D220" s="370">
        <v>2779845010</v>
      </c>
      <c r="E220" s="370">
        <v>0</v>
      </c>
      <c r="F220" s="370">
        <f t="shared" si="3"/>
        <v>2779845010</v>
      </c>
      <c r="G220" s="370">
        <v>2169232</v>
      </c>
      <c r="H220" s="370">
        <v>-57493446</v>
      </c>
      <c r="I220" s="370">
        <v>0</v>
      </c>
      <c r="J220" s="370">
        <v>0</v>
      </c>
      <c r="K220" s="370">
        <v>0</v>
      </c>
      <c r="L220" s="376" t="s">
        <v>443</v>
      </c>
      <c r="M220" s="59"/>
      <c r="N220" s="59"/>
      <c r="O220" s="59"/>
      <c r="P220" s="59"/>
      <c r="Q220" s="59"/>
      <c r="R220" s="59"/>
      <c r="S220" s="59"/>
      <c r="T220" s="59"/>
      <c r="U220" s="59"/>
    </row>
    <row r="221" spans="1:21" ht="14.1" customHeight="1" x14ac:dyDescent="0.2">
      <c r="A221" s="54" t="s">
        <v>392</v>
      </c>
      <c r="B221" s="54" t="s">
        <v>391</v>
      </c>
      <c r="C221" s="370">
        <v>563184585</v>
      </c>
      <c r="D221" s="370">
        <v>580003839</v>
      </c>
      <c r="E221" s="370">
        <v>0</v>
      </c>
      <c r="F221" s="370">
        <f t="shared" si="3"/>
        <v>580003839</v>
      </c>
      <c r="G221" s="370">
        <v>-594268</v>
      </c>
      <c r="H221" s="370">
        <v>-16172559</v>
      </c>
      <c r="I221" s="370">
        <v>-52427</v>
      </c>
      <c r="J221" s="370">
        <v>0</v>
      </c>
      <c r="K221" s="370">
        <v>0</v>
      </c>
      <c r="L221" s="376" t="s">
        <v>443</v>
      </c>
      <c r="M221" s="59"/>
      <c r="N221" s="59"/>
      <c r="O221" s="59"/>
      <c r="P221" s="59"/>
      <c r="Q221" s="59"/>
      <c r="R221" s="59"/>
      <c r="S221" s="59"/>
      <c r="T221" s="59"/>
      <c r="U221" s="59"/>
    </row>
    <row r="222" spans="1:21" ht="14.1" customHeight="1" x14ac:dyDescent="0.2">
      <c r="A222" s="54" t="s">
        <v>601</v>
      </c>
      <c r="B222" s="54" t="s">
        <v>601</v>
      </c>
      <c r="C222" s="370">
        <v>-1682036</v>
      </c>
      <c r="D222" s="370">
        <v>-1682036</v>
      </c>
      <c r="E222" s="370">
        <v>0</v>
      </c>
      <c r="F222" s="370">
        <f t="shared" si="3"/>
        <v>-1682036</v>
      </c>
      <c r="G222" s="370">
        <v>0</v>
      </c>
      <c r="H222" s="370">
        <v>0</v>
      </c>
      <c r="I222" s="370">
        <v>0</v>
      </c>
      <c r="J222" s="370">
        <v>0</v>
      </c>
      <c r="K222" s="370">
        <v>0</v>
      </c>
      <c r="L222" s="376" t="s">
        <v>605</v>
      </c>
      <c r="M222" s="59"/>
      <c r="N222" s="59"/>
      <c r="O222" s="59"/>
      <c r="P222" s="59"/>
      <c r="Q222" s="59"/>
      <c r="R222" s="59"/>
      <c r="S222" s="59"/>
      <c r="T222" s="59"/>
      <c r="U222" s="59"/>
    </row>
    <row r="223" spans="1:21" ht="14.1" customHeight="1" x14ac:dyDescent="0.2">
      <c r="A223" s="54" t="s">
        <v>602</v>
      </c>
      <c r="B223" s="54" t="s">
        <v>602</v>
      </c>
      <c r="C223" s="370">
        <v>4102540</v>
      </c>
      <c r="D223" s="370">
        <v>4102540</v>
      </c>
      <c r="E223" s="370">
        <v>0</v>
      </c>
      <c r="F223" s="370">
        <f t="shared" si="3"/>
        <v>4102540</v>
      </c>
      <c r="G223" s="370">
        <v>0</v>
      </c>
      <c r="H223" s="370">
        <v>0</v>
      </c>
      <c r="I223" s="370">
        <v>0</v>
      </c>
      <c r="J223" s="370">
        <v>0</v>
      </c>
      <c r="K223" s="370">
        <v>0</v>
      </c>
      <c r="L223" s="376" t="s">
        <v>605</v>
      </c>
      <c r="M223" s="59"/>
      <c r="N223" s="59"/>
      <c r="O223" s="59"/>
      <c r="P223" s="59"/>
      <c r="Q223" s="59"/>
      <c r="R223" s="59"/>
      <c r="S223" s="59"/>
      <c r="T223" s="59"/>
      <c r="U223" s="59"/>
    </row>
    <row r="224" spans="1:21" ht="14.1" customHeight="1" x14ac:dyDescent="0.2">
      <c r="A224" s="54" t="s">
        <v>603</v>
      </c>
      <c r="B224" s="54" t="s">
        <v>603</v>
      </c>
      <c r="C224" s="370">
        <v>2786793</v>
      </c>
      <c r="D224" s="370">
        <v>2786793</v>
      </c>
      <c r="E224" s="370">
        <v>0</v>
      </c>
      <c r="F224" s="370">
        <f t="shared" si="3"/>
        <v>2786793</v>
      </c>
      <c r="G224" s="370">
        <v>0</v>
      </c>
      <c r="H224" s="370">
        <v>0</v>
      </c>
      <c r="I224" s="370">
        <v>0</v>
      </c>
      <c r="J224" s="370">
        <v>0</v>
      </c>
      <c r="K224" s="370">
        <v>0</v>
      </c>
      <c r="L224" s="376" t="s">
        <v>605</v>
      </c>
      <c r="M224" s="59"/>
      <c r="N224" s="59"/>
      <c r="O224" s="59"/>
      <c r="P224" s="59"/>
      <c r="Q224" s="59"/>
      <c r="R224" s="59"/>
      <c r="S224" s="59"/>
      <c r="T224" s="59"/>
      <c r="U224" s="59"/>
    </row>
    <row r="225" spans="1:21" ht="14.1" customHeight="1" x14ac:dyDescent="0.2">
      <c r="A225" s="54" t="s">
        <v>390</v>
      </c>
      <c r="B225" s="54" t="s">
        <v>389</v>
      </c>
      <c r="C225" s="370">
        <v>0</v>
      </c>
      <c r="D225" s="370">
        <v>0</v>
      </c>
      <c r="E225" s="370">
        <v>0</v>
      </c>
      <c r="F225" s="370">
        <f t="shared" si="3"/>
        <v>0</v>
      </c>
      <c r="G225" s="370">
        <v>0</v>
      </c>
      <c r="H225" s="370">
        <v>0</v>
      </c>
      <c r="I225" s="370">
        <v>0</v>
      </c>
      <c r="J225" s="370">
        <v>0</v>
      </c>
      <c r="K225" s="370">
        <v>0</v>
      </c>
      <c r="M225" s="59"/>
      <c r="N225" s="59"/>
      <c r="O225" s="59"/>
      <c r="P225" s="59"/>
      <c r="Q225" s="59"/>
      <c r="R225" s="59"/>
      <c r="S225" s="59"/>
      <c r="T225" s="59"/>
      <c r="U225" s="59"/>
    </row>
    <row r="226" spans="1:21" ht="14.1" customHeight="1" x14ac:dyDescent="0.2">
      <c r="A226" s="54" t="s">
        <v>388</v>
      </c>
      <c r="B226" s="54" t="s">
        <v>387</v>
      </c>
      <c r="C226" s="370">
        <v>0</v>
      </c>
      <c r="D226" s="370">
        <v>0</v>
      </c>
      <c r="E226" s="370">
        <v>0</v>
      </c>
      <c r="F226" s="370">
        <f t="shared" si="3"/>
        <v>0</v>
      </c>
      <c r="G226" s="370">
        <v>0</v>
      </c>
      <c r="H226" s="370">
        <v>0</v>
      </c>
      <c r="I226" s="370">
        <v>0</v>
      </c>
      <c r="J226" s="370">
        <v>0</v>
      </c>
      <c r="K226" s="370">
        <v>0</v>
      </c>
      <c r="M226" s="59"/>
      <c r="N226" s="59"/>
      <c r="O226" s="59"/>
      <c r="P226" s="59"/>
      <c r="Q226" s="59"/>
      <c r="R226" s="59"/>
      <c r="S226" s="59"/>
      <c r="T226" s="59"/>
      <c r="U226" s="59"/>
    </row>
    <row r="227" spans="1:21" ht="14.1" customHeight="1" x14ac:dyDescent="0.2">
      <c r="A227" s="54" t="s">
        <v>386</v>
      </c>
      <c r="B227" s="54" t="s">
        <v>385</v>
      </c>
      <c r="C227" s="370">
        <v>218200306</v>
      </c>
      <c r="D227" s="370">
        <v>218074055</v>
      </c>
      <c r="E227" s="370">
        <v>0</v>
      </c>
      <c r="F227" s="370">
        <f t="shared" si="3"/>
        <v>218074055</v>
      </c>
      <c r="G227" s="370">
        <v>126251</v>
      </c>
      <c r="H227" s="370">
        <v>0</v>
      </c>
      <c r="I227" s="370">
        <v>0</v>
      </c>
      <c r="J227" s="370">
        <v>0</v>
      </c>
      <c r="K227" s="370">
        <v>0</v>
      </c>
      <c r="L227" s="376" t="s">
        <v>443</v>
      </c>
      <c r="M227" s="59"/>
      <c r="N227" s="59"/>
      <c r="O227" s="59"/>
      <c r="P227" s="59"/>
      <c r="Q227" s="59"/>
      <c r="R227" s="59"/>
      <c r="S227" s="59"/>
      <c r="T227" s="59"/>
      <c r="U227" s="59"/>
    </row>
    <row r="228" spans="1:21" ht="14.1" customHeight="1" x14ac:dyDescent="0.2">
      <c r="A228" s="54" t="s">
        <v>384</v>
      </c>
      <c r="B228" s="54" t="s">
        <v>383</v>
      </c>
      <c r="C228" s="370">
        <v>-23982619</v>
      </c>
      <c r="D228" s="370">
        <v>-23982619</v>
      </c>
      <c r="E228" s="370">
        <v>0</v>
      </c>
      <c r="F228" s="370">
        <f t="shared" si="3"/>
        <v>-23982619</v>
      </c>
      <c r="G228" s="370">
        <v>0</v>
      </c>
      <c r="H228" s="370">
        <v>0</v>
      </c>
      <c r="I228" s="370">
        <v>0</v>
      </c>
      <c r="J228" s="370">
        <v>0</v>
      </c>
      <c r="K228" s="370">
        <v>0</v>
      </c>
      <c r="L228" s="376" t="s">
        <v>443</v>
      </c>
      <c r="M228" s="59"/>
      <c r="N228" s="59"/>
      <c r="O228" s="59"/>
      <c r="P228" s="59"/>
      <c r="Q228" s="59"/>
      <c r="R228" s="59"/>
      <c r="S228" s="59"/>
      <c r="T228" s="59"/>
      <c r="U228" s="59"/>
    </row>
    <row r="229" spans="1:21" ht="14.1" customHeight="1" x14ac:dyDescent="0.2">
      <c r="A229" s="54" t="s">
        <v>382</v>
      </c>
      <c r="B229" s="54" t="s">
        <v>381</v>
      </c>
      <c r="C229" s="370">
        <v>-31396258</v>
      </c>
      <c r="D229" s="370">
        <v>-27916274</v>
      </c>
      <c r="E229" s="370">
        <v>0</v>
      </c>
      <c r="F229" s="370">
        <f t="shared" si="3"/>
        <v>-27916274</v>
      </c>
      <c r="G229" s="370">
        <v>-122957</v>
      </c>
      <c r="H229" s="370">
        <v>-3346179</v>
      </c>
      <c r="I229" s="370">
        <v>-10847</v>
      </c>
      <c r="J229" s="370">
        <v>0</v>
      </c>
      <c r="K229" s="370">
        <v>0</v>
      </c>
      <c r="L229" s="376" t="s">
        <v>443</v>
      </c>
      <c r="M229" s="59"/>
      <c r="N229" s="59"/>
      <c r="O229" s="59"/>
      <c r="P229" s="59"/>
      <c r="Q229" s="59"/>
      <c r="R229" s="59"/>
      <c r="S229" s="59"/>
      <c r="T229" s="59"/>
      <c r="U229" s="59"/>
    </row>
    <row r="230" spans="1:21" ht="14.1" customHeight="1" x14ac:dyDescent="0.2">
      <c r="A230" s="54" t="s">
        <v>186</v>
      </c>
      <c r="B230" s="54" t="s">
        <v>371</v>
      </c>
      <c r="C230" s="371">
        <v>5654918</v>
      </c>
      <c r="D230" s="371">
        <v>5654918</v>
      </c>
      <c r="E230" s="371">
        <v>0</v>
      </c>
      <c r="F230" s="370">
        <f t="shared" si="3"/>
        <v>5654918</v>
      </c>
      <c r="G230" s="371">
        <v>0</v>
      </c>
      <c r="H230" s="371">
        <v>0</v>
      </c>
      <c r="I230" s="371">
        <v>0</v>
      </c>
      <c r="J230" s="371">
        <v>0</v>
      </c>
      <c r="K230" s="371">
        <v>0</v>
      </c>
      <c r="L230" s="376"/>
      <c r="M230" s="59"/>
      <c r="N230" s="59"/>
      <c r="O230" s="59"/>
      <c r="P230" s="59"/>
      <c r="Q230" s="59"/>
      <c r="R230" s="59"/>
      <c r="S230" s="59"/>
      <c r="T230" s="59"/>
      <c r="U230" s="59"/>
    </row>
    <row r="231" spans="1:21" ht="14.1" customHeight="1" thickBot="1" x14ac:dyDescent="0.25">
      <c r="A231" s="383" t="s">
        <v>187</v>
      </c>
      <c r="B231" s="383" t="s">
        <v>1</v>
      </c>
      <c r="C231" s="384">
        <v>-4982009050</v>
      </c>
      <c r="D231" s="384">
        <v>-5344012560</v>
      </c>
      <c r="E231" s="384">
        <v>271176256</v>
      </c>
      <c r="F231" s="384">
        <f>SUM(F8:F230)</f>
        <v>-5072836301</v>
      </c>
      <c r="G231" s="384">
        <v>-89230</v>
      </c>
      <c r="H231" s="384">
        <v>90622711</v>
      </c>
      <c r="I231" s="384">
        <v>293773</v>
      </c>
      <c r="J231" s="384">
        <v>0</v>
      </c>
      <c r="K231" s="384">
        <v>0</v>
      </c>
      <c r="L231" s="376"/>
      <c r="M231" s="59"/>
      <c r="N231" s="59"/>
      <c r="O231" s="59"/>
      <c r="P231" s="59"/>
      <c r="Q231" s="59"/>
      <c r="R231" s="59"/>
      <c r="S231" s="59"/>
      <c r="T231" s="59"/>
      <c r="U231" s="59"/>
    </row>
    <row r="232" spans="1:21" ht="14.1" customHeight="1" thickTop="1" x14ac:dyDescent="0.2">
      <c r="C232" s="59"/>
      <c r="D232" s="59"/>
      <c r="E232" s="59"/>
      <c r="F232" s="370"/>
      <c r="G232" s="59"/>
      <c r="H232" s="59"/>
      <c r="I232" s="59"/>
      <c r="J232" s="59"/>
      <c r="K232" s="59"/>
      <c r="L232" s="376"/>
      <c r="M232" s="59"/>
      <c r="N232" s="59"/>
      <c r="O232" s="59"/>
      <c r="P232" s="59"/>
      <c r="Q232" s="59"/>
      <c r="R232" s="59"/>
      <c r="S232" s="59"/>
      <c r="T232" s="59"/>
      <c r="U232" s="59"/>
    </row>
    <row r="233" spans="1:21" s="67" customFormat="1" ht="14.1" customHeight="1" x14ac:dyDescent="0.2">
      <c r="C233" s="370"/>
      <c r="D233" s="370"/>
      <c r="E233" s="370"/>
      <c r="F233" s="370"/>
      <c r="G233" s="370"/>
      <c r="H233" s="370"/>
      <c r="I233" s="370"/>
      <c r="J233" s="370"/>
      <c r="K233" s="370"/>
      <c r="L233" s="376"/>
      <c r="M233" s="370"/>
      <c r="N233" s="370"/>
      <c r="O233" s="370"/>
      <c r="P233" s="370"/>
      <c r="Q233" s="370"/>
      <c r="R233" s="370"/>
      <c r="S233" s="370"/>
      <c r="T233" s="370"/>
      <c r="U233" s="370"/>
    </row>
    <row r="234" spans="1:21" ht="14.1" customHeight="1" x14ac:dyDescent="0.2">
      <c r="B234" s="52" t="s">
        <v>627</v>
      </c>
      <c r="C234" s="59"/>
      <c r="D234" s="59"/>
      <c r="E234" s="59"/>
      <c r="F234" s="370"/>
      <c r="G234" s="59"/>
      <c r="H234" s="59"/>
      <c r="I234" s="59"/>
      <c r="J234" s="59"/>
      <c r="K234" s="59"/>
    </row>
    <row r="235" spans="1:21" ht="14.1" customHeight="1" x14ac:dyDescent="0.2">
      <c r="A235" s="67" t="s">
        <v>431</v>
      </c>
      <c r="B235" s="67" t="s">
        <v>401</v>
      </c>
      <c r="C235" s="59">
        <f>C40</f>
        <v>-7949854</v>
      </c>
      <c r="D235" s="370">
        <f t="shared" ref="D235:K235" si="4">D40</f>
        <v>-7949854</v>
      </c>
      <c r="E235" s="370">
        <f t="shared" si="4"/>
        <v>0</v>
      </c>
      <c r="F235" s="370">
        <f t="shared" ref="F235" si="5">F40</f>
        <v>-7949854</v>
      </c>
      <c r="G235" s="370">
        <f t="shared" si="4"/>
        <v>0</v>
      </c>
      <c r="H235" s="370">
        <f t="shared" si="4"/>
        <v>0</v>
      </c>
      <c r="I235" s="370">
        <f t="shared" si="4"/>
        <v>0</v>
      </c>
      <c r="J235" s="370">
        <f t="shared" si="4"/>
        <v>0</v>
      </c>
      <c r="K235" s="370">
        <f t="shared" si="4"/>
        <v>0</v>
      </c>
    </row>
    <row r="236" spans="1:21" ht="14.1" customHeight="1" x14ac:dyDescent="0.2">
      <c r="A236" s="67" t="s">
        <v>402</v>
      </c>
      <c r="B236" s="67" t="s">
        <v>401</v>
      </c>
      <c r="C236" s="59">
        <f>C199</f>
        <v>-1771852</v>
      </c>
      <c r="D236" s="370">
        <f t="shared" ref="D236:K236" si="6">D199</f>
        <v>-1771852</v>
      </c>
      <c r="E236" s="370">
        <f t="shared" si="6"/>
        <v>0</v>
      </c>
      <c r="F236" s="370">
        <f t="shared" ref="F236" si="7">F199</f>
        <v>-1771852</v>
      </c>
      <c r="G236" s="370">
        <f t="shared" si="6"/>
        <v>0</v>
      </c>
      <c r="H236" s="370">
        <f t="shared" si="6"/>
        <v>0</v>
      </c>
      <c r="I236" s="370">
        <f t="shared" si="6"/>
        <v>0</v>
      </c>
      <c r="J236" s="370">
        <f t="shared" si="6"/>
        <v>0</v>
      </c>
      <c r="K236" s="370">
        <f t="shared" si="6"/>
        <v>0</v>
      </c>
    </row>
    <row r="237" spans="1:21" ht="14.1" customHeight="1" x14ac:dyDescent="0.2">
      <c r="A237" s="67" t="s">
        <v>396</v>
      </c>
      <c r="B237" s="67" t="s">
        <v>395</v>
      </c>
      <c r="C237" s="59">
        <f t="shared" ref="C237:C242" si="8">C219</f>
        <v>724553148</v>
      </c>
      <c r="D237" s="370">
        <f t="shared" ref="D237:K237" si="9">D219</f>
        <v>726241955</v>
      </c>
      <c r="E237" s="370">
        <f t="shared" si="9"/>
        <v>0</v>
      </c>
      <c r="F237" s="370">
        <f t="shared" ref="F237" si="10">F219</f>
        <v>726241955</v>
      </c>
      <c r="G237" s="370">
        <f t="shared" si="9"/>
        <v>-1502430</v>
      </c>
      <c r="H237" s="370">
        <f t="shared" si="9"/>
        <v>0</v>
      </c>
      <c r="I237" s="370">
        <f t="shared" si="9"/>
        <v>-186377</v>
      </c>
      <c r="J237" s="370">
        <f t="shared" si="9"/>
        <v>0</v>
      </c>
      <c r="K237" s="370">
        <f t="shared" si="9"/>
        <v>0</v>
      </c>
    </row>
    <row r="238" spans="1:21" ht="14.1" customHeight="1" x14ac:dyDescent="0.2">
      <c r="A238" s="67" t="s">
        <v>394</v>
      </c>
      <c r="B238" s="67" t="s">
        <v>393</v>
      </c>
      <c r="C238" s="59">
        <f t="shared" si="8"/>
        <v>2724520796</v>
      </c>
      <c r="D238" s="370">
        <f t="shared" ref="D238:K238" si="11">D220</f>
        <v>2779845010</v>
      </c>
      <c r="E238" s="370">
        <f t="shared" si="11"/>
        <v>0</v>
      </c>
      <c r="F238" s="370">
        <f t="shared" ref="F238" si="12">F220</f>
        <v>2779845010</v>
      </c>
      <c r="G238" s="370">
        <f t="shared" si="11"/>
        <v>2169232</v>
      </c>
      <c r="H238" s="370">
        <f t="shared" si="11"/>
        <v>-57493446</v>
      </c>
      <c r="I238" s="370">
        <f t="shared" si="11"/>
        <v>0</v>
      </c>
      <c r="J238" s="370">
        <f t="shared" si="11"/>
        <v>0</v>
      </c>
      <c r="K238" s="370">
        <f t="shared" si="11"/>
        <v>0</v>
      </c>
    </row>
    <row r="239" spans="1:21" ht="14.1" customHeight="1" x14ac:dyDescent="0.2">
      <c r="A239" s="67" t="s">
        <v>392</v>
      </c>
      <c r="B239" s="67" t="s">
        <v>391</v>
      </c>
      <c r="C239" s="59">
        <f t="shared" si="8"/>
        <v>563184585</v>
      </c>
      <c r="D239" s="370">
        <f t="shared" ref="D239:K239" si="13">D221</f>
        <v>580003839</v>
      </c>
      <c r="E239" s="370">
        <f t="shared" si="13"/>
        <v>0</v>
      </c>
      <c r="F239" s="370">
        <f t="shared" ref="F239" si="14">F221</f>
        <v>580003839</v>
      </c>
      <c r="G239" s="370">
        <f t="shared" si="13"/>
        <v>-594268</v>
      </c>
      <c r="H239" s="370">
        <f t="shared" si="13"/>
        <v>-16172559</v>
      </c>
      <c r="I239" s="370">
        <f t="shared" si="13"/>
        <v>-52427</v>
      </c>
      <c r="J239" s="370">
        <f t="shared" si="13"/>
        <v>0</v>
      </c>
      <c r="K239" s="370">
        <f t="shared" si="13"/>
        <v>0</v>
      </c>
    </row>
    <row r="240" spans="1:21" ht="14.1" customHeight="1" x14ac:dyDescent="0.2">
      <c r="A240" s="67" t="s">
        <v>601</v>
      </c>
      <c r="B240" s="67" t="s">
        <v>601</v>
      </c>
      <c r="C240" s="59">
        <f t="shared" si="8"/>
        <v>-1682036</v>
      </c>
      <c r="D240" s="370">
        <f t="shared" ref="D240:K240" si="15">D222</f>
        <v>-1682036</v>
      </c>
      <c r="E240" s="370">
        <f t="shared" si="15"/>
        <v>0</v>
      </c>
      <c r="F240" s="370">
        <f t="shared" ref="F240" si="16">F222</f>
        <v>-1682036</v>
      </c>
      <c r="G240" s="370">
        <f t="shared" si="15"/>
        <v>0</v>
      </c>
      <c r="H240" s="370">
        <f t="shared" si="15"/>
        <v>0</v>
      </c>
      <c r="I240" s="370">
        <f t="shared" si="15"/>
        <v>0</v>
      </c>
      <c r="J240" s="370">
        <f t="shared" si="15"/>
        <v>0</v>
      </c>
      <c r="K240" s="370">
        <f t="shared" si="15"/>
        <v>0</v>
      </c>
    </row>
    <row r="241" spans="1:11" ht="14.1" customHeight="1" x14ac:dyDescent="0.2">
      <c r="A241" s="67" t="s">
        <v>602</v>
      </c>
      <c r="B241" s="67" t="s">
        <v>602</v>
      </c>
      <c r="C241" s="59">
        <f t="shared" si="8"/>
        <v>4102540</v>
      </c>
      <c r="D241" s="370">
        <f t="shared" ref="D241:K241" si="17">D223</f>
        <v>4102540</v>
      </c>
      <c r="E241" s="370">
        <f t="shared" si="17"/>
        <v>0</v>
      </c>
      <c r="F241" s="370">
        <f t="shared" ref="F241" si="18">F223</f>
        <v>4102540</v>
      </c>
      <c r="G241" s="370">
        <f t="shared" si="17"/>
        <v>0</v>
      </c>
      <c r="H241" s="370">
        <f t="shared" si="17"/>
        <v>0</v>
      </c>
      <c r="I241" s="370">
        <f t="shared" si="17"/>
        <v>0</v>
      </c>
      <c r="J241" s="370">
        <f t="shared" si="17"/>
        <v>0</v>
      </c>
      <c r="K241" s="370">
        <f t="shared" si="17"/>
        <v>0</v>
      </c>
    </row>
    <row r="242" spans="1:11" ht="14.1" customHeight="1" x14ac:dyDescent="0.2">
      <c r="A242" s="67" t="s">
        <v>603</v>
      </c>
      <c r="B242" s="67" t="s">
        <v>603</v>
      </c>
      <c r="C242" s="59">
        <f t="shared" si="8"/>
        <v>2786793</v>
      </c>
      <c r="D242" s="370">
        <f t="shared" ref="D242:K242" si="19">D224</f>
        <v>2786793</v>
      </c>
      <c r="E242" s="370">
        <f t="shared" si="19"/>
        <v>0</v>
      </c>
      <c r="F242" s="370">
        <f t="shared" ref="F242" si="20">F224</f>
        <v>2786793</v>
      </c>
      <c r="G242" s="370">
        <f t="shared" si="19"/>
        <v>0</v>
      </c>
      <c r="H242" s="370">
        <f t="shared" si="19"/>
        <v>0</v>
      </c>
      <c r="I242" s="370">
        <f t="shared" si="19"/>
        <v>0</v>
      </c>
      <c r="J242" s="370">
        <f t="shared" si="19"/>
        <v>0</v>
      </c>
      <c r="K242" s="370">
        <f t="shared" si="19"/>
        <v>0</v>
      </c>
    </row>
    <row r="243" spans="1:11" ht="14.1" customHeight="1" x14ac:dyDescent="0.2">
      <c r="A243" s="67" t="s">
        <v>386</v>
      </c>
      <c r="B243" s="67" t="s">
        <v>385</v>
      </c>
      <c r="C243" s="59">
        <f>C227</f>
        <v>218200306</v>
      </c>
      <c r="D243" s="370">
        <f t="shared" ref="D243:K243" si="21">D227</f>
        <v>218074055</v>
      </c>
      <c r="E243" s="370">
        <f t="shared" si="21"/>
        <v>0</v>
      </c>
      <c r="F243" s="370">
        <f t="shared" ref="F243" si="22">F227</f>
        <v>218074055</v>
      </c>
      <c r="G243" s="370">
        <f t="shared" si="21"/>
        <v>126251</v>
      </c>
      <c r="H243" s="370">
        <f t="shared" si="21"/>
        <v>0</v>
      </c>
      <c r="I243" s="370">
        <f t="shared" si="21"/>
        <v>0</v>
      </c>
      <c r="J243" s="370">
        <f t="shared" si="21"/>
        <v>0</v>
      </c>
      <c r="K243" s="370">
        <f t="shared" si="21"/>
        <v>0</v>
      </c>
    </row>
    <row r="244" spans="1:11" ht="14.1" customHeight="1" x14ac:dyDescent="0.2">
      <c r="A244" s="67" t="s">
        <v>384</v>
      </c>
      <c r="B244" s="67" t="s">
        <v>383</v>
      </c>
      <c r="C244" s="59">
        <f>C228</f>
        <v>-23982619</v>
      </c>
      <c r="D244" s="370">
        <f t="shared" ref="D244:K244" si="23">D228</f>
        <v>-23982619</v>
      </c>
      <c r="E244" s="370">
        <f t="shared" si="23"/>
        <v>0</v>
      </c>
      <c r="F244" s="370">
        <f t="shared" ref="F244" si="24">F228</f>
        <v>-23982619</v>
      </c>
      <c r="G244" s="370">
        <f t="shared" si="23"/>
        <v>0</v>
      </c>
      <c r="H244" s="370">
        <f t="shared" si="23"/>
        <v>0</v>
      </c>
      <c r="I244" s="370">
        <f t="shared" si="23"/>
        <v>0</v>
      </c>
      <c r="J244" s="370">
        <f t="shared" si="23"/>
        <v>0</v>
      </c>
      <c r="K244" s="370">
        <f t="shared" si="23"/>
        <v>0</v>
      </c>
    </row>
    <row r="245" spans="1:11" ht="14.1" customHeight="1" x14ac:dyDescent="0.2">
      <c r="A245" s="67" t="s">
        <v>382</v>
      </c>
      <c r="B245" s="67" t="s">
        <v>381</v>
      </c>
      <c r="C245" s="59">
        <f>C229</f>
        <v>-31396258</v>
      </c>
      <c r="D245" s="370">
        <f t="shared" ref="D245:K245" si="25">D229</f>
        <v>-27916274</v>
      </c>
      <c r="E245" s="370">
        <f t="shared" si="25"/>
        <v>0</v>
      </c>
      <c r="F245" s="370">
        <f t="shared" ref="F245" si="26">F229</f>
        <v>-27916274</v>
      </c>
      <c r="G245" s="370">
        <f t="shared" si="25"/>
        <v>-122957</v>
      </c>
      <c r="H245" s="370">
        <f t="shared" si="25"/>
        <v>-3346179</v>
      </c>
      <c r="I245" s="370">
        <f t="shared" si="25"/>
        <v>-10847</v>
      </c>
      <c r="J245" s="370">
        <f t="shared" si="25"/>
        <v>0</v>
      </c>
      <c r="K245" s="370">
        <f t="shared" si="25"/>
        <v>0</v>
      </c>
    </row>
    <row r="246" spans="1:11" ht="14.1" customHeight="1" thickBot="1" x14ac:dyDescent="0.25">
      <c r="B246" s="382" t="s">
        <v>618</v>
      </c>
      <c r="C246" s="72">
        <f>SUM(C235:C245)</f>
        <v>4170565549</v>
      </c>
      <c r="D246" s="72">
        <f t="shared" ref="D246:K246" si="27">SUM(D235:D245)</f>
        <v>4247751557</v>
      </c>
      <c r="E246" s="72">
        <f t="shared" si="27"/>
        <v>0</v>
      </c>
      <c r="F246" s="72">
        <f t="shared" si="27"/>
        <v>4247751557</v>
      </c>
      <c r="G246" s="72">
        <f t="shared" si="27"/>
        <v>75828</v>
      </c>
      <c r="H246" s="72">
        <f t="shared" si="27"/>
        <v>-77012184</v>
      </c>
      <c r="I246" s="72">
        <f t="shared" si="27"/>
        <v>-249651</v>
      </c>
      <c r="J246" s="72">
        <f t="shared" si="27"/>
        <v>0</v>
      </c>
      <c r="K246" s="72">
        <f t="shared" si="27"/>
        <v>0</v>
      </c>
    </row>
    <row r="247" spans="1:11" ht="14.1" customHeight="1" thickTop="1" x14ac:dyDescent="0.2"/>
    <row r="248" spans="1:11" ht="14.1" customHeight="1" x14ac:dyDescent="0.2">
      <c r="B248" s="372" t="s">
        <v>621</v>
      </c>
      <c r="C248" s="60">
        <f>C231-C246</f>
        <v>-9152574599</v>
      </c>
      <c r="D248" s="60">
        <f>D231-D246</f>
        <v>-9591764117</v>
      </c>
      <c r="E248" s="60">
        <f>E231-E246</f>
        <v>271176256</v>
      </c>
      <c r="F248" s="60">
        <f>F231-F246</f>
        <v>-9320587858</v>
      </c>
      <c r="G248" s="60">
        <f t="shared" ref="G248:K248" si="28">G231-G246</f>
        <v>-165058</v>
      </c>
      <c r="H248" s="60">
        <f t="shared" si="28"/>
        <v>167634895</v>
      </c>
      <c r="I248" s="60">
        <f t="shared" si="28"/>
        <v>543424</v>
      </c>
      <c r="J248" s="60">
        <f t="shared" si="28"/>
        <v>0</v>
      </c>
      <c r="K248" s="60">
        <f t="shared" si="28"/>
        <v>0</v>
      </c>
    </row>
    <row r="249" spans="1:11" ht="14.1" customHeight="1" x14ac:dyDescent="0.2">
      <c r="D249" s="67"/>
      <c r="E249" s="67"/>
    </row>
    <row r="250" spans="1:11" ht="14.1" customHeight="1" x14ac:dyDescent="0.2">
      <c r="B250" s="54" t="s">
        <v>619</v>
      </c>
      <c r="D250" s="370"/>
      <c r="E250" s="370"/>
      <c r="F250" s="370">
        <f>'FPL Excess ADIT'!L145</f>
        <v>-9320901856.2069988</v>
      </c>
      <c r="G250" s="370">
        <f>'CBAS Excess ADIT'!L18</f>
        <v>-165058.56749999989</v>
      </c>
      <c r="H250" s="370">
        <f>'ICL Excess ADIT'!L17</f>
        <v>167634895.3125</v>
      </c>
      <c r="I250" s="370">
        <f>'Enersys Excess ADIT'!L16</f>
        <v>543424.54099999997</v>
      </c>
    </row>
    <row r="251" spans="1:11" ht="14.1" customHeight="1" x14ac:dyDescent="0.2">
      <c r="B251" s="66" t="s">
        <v>620</v>
      </c>
      <c r="D251" s="67"/>
      <c r="E251" s="67"/>
      <c r="F251" s="370">
        <f>F250-F248</f>
        <v>-313998.20699882507</v>
      </c>
      <c r="G251" s="370">
        <f>G250-G248</f>
        <v>-0.56749999988824129</v>
      </c>
      <c r="H251" s="370">
        <f>H250-H248</f>
        <v>0.3125</v>
      </c>
      <c r="I251" s="370">
        <f>I250-I248</f>
        <v>0.54099999996833503</v>
      </c>
    </row>
    <row r="252" spans="1:11" ht="14.1" customHeight="1" x14ac:dyDescent="0.2">
      <c r="C252" s="370"/>
      <c r="D252" s="370"/>
      <c r="E252" s="370"/>
      <c r="F252" s="370"/>
    </row>
    <row r="254" spans="1:11" ht="14.1" customHeight="1" x14ac:dyDescent="0.2">
      <c r="B254" s="52" t="s">
        <v>628</v>
      </c>
    </row>
    <row r="255" spans="1:11" ht="14.1" customHeight="1" x14ac:dyDescent="0.2">
      <c r="A255" s="67" t="s">
        <v>595</v>
      </c>
      <c r="B255" s="67" t="s">
        <v>596</v>
      </c>
      <c r="C255" s="370">
        <f>C45</f>
        <v>331721849</v>
      </c>
      <c r="D255" s="370">
        <f t="shared" ref="D255:K255" si="29">D45</f>
        <v>235326603</v>
      </c>
      <c r="E255" s="370">
        <f t="shared" si="29"/>
        <v>94096247</v>
      </c>
      <c r="F255" s="370">
        <f t="shared" ref="F255" si="30">F45</f>
        <v>329422850</v>
      </c>
      <c r="G255" s="370">
        <f t="shared" si="29"/>
        <v>2112622</v>
      </c>
      <c r="H255" s="370">
        <f t="shared" si="29"/>
        <v>0</v>
      </c>
      <c r="I255" s="370">
        <f t="shared" si="29"/>
        <v>186377</v>
      </c>
      <c r="J255" s="370">
        <f t="shared" si="29"/>
        <v>0</v>
      </c>
      <c r="K255" s="370">
        <f t="shared" si="29"/>
        <v>0</v>
      </c>
    </row>
    <row r="256" spans="1:11" ht="14.1" customHeight="1" x14ac:dyDescent="0.2">
      <c r="A256" s="67" t="s">
        <v>597</v>
      </c>
      <c r="B256" s="67" t="s">
        <v>598</v>
      </c>
      <c r="C256" s="370">
        <f t="shared" ref="C256:K257" si="31">C46</f>
        <v>-2845148487</v>
      </c>
      <c r="D256" s="370">
        <f t="shared" si="31"/>
        <v>-2901081285</v>
      </c>
      <c r="E256" s="370">
        <f t="shared" si="31"/>
        <v>608584</v>
      </c>
      <c r="F256" s="370">
        <f t="shared" ref="F256" si="32">F46</f>
        <v>-2900472701</v>
      </c>
      <c r="G256" s="370">
        <f t="shared" si="31"/>
        <v>-2169232</v>
      </c>
      <c r="H256" s="370">
        <f t="shared" si="31"/>
        <v>57493446</v>
      </c>
      <c r="I256" s="370">
        <f t="shared" si="31"/>
        <v>0</v>
      </c>
      <c r="J256" s="370">
        <f t="shared" si="31"/>
        <v>0</v>
      </c>
      <c r="K256" s="370">
        <f t="shared" si="31"/>
        <v>0</v>
      </c>
    </row>
    <row r="257" spans="1:12" ht="14.1" customHeight="1" x14ac:dyDescent="0.2">
      <c r="A257" s="67" t="s">
        <v>599</v>
      </c>
      <c r="B257" s="67" t="s">
        <v>600</v>
      </c>
      <c r="C257" s="370">
        <f t="shared" si="31"/>
        <v>-717713930</v>
      </c>
      <c r="D257" s="370">
        <f t="shared" si="31"/>
        <v>-717766195</v>
      </c>
      <c r="E257" s="370">
        <f t="shared" si="31"/>
        <v>52265</v>
      </c>
      <c r="F257" s="370">
        <f t="shared" ref="F257" si="33">F47</f>
        <v>-717713930</v>
      </c>
      <c r="G257" s="370">
        <f t="shared" si="31"/>
        <v>0</v>
      </c>
      <c r="H257" s="370">
        <f t="shared" si="31"/>
        <v>0</v>
      </c>
      <c r="I257" s="370">
        <f t="shared" si="31"/>
        <v>0</v>
      </c>
      <c r="J257" s="370">
        <f t="shared" si="31"/>
        <v>0</v>
      </c>
      <c r="K257" s="370">
        <f t="shared" si="31"/>
        <v>0</v>
      </c>
    </row>
    <row r="258" spans="1:12" ht="14.1" customHeight="1" thickBot="1" x14ac:dyDescent="0.25">
      <c r="B258" s="382" t="s">
        <v>553</v>
      </c>
      <c r="C258" s="72">
        <f>SUM(C255:C257)</f>
        <v>-3231140568</v>
      </c>
      <c r="D258" s="72">
        <f t="shared" ref="D258:K258" si="34">SUM(D255:D257)</f>
        <v>-3383520877</v>
      </c>
      <c r="E258" s="72">
        <f t="shared" si="34"/>
        <v>94757096</v>
      </c>
      <c r="F258" s="72">
        <f t="shared" si="34"/>
        <v>-3288763781</v>
      </c>
      <c r="G258" s="72">
        <f t="shared" si="34"/>
        <v>-56610</v>
      </c>
      <c r="H258" s="72">
        <f t="shared" si="34"/>
        <v>57493446</v>
      </c>
      <c r="I258" s="72">
        <f t="shared" si="34"/>
        <v>186377</v>
      </c>
      <c r="J258" s="72">
        <f t="shared" si="34"/>
        <v>0</v>
      </c>
      <c r="K258" s="72">
        <f t="shared" si="34"/>
        <v>0</v>
      </c>
    </row>
    <row r="259" spans="1:12" ht="14.1" customHeight="1" thickTop="1" x14ac:dyDescent="0.2"/>
    <row r="260" spans="1:12" ht="14.1" customHeight="1" x14ac:dyDescent="0.2">
      <c r="B260" s="67" t="s">
        <v>619</v>
      </c>
      <c r="F260" s="370">
        <f>'FPL Excess ADIT'!I169</f>
        <v>-3289077780.9707994</v>
      </c>
      <c r="G260" s="370">
        <f>'CBAS Excess ADIT'!I26</f>
        <v>-56609.847000000067</v>
      </c>
      <c r="H260" s="370">
        <f>'ICL Excess ADIT'!I25</f>
        <v>57493445.625</v>
      </c>
      <c r="I260" s="370">
        <f>'Enersys Excess ADIT'!I25</f>
        <v>186377.36040000001</v>
      </c>
    </row>
    <row r="261" spans="1:12" ht="14.1" customHeight="1" x14ac:dyDescent="0.2">
      <c r="B261" s="66" t="s">
        <v>620</v>
      </c>
      <c r="F261" s="370">
        <f>F260-F258</f>
        <v>-313999.97079944611</v>
      </c>
      <c r="G261" s="370">
        <f t="shared" ref="G261:I261" si="35">G260-G258</f>
        <v>0.15299999993294477</v>
      </c>
      <c r="H261" s="370">
        <f t="shared" si="35"/>
        <v>-0.375</v>
      </c>
      <c r="I261" s="370">
        <f t="shared" si="35"/>
        <v>0.36040000000502914</v>
      </c>
    </row>
    <row r="265" spans="1:12" ht="14.1" customHeight="1" x14ac:dyDescent="0.2">
      <c r="B265" s="52" t="s">
        <v>625</v>
      </c>
    </row>
    <row r="266" spans="1:12" ht="14.1" customHeight="1" x14ac:dyDescent="0.2">
      <c r="A266" s="67" t="s">
        <v>431</v>
      </c>
      <c r="B266" s="67" t="s">
        <v>401</v>
      </c>
      <c r="F266" s="370">
        <f>F235</f>
        <v>-7949854</v>
      </c>
    </row>
    <row r="267" spans="1:12" ht="14.1" customHeight="1" x14ac:dyDescent="0.2">
      <c r="A267" s="67" t="s">
        <v>402</v>
      </c>
      <c r="B267" s="67" t="s">
        <v>401</v>
      </c>
      <c r="F267" s="370">
        <f>F236</f>
        <v>-1771852</v>
      </c>
    </row>
    <row r="268" spans="1:12" ht="14.1" customHeight="1" x14ac:dyDescent="0.2">
      <c r="A268" s="67"/>
      <c r="B268" s="67" t="s">
        <v>624</v>
      </c>
      <c r="F268" s="370">
        <f>F258</f>
        <v>-3288763781</v>
      </c>
    </row>
    <row r="269" spans="1:12" ht="14.1" customHeight="1" thickBot="1" x14ac:dyDescent="0.25">
      <c r="B269" s="387" t="s">
        <v>625</v>
      </c>
      <c r="F269" s="68">
        <f>SUM(F266:F268)</f>
        <v>-3298485487</v>
      </c>
    </row>
    <row r="270" spans="1:12" s="67" customFormat="1" ht="14.1" customHeight="1" thickTop="1" x14ac:dyDescent="0.2">
      <c r="B270" s="387"/>
      <c r="F270" s="34"/>
      <c r="L270" s="375"/>
    </row>
    <row r="271" spans="1:12" ht="14.1" customHeight="1" x14ac:dyDescent="0.2">
      <c r="B271" s="52" t="s">
        <v>626</v>
      </c>
    </row>
    <row r="272" spans="1:12" ht="14.1" customHeight="1" x14ac:dyDescent="0.2">
      <c r="B272" s="54" t="s">
        <v>622</v>
      </c>
      <c r="F272" s="370">
        <f>'FPL Excess ADIT'!L150</f>
        <v>-9407714</v>
      </c>
    </row>
    <row r="273" spans="2:6" ht="14.1" customHeight="1" x14ac:dyDescent="0.2">
      <c r="B273" s="54" t="s">
        <v>623</v>
      </c>
      <c r="F273" s="370">
        <f>'FPL Excess ADIT'!I169</f>
        <v>-3289077780.9707994</v>
      </c>
    </row>
    <row r="274" spans="2:6" ht="14.1" customHeight="1" thickBot="1" x14ac:dyDescent="0.25">
      <c r="B274" s="387" t="s">
        <v>626</v>
      </c>
      <c r="F274" s="68">
        <f>F272+F273</f>
        <v>-3298485494.9707994</v>
      </c>
    </row>
    <row r="275" spans="2:6" ht="14.1" customHeight="1" thickTop="1" x14ac:dyDescent="0.2">
      <c r="F275" s="370">
        <f>F274-F269</f>
        <v>-7.970799446105957</v>
      </c>
    </row>
  </sheetData>
  <autoFilter ref="A6:M231"/>
  <pageMargins left="0.25" right="0" top="0.5" bottom="0.5" header="0.3" footer="0"/>
  <pageSetup scale="90" orientation="landscape" horizontalDpi="300" verticalDpi="300" r:id="rId1"/>
  <headerFooter alignWithMargins="0">
    <oddHeader>&amp;L&amp;"Arial,Bold"&amp;10</oddHeader>
    <oddFooter>&amp;L&amp;"Arial,Bold"&amp;10&amp;R&amp;"Arial,Bold"&amp;10&amp;P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workbookViewId="0">
      <selection activeCell="B1" sqref="B1:C2"/>
    </sheetView>
  </sheetViews>
  <sheetFormatPr defaultColWidth="9" defaultRowHeight="15" customHeight="1" x14ac:dyDescent="0.2"/>
  <cols>
    <col min="1" max="12" width="9" style="67"/>
    <col min="13" max="13" width="13.140625" style="67" bestFit="1" customWidth="1"/>
    <col min="14" max="14" width="11.42578125" style="67" bestFit="1" customWidth="1"/>
    <col min="15" max="16" width="12" style="67" customWidth="1"/>
    <col min="17" max="17" width="9.85546875" style="67" bestFit="1" customWidth="1"/>
    <col min="18" max="16384" width="9" style="67"/>
  </cols>
  <sheetData>
    <row r="1" spans="2:16" ht="15" customHeight="1" x14ac:dyDescent="0.2">
      <c r="B1" s="455" t="s">
        <v>726</v>
      </c>
      <c r="C1" s="455"/>
    </row>
    <row r="2" spans="2:16" ht="15" customHeight="1" x14ac:dyDescent="0.2">
      <c r="B2" s="455" t="s">
        <v>710</v>
      </c>
      <c r="C2" s="455"/>
    </row>
    <row r="12" spans="2:16" ht="15" customHeight="1" x14ac:dyDescent="0.2">
      <c r="O12" s="10" t="s">
        <v>467</v>
      </c>
      <c r="P12" s="10" t="s">
        <v>465</v>
      </c>
    </row>
    <row r="13" spans="2:16" ht="15" customHeight="1" x14ac:dyDescent="0.2">
      <c r="O13" s="10" t="s">
        <v>525</v>
      </c>
      <c r="P13" s="10" t="s">
        <v>525</v>
      </c>
    </row>
    <row r="14" spans="2:16" ht="15" customHeight="1" x14ac:dyDescent="0.2">
      <c r="O14" s="221">
        <v>1475408124</v>
      </c>
      <c r="P14" s="221">
        <v>408906253</v>
      </c>
    </row>
    <row r="15" spans="2:16" ht="15" customHeight="1" x14ac:dyDescent="0.2">
      <c r="O15" s="221">
        <v>14739863</v>
      </c>
      <c r="P15" s="221">
        <v>4085120</v>
      </c>
    </row>
    <row r="16" spans="2:16" ht="15" customHeight="1" x14ac:dyDescent="0.2">
      <c r="M16" s="370"/>
      <c r="O16" s="42">
        <f>O14+O15</f>
        <v>1490147987</v>
      </c>
      <c r="P16" s="42">
        <f>P14+P15</f>
        <v>412991373</v>
      </c>
    </row>
    <row r="17" spans="13:14" ht="15" customHeight="1" x14ac:dyDescent="0.2">
      <c r="M17" s="370"/>
      <c r="N17" s="221"/>
    </row>
    <row r="18" spans="13:14" ht="15" customHeight="1" x14ac:dyDescent="0.2">
      <c r="M18" s="370"/>
    </row>
    <row r="19" spans="13:14" ht="15" customHeight="1" x14ac:dyDescent="0.2">
      <c r="M19" s="370"/>
    </row>
    <row r="20" spans="13:14" ht="15" customHeight="1" x14ac:dyDescent="0.2">
      <c r="M20" s="370"/>
    </row>
    <row r="21" spans="13:14" ht="15" customHeight="1" x14ac:dyDescent="0.2">
      <c r="M21" s="370"/>
    </row>
    <row r="22" spans="13:14" ht="15" customHeight="1" x14ac:dyDescent="0.2">
      <c r="M22" s="370">
        <v>-5072836313</v>
      </c>
    </row>
    <row r="23" spans="13:14" ht="15" customHeight="1" x14ac:dyDescent="0.2">
      <c r="M23" s="370"/>
    </row>
    <row r="24" spans="13:14" ht="15" customHeight="1" x14ac:dyDescent="0.2">
      <c r="M24" s="370"/>
    </row>
    <row r="25" spans="13:14" ht="15" customHeight="1" x14ac:dyDescent="0.2">
      <c r="M25" s="370"/>
    </row>
    <row r="26" spans="13:14" ht="15" customHeight="1" x14ac:dyDescent="0.2">
      <c r="M26" s="370"/>
    </row>
    <row r="27" spans="13:14" ht="15" customHeight="1" x14ac:dyDescent="0.2">
      <c r="M27" s="370">
        <v>-89230</v>
      </c>
    </row>
    <row r="28" spans="13:14" ht="15" customHeight="1" x14ac:dyDescent="0.2">
      <c r="M28" s="370"/>
    </row>
    <row r="29" spans="13:14" ht="15" customHeight="1" x14ac:dyDescent="0.2">
      <c r="M29" s="370"/>
    </row>
    <row r="30" spans="13:14" ht="15" customHeight="1" x14ac:dyDescent="0.2">
      <c r="M30" s="370"/>
    </row>
    <row r="31" spans="13:14" ht="15" customHeight="1" x14ac:dyDescent="0.2">
      <c r="M31" s="370">
        <v>90622712</v>
      </c>
    </row>
    <row r="32" spans="13:14" ht="15" customHeight="1" x14ac:dyDescent="0.2">
      <c r="M32" s="370"/>
    </row>
    <row r="33" spans="13:13" ht="15" customHeight="1" x14ac:dyDescent="0.2">
      <c r="M33" s="370"/>
    </row>
    <row r="34" spans="13:13" ht="15" customHeight="1" x14ac:dyDescent="0.2">
      <c r="M34" s="370"/>
    </row>
    <row r="35" spans="13:13" ht="15" customHeight="1" x14ac:dyDescent="0.2">
      <c r="M35" s="370">
        <v>293773</v>
      </c>
    </row>
    <row r="36" spans="13:13" ht="15" customHeight="1" x14ac:dyDescent="0.2">
      <c r="M36" s="370"/>
    </row>
    <row r="37" spans="13:13" ht="15" customHeight="1" x14ac:dyDescent="0.2">
      <c r="M37" s="370"/>
    </row>
    <row r="38" spans="13:13" ht="15" customHeight="1" thickBot="1" x14ac:dyDescent="0.25">
      <c r="M38" s="72">
        <f>SUM(M11:M36)</f>
        <v>-4982009058</v>
      </c>
    </row>
    <row r="39" spans="13:13" ht="15" customHeight="1" thickTop="1" x14ac:dyDescent="0.2">
      <c r="M39" s="370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1"/>
  <sheetViews>
    <sheetView tabSelected="1" workbookViewId="0">
      <selection activeCell="B1" sqref="B1:C2"/>
    </sheetView>
  </sheetViews>
  <sheetFormatPr defaultRowHeight="12.75" x14ac:dyDescent="0.2"/>
  <sheetData>
    <row r="1" spans="2:3" x14ac:dyDescent="0.2">
      <c r="B1" s="455" t="s">
        <v>727</v>
      </c>
      <c r="C1" s="455"/>
    </row>
    <row r="2" spans="2:3" x14ac:dyDescent="0.2">
      <c r="B2" s="455" t="s">
        <v>710</v>
      </c>
      <c r="C2" s="455"/>
    </row>
    <row r="3" spans="2:3" x14ac:dyDescent="0.2">
      <c r="B3" s="395" t="s">
        <v>688</v>
      </c>
    </row>
    <row r="5" spans="2:3" x14ac:dyDescent="0.2">
      <c r="B5" s="442"/>
    </row>
    <row r="30" spans="2:2" x14ac:dyDescent="0.2">
      <c r="B30" s="395" t="s">
        <v>689</v>
      </c>
    </row>
    <row r="56" spans="2:2" x14ac:dyDescent="0.2">
      <c r="B56" s="395" t="s">
        <v>690</v>
      </c>
    </row>
    <row r="81" spans="2:2" x14ac:dyDescent="0.2">
      <c r="B81" s="395" t="s">
        <v>691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workbookViewId="0"/>
  </sheetViews>
  <sheetFormatPr defaultColWidth="9" defaultRowHeight="15" customHeight="1" x14ac:dyDescent="0.2"/>
  <cols>
    <col min="1" max="1" width="16.42578125" style="54" customWidth="1"/>
    <col min="2" max="2" width="3.42578125" style="54" customWidth="1"/>
    <col min="3" max="3" width="13.42578125" style="54" customWidth="1"/>
    <col min="4" max="6" width="10.5703125" style="54" customWidth="1"/>
    <col min="7" max="7" width="13.42578125" style="54" customWidth="1"/>
    <col min="8" max="8" width="3.42578125" style="54" customWidth="1"/>
    <col min="9" max="9" width="12.42578125" style="54" customWidth="1"/>
    <col min="10" max="12" width="10.5703125" style="54" customWidth="1"/>
    <col min="13" max="13" width="12.42578125" style="54" customWidth="1"/>
    <col min="14" max="14" width="3.42578125" style="54" customWidth="1"/>
    <col min="15" max="15" width="11.5703125" style="54" bestFit="1" customWidth="1"/>
    <col min="16" max="18" width="10.5703125" style="54" customWidth="1"/>
    <col min="19" max="19" width="12.140625" style="54" bestFit="1" customWidth="1"/>
    <col min="20" max="22" width="9" style="54"/>
    <col min="23" max="23" width="17.140625" style="54" customWidth="1"/>
    <col min="24" max="24" width="5.42578125" style="54" customWidth="1"/>
    <col min="25" max="26" width="17.5703125" style="54" customWidth="1"/>
    <col min="27" max="16384" width="9" style="54"/>
  </cols>
  <sheetData>
    <row r="1" spans="1:28" s="67" customFormat="1" ht="15" customHeight="1" x14ac:dyDescent="0.2">
      <c r="A1" s="455" t="s">
        <v>711</v>
      </c>
      <c r="B1" s="455"/>
      <c r="V1" s="396"/>
      <c r="W1" s="396"/>
      <c r="X1" s="396"/>
      <c r="Y1" s="396"/>
      <c r="Z1" s="396"/>
      <c r="AA1" s="396"/>
      <c r="AB1" s="396"/>
    </row>
    <row r="2" spans="1:28" s="67" customFormat="1" ht="15" customHeight="1" x14ac:dyDescent="0.2">
      <c r="A2" s="455" t="s">
        <v>710</v>
      </c>
      <c r="B2" s="455"/>
      <c r="V2" s="396"/>
      <c r="W2" s="396"/>
      <c r="X2" s="396"/>
      <c r="Y2" s="396"/>
      <c r="Z2" s="396"/>
      <c r="AA2" s="396"/>
      <c r="AB2" s="396"/>
    </row>
    <row r="3" spans="1:28" ht="15" customHeight="1" x14ac:dyDescent="0.2">
      <c r="A3" s="372" t="s">
        <v>632</v>
      </c>
      <c r="V3" s="396"/>
      <c r="W3" s="397"/>
      <c r="X3" s="396"/>
      <c r="Y3" s="396"/>
      <c r="Z3" s="396"/>
      <c r="AA3" s="396"/>
      <c r="AB3" s="396"/>
    </row>
    <row r="4" spans="1:28" ht="15" customHeight="1" x14ac:dyDescent="0.2">
      <c r="A4" s="372" t="s">
        <v>633</v>
      </c>
      <c r="V4" s="396"/>
      <c r="W4" s="397"/>
      <c r="X4" s="396"/>
      <c r="Y4" s="396"/>
      <c r="Z4" s="396"/>
      <c r="AA4" s="396"/>
      <c r="AB4" s="396"/>
    </row>
    <row r="5" spans="1:28" s="67" customFormat="1" ht="15" customHeight="1" x14ac:dyDescent="0.2">
      <c r="A5" s="372" t="s">
        <v>544</v>
      </c>
      <c r="V5" s="396"/>
      <c r="W5" s="397"/>
      <c r="X5" s="396"/>
      <c r="Y5" s="396"/>
      <c r="Z5" s="396"/>
      <c r="AA5" s="396"/>
      <c r="AB5" s="396"/>
    </row>
    <row r="6" spans="1:28" s="67" customFormat="1" ht="15" customHeight="1" x14ac:dyDescent="0.2">
      <c r="A6" s="372"/>
      <c r="V6" s="396"/>
      <c r="W6" s="397"/>
      <c r="X6" s="396"/>
      <c r="Y6" s="396"/>
      <c r="Z6" s="396"/>
      <c r="AA6" s="396"/>
      <c r="AB6" s="396"/>
    </row>
    <row r="7" spans="1:28" ht="15" customHeight="1" x14ac:dyDescent="0.2">
      <c r="V7" s="396"/>
      <c r="W7" s="397" t="s">
        <v>656</v>
      </c>
      <c r="X7" s="396"/>
      <c r="Y7" s="396"/>
      <c r="Z7" s="396"/>
      <c r="AA7" s="396"/>
      <c r="AB7" s="396"/>
    </row>
    <row r="8" spans="1:28" ht="15" customHeight="1" x14ac:dyDescent="0.2">
      <c r="C8" s="448" t="s">
        <v>565</v>
      </c>
      <c r="D8" s="448"/>
      <c r="E8" s="448"/>
      <c r="F8" s="448"/>
      <c r="G8" s="448"/>
      <c r="I8" s="448" t="s">
        <v>566</v>
      </c>
      <c r="J8" s="448"/>
      <c r="K8" s="448"/>
      <c r="L8" s="448"/>
      <c r="M8" s="448"/>
      <c r="O8" s="448" t="s">
        <v>587</v>
      </c>
      <c r="P8" s="448"/>
      <c r="Q8" s="448"/>
      <c r="R8" s="448"/>
      <c r="S8" s="448"/>
      <c r="V8" s="396"/>
      <c r="W8" s="397" t="s">
        <v>657</v>
      </c>
      <c r="X8" s="396"/>
      <c r="Y8" s="449"/>
      <c r="Z8" s="449"/>
      <c r="AA8" s="396"/>
      <c r="AB8" s="396"/>
    </row>
    <row r="9" spans="1:28" ht="15" customHeight="1" x14ac:dyDescent="0.2">
      <c r="V9" s="396"/>
      <c r="W9" s="397" t="s">
        <v>544</v>
      </c>
      <c r="X9" s="396"/>
      <c r="Y9" s="396"/>
      <c r="Z9" s="396"/>
      <c r="AA9" s="396"/>
      <c r="AB9" s="396"/>
    </row>
    <row r="10" spans="1:28" ht="15" customHeight="1" x14ac:dyDescent="0.2">
      <c r="V10" s="396"/>
      <c r="W10" s="396"/>
      <c r="X10" s="396"/>
      <c r="Y10" s="396"/>
      <c r="Z10" s="396"/>
      <c r="AA10" s="396"/>
      <c r="AB10" s="396"/>
    </row>
    <row r="11" spans="1:28" ht="38.65" customHeight="1" x14ac:dyDescent="0.2">
      <c r="A11" s="147"/>
      <c r="B11" s="147"/>
      <c r="C11" s="148" t="s">
        <v>499</v>
      </c>
      <c r="D11" s="148" t="s">
        <v>484</v>
      </c>
      <c r="E11" s="148" t="s">
        <v>490</v>
      </c>
      <c r="F11" s="148" t="s">
        <v>493</v>
      </c>
      <c r="G11" s="148" t="s">
        <v>372</v>
      </c>
      <c r="H11" s="147"/>
      <c r="I11" s="148" t="s">
        <v>499</v>
      </c>
      <c r="J11" s="148" t="s">
        <v>484</v>
      </c>
      <c r="K11" s="148" t="s">
        <v>490</v>
      </c>
      <c r="L11" s="148" t="s">
        <v>493</v>
      </c>
      <c r="M11" s="148" t="s">
        <v>372</v>
      </c>
      <c r="N11" s="147"/>
      <c r="O11" s="148" t="s">
        <v>499</v>
      </c>
      <c r="P11" s="148" t="s">
        <v>484</v>
      </c>
      <c r="Q11" s="148" t="s">
        <v>490</v>
      </c>
      <c r="R11" s="148" t="s">
        <v>493</v>
      </c>
      <c r="S11" s="148" t="s">
        <v>372</v>
      </c>
      <c r="V11" s="396"/>
      <c r="W11" s="398" t="s">
        <v>658</v>
      </c>
      <c r="X11" s="399"/>
      <c r="Y11" s="400" t="s">
        <v>659</v>
      </c>
      <c r="Z11" s="400" t="s">
        <v>660</v>
      </c>
      <c r="AA11" s="396"/>
      <c r="AB11" s="396"/>
    </row>
    <row r="12" spans="1:28" ht="15" customHeight="1" x14ac:dyDescent="0.2">
      <c r="V12" s="396"/>
      <c r="W12" s="396"/>
      <c r="X12" s="396"/>
      <c r="Y12" s="396"/>
      <c r="Z12" s="396"/>
      <c r="AA12" s="396"/>
      <c r="AB12" s="396"/>
    </row>
    <row r="13" spans="1:28" ht="15" customHeight="1" x14ac:dyDescent="0.2">
      <c r="A13" s="70" t="s">
        <v>494</v>
      </c>
      <c r="B13" s="70"/>
      <c r="C13" s="59">
        <f>'FPL Excess ADIT'!I176+'FPL Excess ADIT'!J176</f>
        <v>892699953.36474991</v>
      </c>
      <c r="D13" s="59">
        <f>'CBAS Excess ADIT'!I42+'CBAS Excess ADIT'!J42</f>
        <v>5281554.5842499994</v>
      </c>
      <c r="E13" s="59"/>
      <c r="F13" s="59">
        <f>'Enersys Excess ADIT'!I41+'Enersys Excess ADIT'!J41</f>
        <v>465943.40099999995</v>
      </c>
      <c r="G13" s="59">
        <f>SUM(C13:F13)</f>
        <v>898447451.3499999</v>
      </c>
      <c r="H13" s="70"/>
      <c r="I13" s="59">
        <f>'FPL Excess ADIT'!N176+'FPL Excess ADIT'!O176</f>
        <v>1490147992.3647499</v>
      </c>
      <c r="J13" s="59">
        <f>'CBAS Excess ADIT'!N42+'CBAS Excess ADIT'!O42</f>
        <v>3745563.7505499995</v>
      </c>
      <c r="K13" s="59"/>
      <c r="L13" s="59">
        <f>'Enersys Excess ADIT'!N41+'Enersys Excess ADIT'!O41</f>
        <v>279566.04059999995</v>
      </c>
      <c r="M13" s="59">
        <f>SUM(I13:L13)</f>
        <v>1494173122.1559</v>
      </c>
      <c r="N13" s="70"/>
      <c r="O13" s="59">
        <f>I13-C13</f>
        <v>597448039</v>
      </c>
      <c r="P13" s="59">
        <f t="shared" ref="P13:R15" si="0">J13-D13</f>
        <v>-1535990.8336999998</v>
      </c>
      <c r="Q13" s="59">
        <f t="shared" si="0"/>
        <v>0</v>
      </c>
      <c r="R13" s="59">
        <f t="shared" si="0"/>
        <v>-186377.36040000001</v>
      </c>
      <c r="S13" s="59">
        <f>SUM(O13:R13)</f>
        <v>595725670.8059001</v>
      </c>
      <c r="V13" s="396"/>
      <c r="W13" s="401" t="s">
        <v>494</v>
      </c>
      <c r="X13" s="401"/>
      <c r="Y13" s="402">
        <f>M13</f>
        <v>1494173122.1559</v>
      </c>
      <c r="Z13" s="402">
        <f>G13</f>
        <v>898447451.3499999</v>
      </c>
      <c r="AA13" s="396"/>
      <c r="AB13" s="396"/>
    </row>
    <row r="14" spans="1:28" ht="15" customHeight="1" x14ac:dyDescent="0.2">
      <c r="A14" s="70" t="s">
        <v>495</v>
      </c>
      <c r="B14" s="70"/>
      <c r="C14" s="59">
        <f>'FPL Excess ADIT'!I177+'FPL Excess ADIT'!J177</f>
        <v>-7448014878.4962482</v>
      </c>
      <c r="D14" s="59">
        <f>'CBAS Excess ADIT'!I43+'CBAS Excess ADIT'!J43</f>
        <v>-5423079.2017499991</v>
      </c>
      <c r="E14" s="59">
        <f>'ICL Excess ADIT'!I43+'ICL Excess ADIT'!J43</f>
        <v>143733614.0625</v>
      </c>
      <c r="F14" s="59"/>
      <c r="G14" s="59">
        <f>SUM(C14:F14)</f>
        <v>-7309704343.635498</v>
      </c>
      <c r="H14" s="70"/>
      <c r="I14" s="59">
        <f>'FPL Excess ADIT'!N177+'FPL Excess ADIT'!O177</f>
        <v>-4468808926.4962482</v>
      </c>
      <c r="J14" s="59">
        <f>'CBAS Excess ADIT'!N43+'CBAS Excess ADIT'!O43</f>
        <v>-3253847.5210499996</v>
      </c>
      <c r="K14" s="59">
        <f>'ICL Excess ADIT'!N43+'ICL Excess ADIT'!O43</f>
        <v>86240168.4375</v>
      </c>
      <c r="L14" s="59">
        <f>'Enersys Excess ADIT'!N42+'Enersys Excess ADIT'!O42</f>
        <v>0</v>
      </c>
      <c r="M14" s="59">
        <f>SUM(I14:L14)</f>
        <v>-4385822605.5797987</v>
      </c>
      <c r="N14" s="70"/>
      <c r="O14" s="59">
        <f t="shared" ref="O14:O15" si="1">I14-C14</f>
        <v>2979205952</v>
      </c>
      <c r="P14" s="59">
        <f t="shared" si="0"/>
        <v>2169231.6806999994</v>
      </c>
      <c r="Q14" s="59">
        <f t="shared" si="0"/>
        <v>-57493445.625</v>
      </c>
      <c r="R14" s="59">
        <f t="shared" si="0"/>
        <v>0</v>
      </c>
      <c r="S14" s="59">
        <f>SUM(O14:R14)</f>
        <v>2923881738.0556998</v>
      </c>
      <c r="V14" s="396"/>
      <c r="W14" s="401" t="s">
        <v>495</v>
      </c>
      <c r="X14" s="401"/>
      <c r="Y14" s="402">
        <f>M14</f>
        <v>-4385822605.5797987</v>
      </c>
      <c r="Z14" s="402">
        <f>G14</f>
        <v>-7309704343.635498</v>
      </c>
      <c r="AA14" s="396"/>
      <c r="AB14" s="396"/>
    </row>
    <row r="15" spans="1:28" ht="15" customHeight="1" x14ac:dyDescent="0.2">
      <c r="A15" s="70" t="s">
        <v>496</v>
      </c>
      <c r="B15" s="70"/>
      <c r="C15" s="59">
        <f>'FPL Excess ADIT'!I178+'FPL Excess ADIT'!J178</f>
        <v>-1917403368.2954998</v>
      </c>
      <c r="G15" s="59">
        <f>SUM(C15:F15)</f>
        <v>-1917403368.2954998</v>
      </c>
      <c r="H15" s="70"/>
      <c r="I15" s="59">
        <f>'FPL Excess ADIT'!N178+'FPL Excess ADIT'!O178</f>
        <v>-1204073410.2954998</v>
      </c>
      <c r="J15" s="59">
        <f>'CBAS Excess ADIT'!N44+'CBAS Excess ADIT'!O44</f>
        <v>-561583</v>
      </c>
      <c r="K15" s="59">
        <f>'ICL Excess ADIT'!N44+'ICL Excess ADIT'!O44</f>
        <v>-15283068</v>
      </c>
      <c r="L15" s="59">
        <f>'Enersys Excess ADIT'!N43+'Enersys Excess ADIT'!O43</f>
        <v>-49543</v>
      </c>
      <c r="M15" s="59">
        <f>SUM(I15:L15)</f>
        <v>-1219967604.2954998</v>
      </c>
      <c r="N15" s="70"/>
      <c r="O15" s="59">
        <f t="shared" si="1"/>
        <v>713329958</v>
      </c>
      <c r="P15" s="59">
        <f t="shared" si="0"/>
        <v>-561583</v>
      </c>
      <c r="Q15" s="59">
        <f t="shared" si="0"/>
        <v>-15283068</v>
      </c>
      <c r="R15" s="59">
        <f t="shared" si="0"/>
        <v>-49543</v>
      </c>
      <c r="S15" s="59">
        <f>SUM(O15:R15)</f>
        <v>697435764</v>
      </c>
      <c r="V15" s="396"/>
      <c r="W15" s="401" t="s">
        <v>496</v>
      </c>
      <c r="X15" s="401"/>
      <c r="Y15" s="402">
        <f>M15</f>
        <v>-1219967604.2954998</v>
      </c>
      <c r="Z15" s="402">
        <f>G15</f>
        <v>-1917403368.2954998</v>
      </c>
      <c r="AA15" s="396"/>
      <c r="AB15" s="396"/>
    </row>
    <row r="16" spans="1:28" ht="15" customHeight="1" thickBot="1" x14ac:dyDescent="0.25">
      <c r="A16" s="71" t="s">
        <v>500</v>
      </c>
      <c r="B16" s="71"/>
      <c r="C16" s="72">
        <f>SUM(C13:C15)</f>
        <v>-8472718293.4269981</v>
      </c>
      <c r="D16" s="72">
        <f>SUM(D13:D15)</f>
        <v>-141524.6174999997</v>
      </c>
      <c r="E16" s="72">
        <f>SUM(E13:E15)</f>
        <v>143733614.0625</v>
      </c>
      <c r="F16" s="72">
        <f t="shared" ref="F16:G16" si="2">SUM(F13:F15)</f>
        <v>465943.40099999995</v>
      </c>
      <c r="G16" s="72">
        <f t="shared" si="2"/>
        <v>-8328660260.5809975</v>
      </c>
      <c r="H16" s="71"/>
      <c r="I16" s="72">
        <f>SUM(I13:I15)</f>
        <v>-4182734344.4269981</v>
      </c>
      <c r="J16" s="72">
        <f>SUM(J13:J15)</f>
        <v>-69866.770500000101</v>
      </c>
      <c r="K16" s="72">
        <f>SUM(K13:K15)</f>
        <v>70957100.4375</v>
      </c>
      <c r="L16" s="72">
        <f t="shared" ref="L16" si="3">SUM(L13:L15)</f>
        <v>230023.04059999995</v>
      </c>
      <c r="M16" s="72">
        <f t="shared" ref="M16" si="4">SUM(M13:M15)</f>
        <v>-4111617087.7193985</v>
      </c>
      <c r="N16" s="71"/>
      <c r="O16" s="72">
        <f>SUM(O13:O15)</f>
        <v>4289983949</v>
      </c>
      <c r="P16" s="72">
        <f>SUM(P13:P15)</f>
        <v>71657.846999999601</v>
      </c>
      <c r="Q16" s="72">
        <f>SUM(Q13:Q15)</f>
        <v>-72776513.625</v>
      </c>
      <c r="R16" s="72">
        <f t="shared" ref="R16:S16" si="5">SUM(R13:R15)</f>
        <v>-235920.36040000001</v>
      </c>
      <c r="S16" s="72">
        <f t="shared" si="5"/>
        <v>4217043172.8615999</v>
      </c>
      <c r="V16" s="396"/>
      <c r="W16" s="397" t="s">
        <v>500</v>
      </c>
      <c r="X16" s="397"/>
      <c r="Y16" s="403">
        <f>SUM(Y13:Y15)</f>
        <v>-4111617087.7193985</v>
      </c>
      <c r="Z16" s="403">
        <f>SUM(Z13:Z15)</f>
        <v>-8328660260.5809975</v>
      </c>
      <c r="AA16" s="396"/>
      <c r="AB16" s="396"/>
    </row>
    <row r="17" spans="1:28" ht="15" customHeight="1" thickTop="1" x14ac:dyDescent="0.2">
      <c r="V17" s="396"/>
      <c r="W17" s="396"/>
      <c r="X17" s="396"/>
      <c r="Y17" s="396"/>
      <c r="Z17" s="396"/>
      <c r="AA17" s="396"/>
      <c r="AB17" s="396"/>
    </row>
    <row r="18" spans="1:28" ht="15" customHeight="1" x14ac:dyDescent="0.2">
      <c r="A18" s="70" t="s">
        <v>494</v>
      </c>
      <c r="B18" s="70"/>
      <c r="C18" s="59">
        <f>'FPL Excess ADIT'!K176</f>
        <v>148445948.815</v>
      </c>
      <c r="D18" s="59">
        <f>'CBAS Excess ADIT'!K42</f>
        <v>878263.04499999993</v>
      </c>
      <c r="E18" s="59"/>
      <c r="F18" s="59">
        <f>'Enersys Excess ADIT'!K41</f>
        <v>77481.14</v>
      </c>
      <c r="G18" s="59">
        <f>SUM(C18:F18)</f>
        <v>149401692.99999997</v>
      </c>
      <c r="H18" s="70"/>
      <c r="I18" s="59">
        <f>'FPL Excess ADIT'!P176</f>
        <v>412991380.815</v>
      </c>
      <c r="J18" s="59">
        <f>'CBAS Excess ADIT'!P42</f>
        <v>1038075.0449999999</v>
      </c>
      <c r="K18" s="59"/>
      <c r="L18" s="59">
        <f>'Enersys Excess ADIT'!P41</f>
        <v>77481.14</v>
      </c>
      <c r="M18" s="59">
        <f>SUM(I18:L18)</f>
        <v>414106937</v>
      </c>
      <c r="N18" s="70"/>
      <c r="O18" s="59">
        <f>I18-C18</f>
        <v>264545432</v>
      </c>
      <c r="P18" s="59">
        <f t="shared" ref="P18:P20" si="6">J18-D18</f>
        <v>159812</v>
      </c>
      <c r="Q18" s="59">
        <f t="shared" ref="Q18:Q20" si="7">K18-E18</f>
        <v>0</v>
      </c>
      <c r="R18" s="59">
        <f t="shared" ref="R18:R20" si="8">L18-F18</f>
        <v>0</v>
      </c>
      <c r="S18" s="59">
        <f>SUM(O18:R18)</f>
        <v>264705244</v>
      </c>
      <c r="V18" s="396"/>
      <c r="W18" s="401" t="s">
        <v>494</v>
      </c>
      <c r="X18" s="401"/>
      <c r="Y18" s="402">
        <f>M18</f>
        <v>414106937</v>
      </c>
      <c r="Z18" s="402">
        <f>G18</f>
        <v>149401692.99999997</v>
      </c>
      <c r="AA18" s="396"/>
      <c r="AB18" s="396"/>
    </row>
    <row r="19" spans="1:28" ht="15" customHeight="1" x14ac:dyDescent="0.2">
      <c r="A19" s="70" t="s">
        <v>495</v>
      </c>
      <c r="B19" s="70"/>
      <c r="C19" s="59">
        <f>'FPL Excess ADIT'!K177</f>
        <v>-969386914.72500062</v>
      </c>
      <c r="D19" s="59">
        <f>'CBAS Excess ADIT'!K43</f>
        <v>-901796.995</v>
      </c>
      <c r="E19" s="59">
        <f>'ICL Excess ADIT'!K43</f>
        <v>23901281.25</v>
      </c>
      <c r="F19" s="59"/>
      <c r="G19" s="59">
        <f>SUM(C19:F19)</f>
        <v>-946387430.47000062</v>
      </c>
      <c r="H19" s="70"/>
      <c r="I19" s="59">
        <f>'FPL Excess ADIT'!P177</f>
        <v>-969386914.72500062</v>
      </c>
      <c r="J19" s="59">
        <f>'CBAS Excess ADIT'!P43</f>
        <v>-901796.995</v>
      </c>
      <c r="K19" s="59">
        <f>'ICL Excess ADIT'!P43</f>
        <v>23901281.25</v>
      </c>
      <c r="L19" s="59">
        <f>'Enersys Excess ADIT'!P42</f>
        <v>0</v>
      </c>
      <c r="M19" s="59">
        <f>SUM(I19:L19)</f>
        <v>-946387430.47000062</v>
      </c>
      <c r="N19" s="70"/>
      <c r="O19" s="59">
        <f t="shared" ref="O19:O20" si="9">I19-C19</f>
        <v>0</v>
      </c>
      <c r="P19" s="59">
        <f t="shared" si="6"/>
        <v>0</v>
      </c>
      <c r="Q19" s="59">
        <f t="shared" si="7"/>
        <v>0</v>
      </c>
      <c r="R19" s="59">
        <f t="shared" si="8"/>
        <v>0</v>
      </c>
      <c r="S19" s="59">
        <f>SUM(O19:R19)</f>
        <v>0</v>
      </c>
      <c r="V19" s="396"/>
      <c r="W19" s="401" t="s">
        <v>495</v>
      </c>
      <c r="X19" s="401"/>
      <c r="Y19" s="402">
        <f>M19</f>
        <v>-946387430.47000062</v>
      </c>
      <c r="Z19" s="402">
        <f>G19</f>
        <v>-946387430.47000062</v>
      </c>
      <c r="AA19" s="396"/>
      <c r="AB19" s="396"/>
    </row>
    <row r="20" spans="1:28" ht="15" customHeight="1" x14ac:dyDescent="0.2">
      <c r="A20" s="70" t="s">
        <v>496</v>
      </c>
      <c r="B20" s="70"/>
      <c r="C20" s="59">
        <f>'FPL Excess ADIT'!K178</f>
        <v>-318842585.87000012</v>
      </c>
      <c r="G20" s="59">
        <f>SUM(C20:F20)</f>
        <v>-318842585.87000012</v>
      </c>
      <c r="H20" s="70"/>
      <c r="I20" s="59">
        <f>'FPL Excess ADIT'!P178</f>
        <v>-333706413.87000012</v>
      </c>
      <c r="J20" s="59">
        <f>'CBAS Excess ADIT'!P44</f>
        <v>-155642</v>
      </c>
      <c r="K20" s="59">
        <f>'ICL Excess ADIT'!P44</f>
        <v>-4235670</v>
      </c>
      <c r="L20" s="59">
        <f>'Enersys Excess ADIT'!P43</f>
        <v>-13731</v>
      </c>
      <c r="M20" s="59">
        <f>SUM(I20:L20)</f>
        <v>-338111456.87000012</v>
      </c>
      <c r="N20" s="70"/>
      <c r="O20" s="59">
        <f t="shared" si="9"/>
        <v>-14863828</v>
      </c>
      <c r="P20" s="59">
        <f t="shared" si="6"/>
        <v>-155642</v>
      </c>
      <c r="Q20" s="59">
        <f t="shared" si="7"/>
        <v>-4235670</v>
      </c>
      <c r="R20" s="59">
        <f t="shared" si="8"/>
        <v>-13731</v>
      </c>
      <c r="S20" s="59">
        <f>SUM(O20:R20)</f>
        <v>-19268871</v>
      </c>
      <c r="V20" s="396"/>
      <c r="W20" s="401" t="s">
        <v>496</v>
      </c>
      <c r="X20" s="401"/>
      <c r="Y20" s="402">
        <f>M20</f>
        <v>-338111456.87000012</v>
      </c>
      <c r="Z20" s="402">
        <f>G20</f>
        <v>-318842585.87000012</v>
      </c>
      <c r="AA20" s="396"/>
      <c r="AB20" s="396"/>
    </row>
    <row r="21" spans="1:28" ht="15" customHeight="1" thickBot="1" x14ac:dyDescent="0.25">
      <c r="A21" s="71" t="s">
        <v>501</v>
      </c>
      <c r="B21" s="71"/>
      <c r="C21" s="72">
        <f>SUM(C18:C20)</f>
        <v>-1139783551.7800007</v>
      </c>
      <c r="D21" s="72">
        <f>SUM(D18:D20)</f>
        <v>-23533.95000000007</v>
      </c>
      <c r="E21" s="72">
        <f>SUM(E18:E20)</f>
        <v>23901281.25</v>
      </c>
      <c r="F21" s="72">
        <f t="shared" ref="F21:G21" si="10">SUM(F18:F20)</f>
        <v>77481.14</v>
      </c>
      <c r="G21" s="72">
        <f t="shared" si="10"/>
        <v>-1115828323.3400006</v>
      </c>
      <c r="H21" s="71"/>
      <c r="I21" s="72">
        <f>SUM(I18:I20)</f>
        <v>-890101947.78000069</v>
      </c>
      <c r="J21" s="72">
        <f>SUM(J18:J20)</f>
        <v>-19363.95000000007</v>
      </c>
      <c r="K21" s="72">
        <f>SUM(K18:K20)</f>
        <v>19665611.25</v>
      </c>
      <c r="L21" s="72">
        <f t="shared" ref="L21" si="11">SUM(L18:L20)</f>
        <v>63750.14</v>
      </c>
      <c r="M21" s="72">
        <f t="shared" ref="M21" si="12">SUM(M18:M20)</f>
        <v>-870391950.34000075</v>
      </c>
      <c r="N21" s="71"/>
      <c r="O21" s="72">
        <f>SUM(O18:O20)</f>
        <v>249681604</v>
      </c>
      <c r="P21" s="72">
        <f>SUM(P18:P20)</f>
        <v>4170</v>
      </c>
      <c r="Q21" s="72">
        <f>SUM(Q18:Q20)</f>
        <v>-4235670</v>
      </c>
      <c r="R21" s="72">
        <f t="shared" ref="R21:S21" si="13">SUM(R18:R20)</f>
        <v>-13731</v>
      </c>
      <c r="S21" s="72">
        <f t="shared" si="13"/>
        <v>245436373</v>
      </c>
      <c r="V21" s="396"/>
      <c r="W21" s="397" t="s">
        <v>501</v>
      </c>
      <c r="X21" s="397"/>
      <c r="Y21" s="403">
        <f>SUM(Y18:Y20)</f>
        <v>-870391950.34000075</v>
      </c>
      <c r="Z21" s="403">
        <f>SUM(Z18:Z20)</f>
        <v>-1115828323.3400006</v>
      </c>
      <c r="AA21" s="396"/>
      <c r="AB21" s="396"/>
    </row>
    <row r="22" spans="1:28" ht="15" customHeight="1" thickTop="1" x14ac:dyDescent="0.2">
      <c r="V22" s="396"/>
      <c r="W22" s="396"/>
      <c r="X22" s="396"/>
      <c r="Y22" s="396"/>
      <c r="Z22" s="396"/>
      <c r="AA22" s="396"/>
      <c r="AB22" s="396"/>
    </row>
    <row r="23" spans="1:28" ht="15" customHeight="1" x14ac:dyDescent="0.2">
      <c r="A23" s="73" t="s">
        <v>187</v>
      </c>
      <c r="B23" s="73"/>
      <c r="C23" s="74">
        <f>C16+C21</f>
        <v>-9612501845.2069988</v>
      </c>
      <c r="D23" s="74">
        <f>D16+D21</f>
        <v>-165058.56749999977</v>
      </c>
      <c r="E23" s="74">
        <f>E16+E21</f>
        <v>167634895.3125</v>
      </c>
      <c r="F23" s="74">
        <f t="shared" ref="F23:G23" si="14">F16+F21</f>
        <v>543424.54099999997</v>
      </c>
      <c r="G23" s="74">
        <f t="shared" si="14"/>
        <v>-9444488583.9209976</v>
      </c>
      <c r="H23" s="73"/>
      <c r="I23" s="74">
        <f>I16+I21</f>
        <v>-5072836292.2069988</v>
      </c>
      <c r="J23" s="74">
        <f>J16+J21</f>
        <v>-89230.72050000017</v>
      </c>
      <c r="K23" s="74">
        <f>K16+K21</f>
        <v>90622711.6875</v>
      </c>
      <c r="L23" s="74">
        <f t="shared" ref="L23:M23" si="15">L16+L21</f>
        <v>293773.18059999996</v>
      </c>
      <c r="M23" s="74">
        <f t="shared" si="15"/>
        <v>-4982009038.0593996</v>
      </c>
      <c r="N23" s="73"/>
      <c r="O23" s="74">
        <f>O16+O21</f>
        <v>4539665553</v>
      </c>
      <c r="P23" s="74">
        <f>P16+P21</f>
        <v>75827.846999999601</v>
      </c>
      <c r="Q23" s="74">
        <f>Q16+Q21</f>
        <v>-77012183.625</v>
      </c>
      <c r="R23" s="74">
        <f t="shared" ref="R23:S23" si="16">R16+R21</f>
        <v>-249651.36040000001</v>
      </c>
      <c r="S23" s="74">
        <f t="shared" si="16"/>
        <v>4462479545.8615999</v>
      </c>
      <c r="V23" s="396"/>
      <c r="W23" s="73" t="s">
        <v>187</v>
      </c>
      <c r="X23" s="73"/>
      <c r="Y23" s="74">
        <f>Y16+Y21</f>
        <v>-4982009038.0593996</v>
      </c>
      <c r="Z23" s="74">
        <f>Z16+Z21</f>
        <v>-9444488583.9209976</v>
      </c>
      <c r="AA23" s="396"/>
      <c r="AB23" s="396"/>
    </row>
    <row r="24" spans="1:28" ht="15" customHeight="1" x14ac:dyDescent="0.2">
      <c r="V24" s="396"/>
      <c r="W24" s="396"/>
      <c r="X24" s="396"/>
      <c r="Y24" s="396"/>
      <c r="Z24" s="396"/>
      <c r="AA24" s="396"/>
      <c r="AB24" s="396"/>
    </row>
    <row r="25" spans="1:28" ht="15" customHeight="1" x14ac:dyDescent="0.2">
      <c r="I25" s="15"/>
      <c r="J25" s="15"/>
      <c r="K25" s="15"/>
      <c r="L25" s="381" t="s">
        <v>611</v>
      </c>
      <c r="M25" s="370">
        <f>'SAP General Ledger Balances'!M38</f>
        <v>-4982009058</v>
      </c>
      <c r="R25" s="381" t="s">
        <v>696</v>
      </c>
      <c r="S25" s="370">
        <f>-'Tax Reform Summary'!L53</f>
        <v>4462479545.8615999</v>
      </c>
      <c r="V25" s="396"/>
      <c r="W25" s="396"/>
      <c r="X25" s="396"/>
      <c r="Y25" s="396"/>
      <c r="Z25" s="396"/>
      <c r="AA25" s="396"/>
      <c r="AB25" s="396"/>
    </row>
    <row r="26" spans="1:28" ht="15" customHeight="1" x14ac:dyDescent="0.2">
      <c r="I26" s="15"/>
      <c r="J26" s="221"/>
      <c r="K26" s="221"/>
      <c r="L26" s="380" t="s">
        <v>610</v>
      </c>
      <c r="M26" s="370">
        <f>M25-M23</f>
        <v>-19.940600395202637</v>
      </c>
      <c r="R26" s="380" t="s">
        <v>610</v>
      </c>
      <c r="S26" s="370">
        <f>S25-S23</f>
        <v>0</v>
      </c>
    </row>
    <row r="27" spans="1:28" ht="15" customHeight="1" x14ac:dyDescent="0.2">
      <c r="I27" s="15"/>
      <c r="J27" s="221"/>
      <c r="K27" s="221"/>
      <c r="L27" s="221"/>
    </row>
  </sheetData>
  <mergeCells count="4">
    <mergeCell ref="C8:G8"/>
    <mergeCell ref="I8:M8"/>
    <mergeCell ref="O8:S8"/>
    <mergeCell ref="Y8:Z8"/>
  </mergeCells>
  <pageMargins left="0.5" right="0" top="0.75" bottom="0.75" header="0.3" footer="0.3"/>
  <pageSetup paperSize="5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" sqref="C1:D2"/>
    </sheetView>
  </sheetViews>
  <sheetFormatPr defaultColWidth="9" defaultRowHeight="14.1" customHeight="1" x14ac:dyDescent="0.2"/>
  <cols>
    <col min="1" max="1" width="9" style="411" customWidth="1"/>
    <col min="2" max="2" width="29.42578125" style="411" customWidth="1"/>
    <col min="3" max="8" width="13.42578125" style="411" customWidth="1"/>
    <col min="9" max="9" width="3.85546875" style="411" customWidth="1"/>
    <col min="10" max="10" width="14.28515625" style="411" customWidth="1"/>
    <col min="11" max="12" width="13.28515625" style="411" customWidth="1"/>
    <col min="13" max="13" width="9" style="411"/>
    <col min="14" max="14" width="12.140625" style="411" bestFit="1" customWidth="1"/>
    <col min="15" max="15" width="19.85546875" style="411" bestFit="1" customWidth="1"/>
    <col min="16" max="16" width="3.140625" style="411" customWidth="1"/>
    <col min="17" max="17" width="12.85546875" style="411" customWidth="1"/>
    <col min="18" max="18" width="10.85546875" style="411" customWidth="1"/>
    <col min="19" max="19" width="12.85546875" style="411" customWidth="1"/>
    <col min="20" max="20" width="3.140625" style="411" customWidth="1"/>
    <col min="21" max="21" width="12.85546875" style="411" customWidth="1"/>
    <col min="22" max="22" width="3.140625" style="411" customWidth="1"/>
    <col min="23" max="23" width="10.85546875" style="411" customWidth="1"/>
    <col min="24" max="24" width="3.140625" style="411" customWidth="1"/>
    <col min="25" max="27" width="10.85546875" style="411" customWidth="1"/>
    <col min="28" max="16384" width="9" style="411"/>
  </cols>
  <sheetData>
    <row r="1" spans="1:27" ht="14.1" customHeight="1" x14ac:dyDescent="0.2">
      <c r="A1" s="410" t="s">
        <v>656</v>
      </c>
      <c r="C1" s="455" t="s">
        <v>712</v>
      </c>
      <c r="D1" s="455"/>
    </row>
    <row r="2" spans="1:27" ht="14.1" customHeight="1" x14ac:dyDescent="0.2">
      <c r="A2" s="410" t="s">
        <v>684</v>
      </c>
      <c r="C2" s="455" t="s">
        <v>710</v>
      </c>
      <c r="D2" s="455"/>
    </row>
    <row r="3" spans="1:27" ht="14.1" customHeight="1" x14ac:dyDescent="0.2">
      <c r="A3" s="410" t="s">
        <v>685</v>
      </c>
    </row>
    <row r="6" spans="1:27" ht="14.1" customHeight="1" x14ac:dyDescent="0.2">
      <c r="A6" s="412"/>
      <c r="B6" s="412"/>
      <c r="C6" s="413" t="s">
        <v>467</v>
      </c>
      <c r="D6" s="414" t="s">
        <v>465</v>
      </c>
      <c r="E6" s="413" t="s">
        <v>467</v>
      </c>
      <c r="F6" s="414" t="s">
        <v>465</v>
      </c>
      <c r="G6" s="413" t="s">
        <v>467</v>
      </c>
      <c r="H6" s="414" t="s">
        <v>465</v>
      </c>
      <c r="J6" s="415" t="s">
        <v>570</v>
      </c>
      <c r="K6" s="416" t="s">
        <v>571</v>
      </c>
      <c r="L6" s="416" t="s">
        <v>663</v>
      </c>
    </row>
    <row r="7" spans="1:27" ht="14.1" customHeight="1" x14ac:dyDescent="0.2">
      <c r="A7" s="417" t="s">
        <v>664</v>
      </c>
      <c r="B7" s="417" t="s">
        <v>505</v>
      </c>
      <c r="C7" s="418" t="s">
        <v>516</v>
      </c>
      <c r="D7" s="419" t="s">
        <v>517</v>
      </c>
      <c r="E7" s="418" t="s">
        <v>518</v>
      </c>
      <c r="F7" s="419" t="s">
        <v>519</v>
      </c>
      <c r="G7" s="418" t="s">
        <v>520</v>
      </c>
      <c r="H7" s="419" t="s">
        <v>521</v>
      </c>
      <c r="J7" s="418" t="s">
        <v>522</v>
      </c>
      <c r="K7" s="419" t="s">
        <v>523</v>
      </c>
      <c r="L7" s="419" t="s">
        <v>665</v>
      </c>
    </row>
    <row r="8" spans="1:27" ht="14.1" customHeight="1" x14ac:dyDescent="0.2">
      <c r="A8" s="420"/>
      <c r="B8" s="420"/>
      <c r="C8" s="421" t="s">
        <v>525</v>
      </c>
      <c r="D8" s="422" t="s">
        <v>525</v>
      </c>
      <c r="E8" s="421" t="s">
        <v>526</v>
      </c>
      <c r="F8" s="422" t="s">
        <v>526</v>
      </c>
      <c r="G8" s="421" t="s">
        <v>527</v>
      </c>
      <c r="H8" s="422" t="s">
        <v>527</v>
      </c>
      <c r="J8" s="421" t="s">
        <v>574</v>
      </c>
      <c r="K8" s="422" t="s">
        <v>575</v>
      </c>
      <c r="L8" s="422"/>
      <c r="O8" s="309" t="s">
        <v>505</v>
      </c>
      <c r="P8" s="309"/>
      <c r="Q8" s="309" t="s">
        <v>467</v>
      </c>
      <c r="R8" s="309" t="s">
        <v>465</v>
      </c>
      <c r="S8" s="309" t="s">
        <v>507</v>
      </c>
      <c r="T8" s="309"/>
      <c r="U8" s="309" t="s">
        <v>508</v>
      </c>
      <c r="V8" s="309"/>
      <c r="W8" s="309" t="s">
        <v>509</v>
      </c>
      <c r="X8" s="297"/>
      <c r="Y8" s="309" t="s">
        <v>467</v>
      </c>
      <c r="Z8" s="309" t="s">
        <v>465</v>
      </c>
      <c r="AA8" s="309" t="s">
        <v>510</v>
      </c>
    </row>
    <row r="9" spans="1:27" ht="14.1" customHeight="1" x14ac:dyDescent="0.2">
      <c r="A9" s="411" t="s">
        <v>499</v>
      </c>
      <c r="B9" s="423" t="s">
        <v>554</v>
      </c>
      <c r="C9" s="424">
        <f>'FPL FAS109 w Tax Reform'!AF56</f>
        <v>-329422850</v>
      </c>
      <c r="D9" s="424"/>
      <c r="E9" s="424"/>
      <c r="F9" s="424"/>
      <c r="G9" s="424"/>
      <c r="H9" s="423"/>
      <c r="J9" s="424">
        <f>'FPL FAS109 w Tax Reform'!AM56</f>
        <v>329422850</v>
      </c>
      <c r="K9" s="424"/>
      <c r="L9" s="424">
        <f>J9+K9</f>
        <v>329422850</v>
      </c>
    </row>
    <row r="10" spans="1:27" ht="14.1" customHeight="1" x14ac:dyDescent="0.2">
      <c r="A10" s="411" t="s">
        <v>484</v>
      </c>
      <c r="B10" s="423" t="s">
        <v>554</v>
      </c>
      <c r="C10" s="424">
        <f>'CBAS FAS109 Entry'!P9</f>
        <v>-2112621.8336999998</v>
      </c>
      <c r="D10" s="424"/>
      <c r="E10" s="424"/>
      <c r="F10" s="424"/>
      <c r="G10" s="424"/>
      <c r="H10" s="423"/>
      <c r="J10" s="424">
        <f>'CBAS FAS109 Entry'!W9</f>
        <v>2112621.8336999998</v>
      </c>
      <c r="K10" s="424"/>
      <c r="L10" s="424">
        <f>J10+K10</f>
        <v>2112621.8336999998</v>
      </c>
      <c r="O10" s="411" t="s">
        <v>671</v>
      </c>
    </row>
    <row r="11" spans="1:27" ht="14.1" customHeight="1" x14ac:dyDescent="0.2">
      <c r="A11" s="411" t="s">
        <v>493</v>
      </c>
      <c r="B11" s="423" t="s">
        <v>554</v>
      </c>
      <c r="C11" s="424">
        <f>'Enersys FAS109 Entry'!P9</f>
        <v>-186377.36040000001</v>
      </c>
      <c r="D11" s="424"/>
      <c r="E11" s="424"/>
      <c r="F11" s="424"/>
      <c r="G11" s="424"/>
      <c r="H11" s="423"/>
      <c r="J11" s="424">
        <f>'Enersys FAS109 Entry'!W9</f>
        <v>186377.36040000001</v>
      </c>
      <c r="K11" s="424"/>
      <c r="L11" s="424">
        <f>J11+K11</f>
        <v>186377.36040000001</v>
      </c>
      <c r="O11" s="323" t="s">
        <v>555</v>
      </c>
      <c r="P11" s="297"/>
      <c r="Q11" s="316">
        <f>'FPL FAS109 w Tax Reform'!D59</f>
        <v>-54043</v>
      </c>
      <c r="R11" s="316">
        <f>'FPL FAS109 w Tax Reform'!E59</f>
        <v>-42744</v>
      </c>
      <c r="S11" s="316">
        <f>'FPL FAS109 w Tax Reform'!F59</f>
        <v>-96787</v>
      </c>
      <c r="T11" s="316"/>
      <c r="U11" s="316">
        <f>'FPL FAS109 w Tax Reform'!H59</f>
        <v>-2871757</v>
      </c>
      <c r="V11" s="316"/>
      <c r="W11" s="316">
        <f>'FPL FAS109 w Tax Reform'!J59</f>
        <v>-2774970</v>
      </c>
      <c r="X11" s="316"/>
      <c r="Y11" s="316">
        <f>'FPL FAS109 w Tax Reform'!L59</f>
        <v>-2617023</v>
      </c>
      <c r="Z11" s="316">
        <f>'FPL FAS109 w Tax Reform'!M59</f>
        <v>-157947</v>
      </c>
      <c r="AA11" s="316">
        <f>'FPL FAS109 w Tax Reform'!N59</f>
        <v>-2774970</v>
      </c>
    </row>
    <row r="12" spans="1:27" ht="14.1" customHeight="1" x14ac:dyDescent="0.2">
      <c r="B12" s="425" t="s">
        <v>666</v>
      </c>
      <c r="C12" s="426">
        <f>SUM(C9:C11)</f>
        <v>-331721849.19410002</v>
      </c>
      <c r="D12" s="426">
        <f t="shared" ref="D12:H12" si="0">SUM(D9:D11)</f>
        <v>0</v>
      </c>
      <c r="E12" s="426">
        <f t="shared" si="0"/>
        <v>0</v>
      </c>
      <c r="F12" s="426">
        <f t="shared" si="0"/>
        <v>0</v>
      </c>
      <c r="G12" s="426">
        <f t="shared" si="0"/>
        <v>0</v>
      </c>
      <c r="H12" s="426">
        <f t="shared" si="0"/>
        <v>0</v>
      </c>
      <c r="J12" s="426">
        <f t="shared" ref="J12:L12" si="1">SUM(J9:J11)</f>
        <v>331721849.19410002</v>
      </c>
      <c r="K12" s="426">
        <f t="shared" si="1"/>
        <v>0</v>
      </c>
      <c r="L12" s="426">
        <f t="shared" si="1"/>
        <v>331721849.19410002</v>
      </c>
      <c r="O12" s="323" t="s">
        <v>557</v>
      </c>
      <c r="P12" s="297"/>
      <c r="Q12" s="316">
        <f>'FPL FAS109 w Tax Reform'!D60</f>
        <v>2900786701</v>
      </c>
      <c r="R12" s="316">
        <f>'FPL FAS109 w Tax Reform'!E60</f>
        <v>0</v>
      </c>
      <c r="S12" s="316">
        <f>'FPL FAS109 w Tax Reform'!F60</f>
        <v>2900786701</v>
      </c>
      <c r="T12" s="316"/>
      <c r="U12" s="316">
        <f>'FPL FAS109 w Tax Reform'!H60</f>
        <v>3885589312</v>
      </c>
      <c r="V12" s="316"/>
      <c r="W12" s="316">
        <f>'FPL FAS109 w Tax Reform'!J60</f>
        <v>984802611</v>
      </c>
      <c r="X12" s="316"/>
      <c r="Y12" s="316">
        <f>'FPL FAS109 w Tax Reform'!L60</f>
        <v>771095199</v>
      </c>
      <c r="Z12" s="316">
        <f>'FPL FAS109 w Tax Reform'!M60</f>
        <v>213707412</v>
      </c>
      <c r="AA12" s="316">
        <f>'FPL FAS109 w Tax Reform'!N60</f>
        <v>984802611</v>
      </c>
    </row>
    <row r="13" spans="1:27" ht="14.1" customHeight="1" x14ac:dyDescent="0.2">
      <c r="B13" s="423"/>
      <c r="C13" s="423"/>
      <c r="D13" s="423"/>
      <c r="E13" s="423"/>
      <c r="F13" s="423"/>
      <c r="G13" s="423"/>
      <c r="H13" s="423"/>
      <c r="J13" s="423"/>
      <c r="K13" s="423"/>
      <c r="L13" s="423"/>
      <c r="O13" s="141" t="s">
        <v>558</v>
      </c>
      <c r="P13" s="297"/>
      <c r="Q13" s="142">
        <f>SUM(Q11:Q12)</f>
        <v>2900732658</v>
      </c>
      <c r="R13" s="142">
        <f>SUM(R11:R12)</f>
        <v>-42744</v>
      </c>
      <c r="S13" s="142">
        <f>SUM(S11:S12)</f>
        <v>2900689914</v>
      </c>
      <c r="T13" s="317"/>
      <c r="U13" s="142">
        <f>SUM(U11:U12)</f>
        <v>3882717555</v>
      </c>
      <c r="V13" s="317"/>
      <c r="W13" s="142">
        <f>SUM(W11:W12)</f>
        <v>982027641</v>
      </c>
      <c r="X13" s="317"/>
      <c r="Y13" s="142">
        <f>SUM(Y11:Y12)</f>
        <v>768478176</v>
      </c>
      <c r="Z13" s="142">
        <f>SUM(Z11:Z12)</f>
        <v>213549465</v>
      </c>
      <c r="AA13" s="142">
        <f>SUM(AA11:AA12)</f>
        <v>982027641</v>
      </c>
    </row>
    <row r="14" spans="1:27" ht="14.1" customHeight="1" x14ac:dyDescent="0.2">
      <c r="A14" s="411" t="s">
        <v>499</v>
      </c>
      <c r="B14" s="423" t="s">
        <v>556</v>
      </c>
      <c r="C14" s="424"/>
      <c r="D14" s="423"/>
      <c r="E14" s="424">
        <f>'FPL FAS109 w Tax Reform'!AH59</f>
        <v>2900786698</v>
      </c>
      <c r="F14" s="424"/>
      <c r="G14" s="424"/>
      <c r="H14" s="423"/>
      <c r="J14" s="424">
        <v>0</v>
      </c>
      <c r="K14" s="424">
        <f>'FPL FAS109 w Tax Reform'!AN59</f>
        <v>-2900786698</v>
      </c>
      <c r="L14" s="424">
        <f>J14+K14</f>
        <v>-2900786698</v>
      </c>
    </row>
    <row r="15" spans="1:27" ht="14.1" customHeight="1" x14ac:dyDescent="0.2">
      <c r="A15" s="411" t="s">
        <v>484</v>
      </c>
      <c r="B15" s="423" t="s">
        <v>556</v>
      </c>
      <c r="C15" s="424"/>
      <c r="D15" s="423"/>
      <c r="E15" s="424">
        <f>'CBAS FAS109 Entry'!R12</f>
        <v>2169231.6806999999</v>
      </c>
      <c r="F15" s="424"/>
      <c r="G15" s="424"/>
      <c r="H15" s="423"/>
      <c r="J15" s="424">
        <v>0</v>
      </c>
      <c r="K15" s="424">
        <v>-2169231.6806999999</v>
      </c>
      <c r="L15" s="424">
        <f>J15+K15</f>
        <v>-2169231.6806999999</v>
      </c>
      <c r="O15" s="411" t="s">
        <v>672</v>
      </c>
    </row>
    <row r="16" spans="1:27" ht="14.1" customHeight="1" x14ac:dyDescent="0.2">
      <c r="A16" s="411" t="s">
        <v>490</v>
      </c>
      <c r="B16" s="423" t="s">
        <v>556</v>
      </c>
      <c r="C16" s="424"/>
      <c r="D16" s="423"/>
      <c r="E16" s="424">
        <f>'ICL FAS109 Entry'!R12</f>
        <v>-57493445.625</v>
      </c>
      <c r="F16" s="424"/>
      <c r="G16" s="424"/>
      <c r="H16" s="423"/>
      <c r="J16" s="424">
        <f>'ICL FAS109 Entry'!W12</f>
        <v>57493445.625</v>
      </c>
      <c r="K16" s="424">
        <v>0</v>
      </c>
      <c r="L16" s="424">
        <f>J16+K16</f>
        <v>57493445.625</v>
      </c>
      <c r="O16" s="323" t="s">
        <v>555</v>
      </c>
      <c r="P16" s="297"/>
      <c r="Q16" s="316">
        <f>'FPL FAS109 B4 Tax Reform'!D56</f>
        <v>-54043</v>
      </c>
      <c r="R16" s="316">
        <f>'FPL FAS109 B4 Tax Reform'!E56</f>
        <v>-42744</v>
      </c>
      <c r="S16" s="316">
        <f>'FPL FAS109 B4 Tax Reform'!F56</f>
        <v>-96787</v>
      </c>
      <c r="T16" s="316"/>
      <c r="U16" s="316">
        <f>'FPL FAS109 B4 Tax Reform'!H56</f>
        <v>-157569</v>
      </c>
      <c r="V16" s="316"/>
      <c r="W16" s="316">
        <f>'FPL FAS109 B4 Tax Reform'!J56</f>
        <v>-60782</v>
      </c>
      <c r="X16" s="316"/>
      <c r="Y16" s="316">
        <f>'FPL FAS109 B4 Tax Reform'!L56</f>
        <v>-52116</v>
      </c>
      <c r="Z16" s="316">
        <f>'FPL FAS109 B4 Tax Reform'!M56</f>
        <v>-8666</v>
      </c>
      <c r="AA16" s="316">
        <f>'FPL FAS109 B4 Tax Reform'!N56</f>
        <v>-60782</v>
      </c>
    </row>
    <row r="17" spans="1:27" ht="14.1" customHeight="1" x14ac:dyDescent="0.2">
      <c r="B17" s="425" t="s">
        <v>667</v>
      </c>
      <c r="C17" s="426">
        <f>SUM(C14:C16)</f>
        <v>0</v>
      </c>
      <c r="D17" s="426">
        <f t="shared" ref="D17:H17" si="2">SUM(D14:D16)</f>
        <v>0</v>
      </c>
      <c r="E17" s="426">
        <f t="shared" si="2"/>
        <v>2845462484.0556998</v>
      </c>
      <c r="F17" s="426">
        <f t="shared" si="2"/>
        <v>0</v>
      </c>
      <c r="G17" s="426">
        <f t="shared" si="2"/>
        <v>0</v>
      </c>
      <c r="H17" s="426">
        <f t="shared" si="2"/>
        <v>0</v>
      </c>
      <c r="J17" s="426">
        <f t="shared" ref="J17:L17" si="3">SUM(J14:J16)</f>
        <v>57493445.625</v>
      </c>
      <c r="K17" s="426">
        <f t="shared" si="3"/>
        <v>-2902955929.6806998</v>
      </c>
      <c r="L17" s="426">
        <f t="shared" si="3"/>
        <v>-2845462484.0556998</v>
      </c>
      <c r="O17" s="323" t="s">
        <v>557</v>
      </c>
      <c r="P17" s="297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</row>
    <row r="18" spans="1:27" ht="14.1" customHeight="1" x14ac:dyDescent="0.2">
      <c r="O18" s="141" t="s">
        <v>558</v>
      </c>
      <c r="P18" s="297"/>
      <c r="Q18" s="142">
        <f>SUM(Q16:Q17)</f>
        <v>-54043</v>
      </c>
      <c r="R18" s="142">
        <f>SUM(R16:R17)</f>
        <v>-42744</v>
      </c>
      <c r="S18" s="142">
        <f>SUM(S16:S17)</f>
        <v>-96787</v>
      </c>
      <c r="T18" s="317"/>
      <c r="U18" s="142">
        <f>SUM(U16:U17)</f>
        <v>-157569</v>
      </c>
      <c r="V18" s="317"/>
      <c r="W18" s="142">
        <f>SUM(W16:W17)</f>
        <v>-60782</v>
      </c>
      <c r="X18" s="317"/>
      <c r="Y18" s="142">
        <f>SUM(Y16:Y17)</f>
        <v>-52116</v>
      </c>
      <c r="Z18" s="142">
        <f>SUM(Z16:Z17)</f>
        <v>-8666</v>
      </c>
      <c r="AA18" s="142">
        <f>SUM(AA16:AA17)</f>
        <v>-60782</v>
      </c>
    </row>
    <row r="19" spans="1:27" ht="14.1" customHeight="1" x14ac:dyDescent="0.2">
      <c r="A19" s="411" t="s">
        <v>499</v>
      </c>
      <c r="B19" s="423" t="s">
        <v>559</v>
      </c>
      <c r="C19" s="424"/>
      <c r="D19" s="423"/>
      <c r="E19" s="424"/>
      <c r="F19" s="424"/>
      <c r="G19" s="424">
        <f>'FPL FAS109 w Tax Reform'!AJ62</f>
        <v>717713930</v>
      </c>
      <c r="H19" s="424">
        <v>0</v>
      </c>
      <c r="J19" s="424">
        <v>0</v>
      </c>
      <c r="K19" s="424">
        <f>'FPL FAS109 w Tax Reform'!AN62</f>
        <v>-717713930</v>
      </c>
      <c r="L19" s="424">
        <f>J19+K19</f>
        <v>-717713930</v>
      </c>
    </row>
    <row r="20" spans="1:27" ht="14.1" customHeight="1" x14ac:dyDescent="0.2">
      <c r="B20" s="423"/>
      <c r="C20" s="423"/>
      <c r="D20" s="423"/>
      <c r="E20" s="423"/>
      <c r="F20" s="423"/>
      <c r="G20" s="423"/>
      <c r="H20" s="423"/>
      <c r="J20" s="423"/>
      <c r="K20" s="423"/>
      <c r="L20" s="423"/>
      <c r="O20" s="411" t="s">
        <v>587</v>
      </c>
    </row>
    <row r="21" spans="1:27" ht="14.1" customHeight="1" x14ac:dyDescent="0.2">
      <c r="A21" s="433"/>
      <c r="B21" s="433" t="s">
        <v>678</v>
      </c>
      <c r="C21" s="434">
        <f>C12+C17+C19</f>
        <v>-331721849.19410002</v>
      </c>
      <c r="D21" s="434">
        <f t="shared" ref="D21:L21" si="4">D12+D17+D19</f>
        <v>0</v>
      </c>
      <c r="E21" s="434">
        <f t="shared" si="4"/>
        <v>2845462484.0556998</v>
      </c>
      <c r="F21" s="434">
        <f t="shared" si="4"/>
        <v>0</v>
      </c>
      <c r="G21" s="434">
        <f t="shared" si="4"/>
        <v>717713930</v>
      </c>
      <c r="H21" s="434">
        <f t="shared" si="4"/>
        <v>0</v>
      </c>
      <c r="I21" s="430"/>
      <c r="J21" s="434">
        <f t="shared" si="4"/>
        <v>389215294.81910002</v>
      </c>
      <c r="K21" s="434">
        <f t="shared" si="4"/>
        <v>-3620669859.6806998</v>
      </c>
      <c r="L21" s="434">
        <f t="shared" si="4"/>
        <v>-3231454564.8615999</v>
      </c>
      <c r="O21" s="323" t="s">
        <v>555</v>
      </c>
      <c r="P21" s="297"/>
      <c r="Q21" s="316">
        <f t="shared" ref="Q21:S22" si="5">Q11-Q16</f>
        <v>0</v>
      </c>
      <c r="R21" s="316">
        <f t="shared" si="5"/>
        <v>0</v>
      </c>
      <c r="S21" s="316">
        <f t="shared" si="5"/>
        <v>0</v>
      </c>
      <c r="T21" s="316"/>
      <c r="U21" s="316">
        <f>U11-U16</f>
        <v>-2714188</v>
      </c>
      <c r="V21" s="316"/>
      <c r="W21" s="316">
        <f>W11-W16</f>
        <v>-2714188</v>
      </c>
      <c r="X21" s="316"/>
      <c r="Y21" s="316">
        <f t="shared" ref="Y21:AA22" si="6">Y11-Y16</f>
        <v>-2564907</v>
      </c>
      <c r="Z21" s="316">
        <f t="shared" si="6"/>
        <v>-149281</v>
      </c>
      <c r="AA21" s="316">
        <f t="shared" si="6"/>
        <v>-2714188</v>
      </c>
    </row>
    <row r="22" spans="1:27" ht="14.1" customHeight="1" x14ac:dyDescent="0.2">
      <c r="O22" s="323" t="s">
        <v>557</v>
      </c>
      <c r="P22" s="297"/>
      <c r="Q22" s="316">
        <f t="shared" si="5"/>
        <v>2900786701</v>
      </c>
      <c r="R22" s="316">
        <f t="shared" si="5"/>
        <v>0</v>
      </c>
      <c r="S22" s="316">
        <f t="shared" si="5"/>
        <v>2900786701</v>
      </c>
      <c r="T22" s="316"/>
      <c r="U22" s="316">
        <f>U12-U17</f>
        <v>3885589312</v>
      </c>
      <c r="V22" s="316"/>
      <c r="W22" s="316">
        <f>W12-W17</f>
        <v>984802611</v>
      </c>
      <c r="X22" s="316"/>
      <c r="Y22" s="316">
        <f t="shared" si="6"/>
        <v>771095199</v>
      </c>
      <c r="Z22" s="316">
        <f t="shared" si="6"/>
        <v>213707412</v>
      </c>
      <c r="AA22" s="316">
        <f t="shared" si="6"/>
        <v>984802611</v>
      </c>
    </row>
    <row r="23" spans="1:27" ht="14.1" customHeight="1" x14ac:dyDescent="0.2">
      <c r="A23" s="411" t="s">
        <v>499</v>
      </c>
      <c r="B23" s="423" t="s">
        <v>668</v>
      </c>
      <c r="C23" s="424"/>
      <c r="D23" s="424"/>
      <c r="E23" s="424"/>
      <c r="F23" s="424"/>
      <c r="G23" s="424">
        <f>'FPL FAS109 w Tax Reform'!AJ57</f>
        <v>-87568099</v>
      </c>
      <c r="H23" s="424">
        <f>'FPL FAS109 w Tax Reform'!AK57</f>
        <v>-24269315</v>
      </c>
      <c r="J23" s="424">
        <f>'FPL FAS109 w Tax Reform'!AM57</f>
        <v>111837414</v>
      </c>
      <c r="K23" s="424"/>
      <c r="L23" s="424">
        <f>J23+K23</f>
        <v>111837414</v>
      </c>
      <c r="O23" s="141" t="s">
        <v>558</v>
      </c>
      <c r="P23" s="297"/>
      <c r="Q23" s="142">
        <f>SUM(Q21:Q22)</f>
        <v>2900786701</v>
      </c>
      <c r="R23" s="142">
        <f>SUM(R21:R22)</f>
        <v>0</v>
      </c>
      <c r="S23" s="142">
        <f>SUM(S21:S22)</f>
        <v>2900786701</v>
      </c>
      <c r="T23" s="317"/>
      <c r="U23" s="142">
        <f>SUM(U21:U22)</f>
        <v>3882875124</v>
      </c>
      <c r="V23" s="317"/>
      <c r="W23" s="142">
        <f>SUM(W21:W22)</f>
        <v>982088423</v>
      </c>
      <c r="X23" s="317"/>
      <c r="Y23" s="142">
        <f>SUM(Y21:Y22)</f>
        <v>768530292</v>
      </c>
      <c r="Z23" s="142">
        <f>SUM(Z21:Z22)</f>
        <v>213558131</v>
      </c>
      <c r="AA23" s="142">
        <f>SUM(AA21:AA22)</f>
        <v>982088423</v>
      </c>
    </row>
    <row r="24" spans="1:27" ht="14.1" customHeight="1" x14ac:dyDescent="0.2">
      <c r="A24" s="411" t="s">
        <v>484</v>
      </c>
      <c r="B24" s="423" t="s">
        <v>668</v>
      </c>
      <c r="C24" s="424"/>
      <c r="D24" s="424"/>
      <c r="E24" s="424"/>
      <c r="F24" s="424"/>
      <c r="G24" s="424">
        <f>'CBAS FAS109 Entry'!T10</f>
        <v>-561583</v>
      </c>
      <c r="H24" s="424">
        <f>'CBAS FAS109 Entry'!U10</f>
        <v>-155642</v>
      </c>
      <c r="J24" s="424">
        <f>'CBAS FAS109 Entry'!W10</f>
        <v>717225</v>
      </c>
      <c r="K24" s="424"/>
      <c r="L24" s="424">
        <f>J24+K24</f>
        <v>717225</v>
      </c>
    </row>
    <row r="25" spans="1:27" ht="14.1" customHeight="1" x14ac:dyDescent="0.2">
      <c r="A25" s="411" t="s">
        <v>493</v>
      </c>
      <c r="B25" s="423" t="s">
        <v>668</v>
      </c>
      <c r="C25" s="424"/>
      <c r="D25" s="424"/>
      <c r="E25" s="424"/>
      <c r="F25" s="424"/>
      <c r="G25" s="424">
        <f>'Enersys FAS109 Entry'!T10</f>
        <v>-49543</v>
      </c>
      <c r="H25" s="424">
        <f>'Enersys FAS109 Entry'!U10</f>
        <v>-13731</v>
      </c>
      <c r="J25" s="424">
        <f>'Enersys FAS109 Entry'!W10</f>
        <v>63274</v>
      </c>
      <c r="K25" s="424"/>
      <c r="L25" s="424">
        <f>J25+K25</f>
        <v>63274</v>
      </c>
    </row>
    <row r="26" spans="1:27" ht="14.1" customHeight="1" x14ac:dyDescent="0.2">
      <c r="B26" s="425" t="s">
        <v>666</v>
      </c>
      <c r="C26" s="426">
        <f>SUM(C23:C25)</f>
        <v>0</v>
      </c>
      <c r="D26" s="426">
        <f t="shared" ref="D26:H26" si="7">SUM(D23:D25)</f>
        <v>0</v>
      </c>
      <c r="E26" s="426">
        <f t="shared" si="7"/>
        <v>0</v>
      </c>
      <c r="F26" s="426">
        <f t="shared" si="7"/>
        <v>0</v>
      </c>
      <c r="G26" s="426">
        <f t="shared" si="7"/>
        <v>-88179225</v>
      </c>
      <c r="H26" s="426">
        <f t="shared" si="7"/>
        <v>-24438688</v>
      </c>
      <c r="J26" s="426">
        <f t="shared" ref="J26:L26" si="8">SUM(J23:J25)</f>
        <v>112617913</v>
      </c>
      <c r="K26" s="426">
        <f t="shared" si="8"/>
        <v>0</v>
      </c>
      <c r="L26" s="426">
        <f t="shared" si="8"/>
        <v>112617913</v>
      </c>
    </row>
    <row r="27" spans="1:27" ht="14.1" customHeight="1" x14ac:dyDescent="0.2">
      <c r="B27" s="423"/>
      <c r="C27" s="423"/>
      <c r="D27" s="423"/>
      <c r="E27" s="423"/>
      <c r="F27" s="423"/>
      <c r="G27" s="423"/>
      <c r="H27" s="423"/>
      <c r="J27" s="423"/>
      <c r="K27" s="423"/>
      <c r="L27" s="423"/>
    </row>
    <row r="28" spans="1:27" ht="14.1" customHeight="1" x14ac:dyDescent="0.2">
      <c r="A28" s="411" t="s">
        <v>499</v>
      </c>
      <c r="B28" s="423" t="s">
        <v>669</v>
      </c>
      <c r="C28" s="424">
        <f>'FPL FAS109 w Tax Reform'!L60</f>
        <v>771095199</v>
      </c>
      <c r="D28" s="424">
        <f>'FPL FAS109 w Tax Reform'!M60</f>
        <v>213707412</v>
      </c>
      <c r="E28" s="424"/>
      <c r="F28" s="424"/>
      <c r="G28" s="424"/>
      <c r="H28" s="424"/>
      <c r="J28" s="424"/>
      <c r="K28" s="424">
        <f>-'FPL FAS109 w Tax Reform'!N60</f>
        <v>-984802611</v>
      </c>
      <c r="L28" s="424">
        <f>J28+K28</f>
        <v>-984802611</v>
      </c>
    </row>
    <row r="29" spans="1:27" ht="14.1" customHeight="1" x14ac:dyDescent="0.2">
      <c r="A29" s="411" t="s">
        <v>484</v>
      </c>
      <c r="B29" s="423" t="s">
        <v>669</v>
      </c>
      <c r="C29" s="424">
        <f>'CBAS FAS109 Entry'!P13</f>
        <v>576631</v>
      </c>
      <c r="D29" s="424">
        <f>'CBAS FAS109 Entry'!Q13</f>
        <v>159812</v>
      </c>
      <c r="E29" s="424"/>
      <c r="F29" s="424"/>
      <c r="G29" s="424">
        <v>0</v>
      </c>
      <c r="H29" s="424">
        <v>0</v>
      </c>
      <c r="J29" s="424"/>
      <c r="K29" s="424">
        <f>'CBAS FAS109 Entry'!X13</f>
        <v>-736443</v>
      </c>
      <c r="L29" s="424">
        <f t="shared" ref="L29:L30" si="9">J29+K29</f>
        <v>-736443</v>
      </c>
    </row>
    <row r="30" spans="1:27" ht="14.1" customHeight="1" x14ac:dyDescent="0.2">
      <c r="A30" s="411" t="s">
        <v>490</v>
      </c>
      <c r="B30" s="423" t="s">
        <v>669</v>
      </c>
      <c r="C30" s="424"/>
      <c r="D30" s="424"/>
      <c r="E30" s="424"/>
      <c r="F30" s="424"/>
      <c r="G30" s="424">
        <f>'ICL FAS109 Entry'!T13</f>
        <v>-15283068</v>
      </c>
      <c r="H30" s="424">
        <f>'ICL FAS109 Entry'!U13</f>
        <v>-4235670</v>
      </c>
      <c r="J30" s="424">
        <f>'ICL FAS109 Entry'!W13</f>
        <v>19518738</v>
      </c>
      <c r="K30" s="424">
        <v>0</v>
      </c>
      <c r="L30" s="424">
        <f t="shared" si="9"/>
        <v>19518738</v>
      </c>
    </row>
    <row r="31" spans="1:27" ht="14.1" customHeight="1" x14ac:dyDescent="0.2">
      <c r="B31" s="425" t="s">
        <v>667</v>
      </c>
      <c r="C31" s="426">
        <f>SUM(C28:C30)</f>
        <v>771671830</v>
      </c>
      <c r="D31" s="426">
        <f t="shared" ref="D31:H31" si="10">SUM(D28:D30)</f>
        <v>213867224</v>
      </c>
      <c r="E31" s="426">
        <f t="shared" si="10"/>
        <v>0</v>
      </c>
      <c r="F31" s="426">
        <f t="shared" si="10"/>
        <v>0</v>
      </c>
      <c r="G31" s="426">
        <f t="shared" si="10"/>
        <v>-15283068</v>
      </c>
      <c r="H31" s="426">
        <f t="shared" si="10"/>
        <v>-4235670</v>
      </c>
      <c r="J31" s="426">
        <f t="shared" ref="J31:L31" si="11">SUM(J28:J30)</f>
        <v>19518738</v>
      </c>
      <c r="K31" s="426">
        <f t="shared" si="11"/>
        <v>-985539054</v>
      </c>
      <c r="L31" s="426">
        <f t="shared" si="11"/>
        <v>-966020316</v>
      </c>
    </row>
    <row r="32" spans="1:27" ht="14.1" customHeight="1" x14ac:dyDescent="0.2">
      <c r="B32" s="423"/>
      <c r="C32" s="423"/>
      <c r="D32" s="423"/>
      <c r="E32" s="423"/>
      <c r="F32" s="423"/>
      <c r="G32" s="423"/>
      <c r="H32" s="423"/>
      <c r="J32" s="423"/>
      <c r="K32" s="423"/>
      <c r="L32" s="423"/>
    </row>
    <row r="33" spans="1:12" ht="14.1" customHeight="1" x14ac:dyDescent="0.2">
      <c r="A33" s="411" t="s">
        <v>499</v>
      </c>
      <c r="B33" s="423" t="s">
        <v>670</v>
      </c>
      <c r="C33" s="424">
        <f>'FPL FAS109 w Tax Reform'!AF63</f>
        <v>190784716</v>
      </c>
      <c r="D33" s="424">
        <f>'FPL FAS109 w Tax Reform'!AG63</f>
        <v>52875583</v>
      </c>
      <c r="E33" s="424"/>
      <c r="F33" s="424"/>
      <c r="G33" s="424"/>
      <c r="H33" s="424"/>
      <c r="J33" s="424"/>
      <c r="K33" s="424">
        <f>'FPL FAS109 w Tax Reform'!AN63</f>
        <v>-243660299</v>
      </c>
      <c r="L33" s="424">
        <f>J33+K33</f>
        <v>-243660299</v>
      </c>
    </row>
    <row r="35" spans="1:12" ht="14.1" customHeight="1" x14ac:dyDescent="0.2">
      <c r="A35" s="433"/>
      <c r="B35" s="433" t="s">
        <v>677</v>
      </c>
      <c r="C35" s="434">
        <f>C26+C31+C33</f>
        <v>962456546</v>
      </c>
      <c r="D35" s="434">
        <f t="shared" ref="D35:L35" si="12">D26+D31+D33</f>
        <v>266742807</v>
      </c>
      <c r="E35" s="434">
        <f t="shared" si="12"/>
        <v>0</v>
      </c>
      <c r="F35" s="434">
        <f t="shared" si="12"/>
        <v>0</v>
      </c>
      <c r="G35" s="434">
        <f t="shared" si="12"/>
        <v>-103462293</v>
      </c>
      <c r="H35" s="434">
        <f t="shared" si="12"/>
        <v>-28674358</v>
      </c>
      <c r="I35" s="430"/>
      <c r="J35" s="434">
        <f t="shared" si="12"/>
        <v>132136651</v>
      </c>
      <c r="K35" s="434">
        <f t="shared" si="12"/>
        <v>-1229199353</v>
      </c>
      <c r="L35" s="434">
        <f t="shared" si="12"/>
        <v>-1097062702</v>
      </c>
    </row>
    <row r="37" spans="1:12" ht="14.1" customHeight="1" x14ac:dyDescent="0.2">
      <c r="A37" s="431"/>
      <c r="B37" s="431" t="s">
        <v>679</v>
      </c>
      <c r="C37" s="432">
        <f t="shared" ref="C37:H37" si="13">C21+C35</f>
        <v>630734696.80589998</v>
      </c>
      <c r="D37" s="432">
        <f t="shared" si="13"/>
        <v>266742807</v>
      </c>
      <c r="E37" s="432">
        <f t="shared" si="13"/>
        <v>2845462484.0556998</v>
      </c>
      <c r="F37" s="432">
        <f t="shared" si="13"/>
        <v>0</v>
      </c>
      <c r="G37" s="432">
        <f t="shared" si="13"/>
        <v>614251637</v>
      </c>
      <c r="H37" s="432">
        <f t="shared" si="13"/>
        <v>-28674358</v>
      </c>
      <c r="I37" s="297"/>
      <c r="J37" s="432">
        <f>J21+J35</f>
        <v>521351945.81910002</v>
      </c>
      <c r="K37" s="432">
        <f>K21+K35</f>
        <v>-4849869212.6807003</v>
      </c>
      <c r="L37" s="432">
        <f>L21+L35</f>
        <v>-4328517266.8615999</v>
      </c>
    </row>
    <row r="39" spans="1:12" ht="14.1" customHeight="1" x14ac:dyDescent="0.2">
      <c r="A39" s="411" t="s">
        <v>499</v>
      </c>
      <c r="B39" s="411" t="s">
        <v>547</v>
      </c>
      <c r="C39" s="429">
        <f>'FPL FAS109 w Tax Reform'!AF40</f>
        <v>-15743750</v>
      </c>
      <c r="J39" s="429"/>
      <c r="K39" s="429">
        <f>'FPL FAS109 w Tax Reform'!AN40</f>
        <v>15743750</v>
      </c>
      <c r="L39" s="424">
        <f>J39+K39</f>
        <v>15743750</v>
      </c>
    </row>
    <row r="40" spans="1:12" ht="14.1" customHeight="1" x14ac:dyDescent="0.2">
      <c r="A40" s="411" t="s">
        <v>499</v>
      </c>
      <c r="B40" s="411" t="s">
        <v>548</v>
      </c>
      <c r="E40" s="429">
        <f>'FPL FAS109 w Tax Reform'!AH44</f>
        <v>7696978</v>
      </c>
      <c r="J40" s="429">
        <f>'FPL FAS109 w Tax Reform'!AM44</f>
        <v>-7696978</v>
      </c>
      <c r="L40" s="424">
        <f>J40+K40</f>
        <v>-7696978</v>
      </c>
    </row>
    <row r="41" spans="1:12" ht="14.1" customHeight="1" x14ac:dyDescent="0.2">
      <c r="A41" s="411" t="s">
        <v>499</v>
      </c>
      <c r="B41" s="411" t="s">
        <v>551</v>
      </c>
      <c r="E41" s="429">
        <f>'FPL FAS109 w Tax Reform'!AH50</f>
        <v>70722274</v>
      </c>
      <c r="J41" s="429">
        <f>'FPL FAS109 w Tax Reform'!AM50</f>
        <v>-70722273</v>
      </c>
      <c r="L41" s="424">
        <f>J41+K41</f>
        <v>-70722273</v>
      </c>
    </row>
    <row r="42" spans="1:12" ht="14.1" customHeight="1" x14ac:dyDescent="0.2">
      <c r="A42" s="433"/>
      <c r="B42" s="433" t="s">
        <v>680</v>
      </c>
      <c r="C42" s="434">
        <f t="shared" ref="C42:H42" si="14">SUM(C39:C41)</f>
        <v>-15743750</v>
      </c>
      <c r="D42" s="434">
        <f t="shared" si="14"/>
        <v>0</v>
      </c>
      <c r="E42" s="434">
        <f t="shared" si="14"/>
        <v>78419252</v>
      </c>
      <c r="F42" s="434">
        <f t="shared" si="14"/>
        <v>0</v>
      </c>
      <c r="G42" s="434">
        <f t="shared" si="14"/>
        <v>0</v>
      </c>
      <c r="H42" s="434">
        <f t="shared" si="14"/>
        <v>0</v>
      </c>
      <c r="I42" s="430"/>
      <c r="J42" s="434">
        <f>SUM(J39:J41)</f>
        <v>-78419251</v>
      </c>
      <c r="K42" s="434">
        <f>SUM(K39:K41)</f>
        <v>15743750</v>
      </c>
      <c r="L42" s="434">
        <f>SUM(L39:L41)</f>
        <v>-62675501</v>
      </c>
    </row>
    <row r="44" spans="1:12" ht="14.1" customHeight="1" x14ac:dyDescent="0.2">
      <c r="A44" s="411" t="s">
        <v>499</v>
      </c>
      <c r="B44" s="411" t="s">
        <v>673</v>
      </c>
      <c r="C44" s="429">
        <f>'FPL FAS109 w Tax Reform'!AF41</f>
        <v>-16700366</v>
      </c>
      <c r="D44" s="429">
        <f>'FPL FAS109 w Tax Reform'!AG41</f>
        <v>-1888282</v>
      </c>
      <c r="J44" s="429">
        <f>'FPL FAS109 w Tax Reform'!AM41</f>
        <v>0</v>
      </c>
      <c r="K44" s="429">
        <f>'FPL FAS109 w Tax Reform'!AN41</f>
        <v>18588648</v>
      </c>
      <c r="L44" s="424">
        <f>J44+K44</f>
        <v>18588648</v>
      </c>
    </row>
    <row r="45" spans="1:12" ht="14.1" customHeight="1" x14ac:dyDescent="0.2">
      <c r="A45" s="411" t="s">
        <v>499</v>
      </c>
      <c r="B45" s="411" t="s">
        <v>674</v>
      </c>
      <c r="G45" s="429">
        <f>'FPL FAS109 w Tax Reform'!AJ45</f>
        <v>8164657</v>
      </c>
      <c r="H45" s="429">
        <f>'FPL FAS109 w Tax Reform'!AK45</f>
        <v>923164</v>
      </c>
      <c r="J45" s="429">
        <f>'FPL FAS109 w Tax Reform'!AM45</f>
        <v>-9087821</v>
      </c>
      <c r="L45" s="424">
        <f>J45+K45</f>
        <v>-9087821</v>
      </c>
    </row>
    <row r="46" spans="1:12" ht="14.1" customHeight="1" x14ac:dyDescent="0.2">
      <c r="A46" s="411" t="s">
        <v>499</v>
      </c>
      <c r="B46" s="411" t="s">
        <v>675</v>
      </c>
      <c r="G46" s="429">
        <f>'FPL FAS109 w Tax Reform'!AJ51</f>
        <v>75019470</v>
      </c>
      <c r="H46" s="429">
        <f>'FPL FAS109 w Tax Reform'!AK51</f>
        <v>8482323</v>
      </c>
      <c r="J46" s="429">
        <f>'FPL FAS109 w Tax Reform'!AM51</f>
        <v>-83501793</v>
      </c>
      <c r="L46" s="424">
        <f>J46+K46</f>
        <v>-83501793</v>
      </c>
    </row>
    <row r="47" spans="1:12" ht="14.1" customHeight="1" x14ac:dyDescent="0.2">
      <c r="A47" s="411" t="s">
        <v>499</v>
      </c>
      <c r="B47" s="423" t="s">
        <v>676</v>
      </c>
      <c r="C47" s="429">
        <f>Y21</f>
        <v>-2564907</v>
      </c>
      <c r="D47" s="429">
        <f>Z21</f>
        <v>-149281</v>
      </c>
      <c r="K47" s="429">
        <f>-W21</f>
        <v>2714188</v>
      </c>
      <c r="L47" s="424">
        <f>J47+K47</f>
        <v>2714188</v>
      </c>
    </row>
    <row r="48" spans="1:12" ht="14.1" customHeight="1" x14ac:dyDescent="0.2">
      <c r="A48" s="433"/>
      <c r="B48" s="433" t="s">
        <v>681</v>
      </c>
      <c r="C48" s="434">
        <f t="shared" ref="C48:H48" si="15">SUM(C44:C47)</f>
        <v>-19265273</v>
      </c>
      <c r="D48" s="434">
        <f t="shared" si="15"/>
        <v>-2037563</v>
      </c>
      <c r="E48" s="434">
        <f t="shared" si="15"/>
        <v>0</v>
      </c>
      <c r="F48" s="434">
        <f t="shared" si="15"/>
        <v>0</v>
      </c>
      <c r="G48" s="434">
        <f t="shared" si="15"/>
        <v>83184127</v>
      </c>
      <c r="H48" s="434">
        <f t="shared" si="15"/>
        <v>9405487</v>
      </c>
      <c r="I48" s="430"/>
      <c r="J48" s="434">
        <f>SUM(J44:J47)</f>
        <v>-92589614</v>
      </c>
      <c r="K48" s="434">
        <f>SUM(K44:K47)</f>
        <v>21302836</v>
      </c>
      <c r="L48" s="434">
        <f>SUM(L44:L47)</f>
        <v>-71286778</v>
      </c>
    </row>
    <row r="50" spans="1:12" ht="14.1" customHeight="1" x14ac:dyDescent="0.2">
      <c r="A50" s="427"/>
      <c r="B50" s="427" t="s">
        <v>683</v>
      </c>
      <c r="C50" s="428">
        <f t="shared" ref="C50:H50" si="16">C42+C48</f>
        <v>-35009023</v>
      </c>
      <c r="D50" s="428">
        <f t="shared" si="16"/>
        <v>-2037563</v>
      </c>
      <c r="E50" s="428">
        <f t="shared" si="16"/>
        <v>78419252</v>
      </c>
      <c r="F50" s="428">
        <f t="shared" si="16"/>
        <v>0</v>
      </c>
      <c r="G50" s="428">
        <f t="shared" si="16"/>
        <v>83184127</v>
      </c>
      <c r="H50" s="428">
        <f t="shared" si="16"/>
        <v>9405487</v>
      </c>
      <c r="J50" s="428">
        <f>J42+J48</f>
        <v>-171008865</v>
      </c>
      <c r="K50" s="428">
        <f>K42+K48</f>
        <v>37046586</v>
      </c>
      <c r="L50" s="428">
        <f>L42+L48</f>
        <v>-133962279</v>
      </c>
    </row>
    <row r="53" spans="1:12" ht="14.1" customHeight="1" x14ac:dyDescent="0.2">
      <c r="A53" s="427"/>
      <c r="B53" s="427" t="s">
        <v>682</v>
      </c>
      <c r="C53" s="428">
        <f t="shared" ref="C53:H53" si="17">C37+C42+C48</f>
        <v>595725673.80589998</v>
      </c>
      <c r="D53" s="428">
        <f t="shared" si="17"/>
        <v>264705244</v>
      </c>
      <c r="E53" s="428">
        <f t="shared" si="17"/>
        <v>2923881736.0556998</v>
      </c>
      <c r="F53" s="428">
        <f t="shared" si="17"/>
        <v>0</v>
      </c>
      <c r="G53" s="428">
        <f t="shared" si="17"/>
        <v>697435764</v>
      </c>
      <c r="H53" s="428">
        <f t="shared" si="17"/>
        <v>-19268871</v>
      </c>
      <c r="J53" s="428">
        <f>J37+J42+J48</f>
        <v>350343080.81910002</v>
      </c>
      <c r="K53" s="428">
        <f>K37+K42+K48</f>
        <v>-4812822626.6807003</v>
      </c>
      <c r="L53" s="428">
        <f>L37+L42+L48</f>
        <v>-4462479545.8615999</v>
      </c>
    </row>
    <row r="55" spans="1:12" ht="14.1" customHeight="1" x14ac:dyDescent="0.2">
      <c r="L55" s="429"/>
    </row>
  </sheetData>
  <pageMargins left="0.5" right="0.2" top="0.25" bottom="0.25" header="0.3" footer="0"/>
  <pageSetup scale="75" orientation="landscape" r:id="rId1"/>
  <headerFooter>
    <oddFooter>&amp;L&amp;"-,Regular"&amp;Z&amp;F&amp;R&amp;"-,Regular"&amp;A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72"/>
  <sheetViews>
    <sheetView zoomScaleNormal="100" workbookViewId="0">
      <pane xSplit="7" ySplit="9" topLeftCell="H73" activePane="bottomRight" state="frozen"/>
      <selection pane="topRight" activeCell="J1" sqref="J1"/>
      <selection pane="bottomLeft" activeCell="A9" sqref="A9"/>
      <selection pane="bottomRight" activeCell="E1" sqref="E1:F2"/>
    </sheetView>
  </sheetViews>
  <sheetFormatPr defaultColWidth="9" defaultRowHeight="14.1" customHeight="1" x14ac:dyDescent="0.2"/>
  <cols>
    <col min="1" max="1" width="5.140625" style="67" customWidth="1"/>
    <col min="2" max="2" width="6.140625" style="67" customWidth="1"/>
    <col min="3" max="3" width="20" style="67" customWidth="1"/>
    <col min="4" max="4" width="8.28515625" style="67" customWidth="1"/>
    <col min="5" max="5" width="13.5703125" style="67" customWidth="1"/>
    <col min="6" max="6" width="28.42578125" style="67" customWidth="1"/>
    <col min="7" max="7" width="13.140625" style="67" bestFit="1" customWidth="1"/>
    <col min="8" max="8" width="3.140625" style="2" customWidth="1"/>
    <col min="9" max="9" width="12.140625" style="67" bestFit="1" customWidth="1"/>
    <col min="10" max="10" width="10.42578125" style="67" customWidth="1"/>
    <col min="11" max="12" width="12.140625" style="67" bestFit="1" customWidth="1"/>
    <col min="13" max="13" width="3.140625" style="67" customWidth="1"/>
    <col min="14" max="14" width="12.140625" style="67" bestFit="1" customWidth="1"/>
    <col min="15" max="15" width="10.7109375" style="67" customWidth="1"/>
    <col min="16" max="17" width="12.140625" style="67" bestFit="1" customWidth="1"/>
    <col min="18" max="18" width="3.140625" style="67" customWidth="1"/>
    <col min="19" max="19" width="11.42578125" style="67" customWidth="1"/>
    <col min="20" max="20" width="11.5703125" style="67" bestFit="1" customWidth="1"/>
    <col min="21" max="21" width="10.42578125" style="67" customWidth="1"/>
    <col min="22" max="22" width="12.28515625" style="14" bestFit="1" customWidth="1"/>
    <col min="23" max="16384" width="9" style="67"/>
  </cols>
  <sheetData>
    <row r="1" spans="1:26" s="39" customFormat="1" ht="14.1" customHeight="1" x14ac:dyDescent="0.2">
      <c r="A1" s="372" t="s">
        <v>693</v>
      </c>
      <c r="B1" s="67"/>
      <c r="C1" s="67"/>
      <c r="D1" s="67"/>
      <c r="E1" s="455" t="s">
        <v>713</v>
      </c>
      <c r="F1" s="455"/>
      <c r="G1" s="67"/>
      <c r="H1" s="2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14"/>
    </row>
    <row r="2" spans="1:26" s="39" customFormat="1" ht="14.1" customHeight="1" x14ac:dyDescent="0.2">
      <c r="A2" s="372" t="s">
        <v>692</v>
      </c>
      <c r="B2" s="67"/>
      <c r="C2" s="67"/>
      <c r="D2" s="67"/>
      <c r="E2" s="455" t="s">
        <v>710</v>
      </c>
      <c r="F2" s="455"/>
      <c r="G2" s="67"/>
      <c r="H2" s="2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4"/>
    </row>
    <row r="3" spans="1:26" s="39" customFormat="1" ht="14.1" customHeight="1" x14ac:dyDescent="0.2">
      <c r="A3" s="372" t="s">
        <v>478</v>
      </c>
      <c r="B3" s="67"/>
      <c r="C3" s="67"/>
      <c r="D3" s="67"/>
      <c r="E3" s="14"/>
      <c r="F3" s="53"/>
      <c r="G3" s="67"/>
      <c r="H3" s="2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4"/>
    </row>
    <row r="4" spans="1:26" s="39" customFormat="1" ht="14.1" customHeight="1" x14ac:dyDescent="0.2">
      <c r="A4" s="52" t="s">
        <v>477</v>
      </c>
      <c r="B4" s="67"/>
      <c r="C4" s="67"/>
      <c r="D4" s="67"/>
      <c r="E4" s="14"/>
      <c r="F4" s="53"/>
      <c r="G4" s="67"/>
      <c r="H4" s="2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14"/>
    </row>
    <row r="5" spans="1:26" s="39" customFormat="1" ht="14.1" customHeight="1" x14ac:dyDescent="0.2">
      <c r="A5" s="67"/>
      <c r="B5" s="67"/>
      <c r="C5" s="67"/>
      <c r="D5" s="67"/>
      <c r="E5" s="14"/>
      <c r="F5" s="53"/>
      <c r="G5" s="67"/>
      <c r="H5" s="2"/>
      <c r="I5" s="450" t="s">
        <v>476</v>
      </c>
      <c r="J5" s="450"/>
      <c r="K5" s="450"/>
      <c r="L5" s="450"/>
      <c r="M5" s="67"/>
      <c r="N5" s="450" t="s">
        <v>475</v>
      </c>
      <c r="O5" s="450"/>
      <c r="P5" s="450"/>
      <c r="Q5" s="450"/>
      <c r="R5" s="67"/>
      <c r="S5" s="450" t="s">
        <v>474</v>
      </c>
      <c r="T5" s="450"/>
      <c r="U5" s="450"/>
      <c r="V5" s="451"/>
    </row>
    <row r="6" spans="1:26" s="39" customFormat="1" ht="14.1" customHeight="1" x14ac:dyDescent="0.2">
      <c r="A6" s="52"/>
      <c r="B6" s="67"/>
      <c r="C6" s="67"/>
      <c r="D6" s="67"/>
      <c r="E6" s="51"/>
      <c r="F6" s="14"/>
      <c r="G6" s="67"/>
      <c r="H6" s="2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14"/>
    </row>
    <row r="7" spans="1:26" s="39" customFormat="1" ht="14.1" customHeight="1" x14ac:dyDescent="0.2">
      <c r="A7" s="67"/>
      <c r="B7" s="67"/>
      <c r="C7" s="67"/>
      <c r="D7" s="67"/>
      <c r="E7" s="14"/>
      <c r="F7" s="435" t="s">
        <v>512</v>
      </c>
      <c r="G7" s="67"/>
      <c r="H7" s="2"/>
      <c r="I7" s="65">
        <v>0.35</v>
      </c>
      <c r="J7" s="388">
        <f>K7*-I7</f>
        <v>-1.925E-2</v>
      </c>
      <c r="K7" s="65">
        <v>5.5E-2</v>
      </c>
      <c r="L7" s="388">
        <f>I7+K7+(K7*-I7)</f>
        <v>0.38574999999999998</v>
      </c>
      <c r="M7" s="67"/>
      <c r="N7" s="65">
        <v>0.21</v>
      </c>
      <c r="O7" s="388">
        <f>P7*-N7</f>
        <v>-1.155E-2</v>
      </c>
      <c r="P7" s="65">
        <v>5.5E-2</v>
      </c>
      <c r="Q7" s="388">
        <f>N7+P7+(P7*-N7)</f>
        <v>0.25345000000000001</v>
      </c>
      <c r="R7" s="67"/>
      <c r="S7" s="65">
        <f>N7-I7</f>
        <v>-0.13999999999999999</v>
      </c>
      <c r="T7" s="388">
        <f>O7-J7</f>
        <v>7.7000000000000002E-3</v>
      </c>
      <c r="U7" s="65">
        <f>P7-K7</f>
        <v>0</v>
      </c>
      <c r="V7" s="447">
        <f>Q7-L7</f>
        <v>-0.13229999999999997</v>
      </c>
    </row>
    <row r="8" spans="1:26" s="39" customFormat="1" ht="14.1" customHeight="1" x14ac:dyDescent="0.2">
      <c r="A8" s="67"/>
      <c r="B8" s="67"/>
      <c r="C8" s="67"/>
      <c r="D8" s="67"/>
      <c r="E8" s="14"/>
      <c r="F8" s="14"/>
      <c r="G8" s="67"/>
      <c r="H8" s="2"/>
      <c r="I8" s="67"/>
      <c r="J8" s="64"/>
      <c r="K8" s="65"/>
      <c r="L8" s="67"/>
      <c r="M8" s="67"/>
      <c r="N8" s="67"/>
      <c r="O8" s="64"/>
      <c r="P8" s="65"/>
      <c r="Q8" s="67"/>
      <c r="R8" s="67"/>
      <c r="S8" s="67"/>
      <c r="T8" s="67"/>
      <c r="U8" s="67"/>
      <c r="V8" s="14"/>
    </row>
    <row r="9" spans="1:26" s="39" customFormat="1" ht="36" customHeight="1" x14ac:dyDescent="0.2">
      <c r="A9" s="48" t="s">
        <v>473</v>
      </c>
      <c r="B9" s="48" t="s">
        <v>497</v>
      </c>
      <c r="C9" s="44" t="s">
        <v>472</v>
      </c>
      <c r="D9" s="377" t="s">
        <v>694</v>
      </c>
      <c r="E9" s="45" t="s">
        <v>2</v>
      </c>
      <c r="F9" s="45" t="s">
        <v>188</v>
      </c>
      <c r="G9" s="47" t="s">
        <v>471</v>
      </c>
      <c r="H9" s="46" t="s">
        <v>470</v>
      </c>
      <c r="I9" s="45" t="s">
        <v>467</v>
      </c>
      <c r="J9" s="45" t="s">
        <v>466</v>
      </c>
      <c r="K9" s="45" t="s">
        <v>465</v>
      </c>
      <c r="L9" s="45" t="s">
        <v>187</v>
      </c>
      <c r="M9" s="46" t="s">
        <v>469</v>
      </c>
      <c r="N9" s="45" t="s">
        <v>467</v>
      </c>
      <c r="O9" s="45" t="s">
        <v>466</v>
      </c>
      <c r="P9" s="45" t="s">
        <v>465</v>
      </c>
      <c r="Q9" s="45" t="s">
        <v>187</v>
      </c>
      <c r="R9" s="46" t="s">
        <v>468</v>
      </c>
      <c r="S9" s="45" t="s">
        <v>467</v>
      </c>
      <c r="T9" s="45" t="s">
        <v>466</v>
      </c>
      <c r="U9" s="45" t="s">
        <v>465</v>
      </c>
      <c r="V9" s="45" t="s">
        <v>187</v>
      </c>
    </row>
    <row r="10" spans="1:26" ht="14.1" customHeight="1" x14ac:dyDescent="0.2">
      <c r="A10" s="41">
        <v>1500</v>
      </c>
      <c r="B10" s="375">
        <v>190</v>
      </c>
      <c r="C10" s="445" t="s">
        <v>697</v>
      </c>
      <c r="D10" s="376">
        <v>5</v>
      </c>
      <c r="E10" s="14" t="s">
        <v>11</v>
      </c>
      <c r="F10" s="14" t="s">
        <v>197</v>
      </c>
      <c r="G10" s="370">
        <f>VLOOKUP(E10,'OTP FED Pre-Tax Balances'!$A:$K,6,FALSE)</f>
        <v>49560</v>
      </c>
      <c r="H10" s="2" t="s">
        <v>447</v>
      </c>
      <c r="I10" s="370">
        <f t="shared" ref="I10:I41" si="0">G10*$I$7</f>
        <v>17346</v>
      </c>
      <c r="J10" s="370">
        <f t="shared" ref="J10:J41" si="1">-K10*$I$7</f>
        <v>-954.03</v>
      </c>
      <c r="K10" s="370">
        <f t="shared" ref="K10:K41" si="2">G10*$K$7</f>
        <v>2725.8</v>
      </c>
      <c r="L10" s="370">
        <f t="shared" ref="L10:L41" si="3">SUM(I10:K10)</f>
        <v>19117.77</v>
      </c>
      <c r="N10" s="370">
        <f t="shared" ref="N10:N41" si="4">G10*$N$7</f>
        <v>10407.6</v>
      </c>
      <c r="O10" s="370">
        <f t="shared" ref="O10:O41" si="5">-P10*$N$7</f>
        <v>-572.41800000000001</v>
      </c>
      <c r="P10" s="370">
        <f t="shared" ref="P10:P41" si="6">G10*$P$7</f>
        <v>2725.8</v>
      </c>
      <c r="Q10" s="370">
        <f t="shared" ref="Q10:Q41" si="7">SUM(N10:P10)</f>
        <v>12560.982</v>
      </c>
      <c r="S10" s="370">
        <f t="shared" ref="S10:S41" si="8">N10-I10</f>
        <v>-6938.4</v>
      </c>
      <c r="T10" s="370">
        <f t="shared" ref="T10:T41" si="9">O10-J10</f>
        <v>381.61199999999997</v>
      </c>
      <c r="U10" s="370">
        <f t="shared" ref="U10:U41" si="10">P10-K10</f>
        <v>0</v>
      </c>
      <c r="V10" s="370">
        <f t="shared" ref="V10:V41" si="11">SUM(S10:U10)</f>
        <v>-6556.7879999999996</v>
      </c>
      <c r="W10" s="39"/>
      <c r="X10" s="39"/>
      <c r="Y10" s="39"/>
      <c r="Z10" s="39"/>
    </row>
    <row r="11" spans="1:26" s="39" customFormat="1" ht="14.1" customHeight="1" x14ac:dyDescent="0.2">
      <c r="A11" s="41">
        <v>1500</v>
      </c>
      <c r="B11" s="375">
        <v>190</v>
      </c>
      <c r="C11" s="445" t="s">
        <v>697</v>
      </c>
      <c r="D11" s="376">
        <v>5</v>
      </c>
      <c r="E11" s="14" t="s">
        <v>13</v>
      </c>
      <c r="F11" s="14" t="s">
        <v>199</v>
      </c>
      <c r="G11" s="370">
        <f>VLOOKUP(E11,'OTP FED Pre-Tax Balances'!$A:$K,6,FALSE)</f>
        <v>33013660</v>
      </c>
      <c r="H11" s="2"/>
      <c r="I11" s="370">
        <f t="shared" si="0"/>
        <v>11554781</v>
      </c>
      <c r="J11" s="370">
        <f t="shared" si="1"/>
        <v>-635512.95499999996</v>
      </c>
      <c r="K11" s="370">
        <f t="shared" si="2"/>
        <v>1815751.3</v>
      </c>
      <c r="L11" s="370">
        <f t="shared" si="3"/>
        <v>12735019.345000001</v>
      </c>
      <c r="M11" s="67"/>
      <c r="N11" s="370">
        <f t="shared" si="4"/>
        <v>6932868.5999999996</v>
      </c>
      <c r="O11" s="370">
        <f t="shared" si="5"/>
        <v>-381307.77299999999</v>
      </c>
      <c r="P11" s="370">
        <f t="shared" si="6"/>
        <v>1815751.3</v>
      </c>
      <c r="Q11" s="370">
        <f t="shared" si="7"/>
        <v>8367312.1269999994</v>
      </c>
      <c r="R11" s="67"/>
      <c r="S11" s="370">
        <f t="shared" si="8"/>
        <v>-4621912.4000000004</v>
      </c>
      <c r="T11" s="370">
        <f t="shared" si="9"/>
        <v>254205.18199999997</v>
      </c>
      <c r="U11" s="370">
        <f t="shared" si="10"/>
        <v>0</v>
      </c>
      <c r="V11" s="370">
        <f t="shared" si="11"/>
        <v>-4367707.2180000003</v>
      </c>
    </row>
    <row r="12" spans="1:26" s="39" customFormat="1" ht="14.1" customHeight="1" x14ac:dyDescent="0.2">
      <c r="A12" s="41">
        <v>1500</v>
      </c>
      <c r="B12" s="375">
        <v>190</v>
      </c>
      <c r="C12" s="445" t="s">
        <v>698</v>
      </c>
      <c r="D12" s="376">
        <v>15</v>
      </c>
      <c r="E12" s="14" t="s">
        <v>21</v>
      </c>
      <c r="F12" s="14" t="s">
        <v>207</v>
      </c>
      <c r="G12" s="370">
        <f>VLOOKUP(E12,'OTP FED Pre-Tax Balances'!$A:$K,6,FALSE)</f>
        <v>46801764</v>
      </c>
      <c r="H12" s="2"/>
      <c r="I12" s="370">
        <f t="shared" si="0"/>
        <v>16380617.399999999</v>
      </c>
      <c r="J12" s="370">
        <f t="shared" si="1"/>
        <v>-900933.95699999994</v>
      </c>
      <c r="K12" s="370">
        <f t="shared" si="2"/>
        <v>2574097.02</v>
      </c>
      <c r="L12" s="370">
        <f t="shared" si="3"/>
        <v>18053780.463</v>
      </c>
      <c r="M12" s="67"/>
      <c r="N12" s="370">
        <f t="shared" si="4"/>
        <v>9828370.4399999995</v>
      </c>
      <c r="O12" s="370">
        <f t="shared" si="5"/>
        <v>-540560.37419999996</v>
      </c>
      <c r="P12" s="370">
        <f t="shared" si="6"/>
        <v>2574097.02</v>
      </c>
      <c r="Q12" s="370">
        <f t="shared" si="7"/>
        <v>11861907.0858</v>
      </c>
      <c r="R12" s="67"/>
      <c r="S12" s="370">
        <f t="shared" si="8"/>
        <v>-6552246.959999999</v>
      </c>
      <c r="T12" s="370">
        <f t="shared" si="9"/>
        <v>360373.58279999997</v>
      </c>
      <c r="U12" s="370">
        <f t="shared" si="10"/>
        <v>0</v>
      </c>
      <c r="V12" s="370">
        <f t="shared" si="11"/>
        <v>-6191873.3771999991</v>
      </c>
    </row>
    <row r="13" spans="1:26" s="39" customFormat="1" ht="14.1" customHeight="1" x14ac:dyDescent="0.2">
      <c r="A13" s="63" t="s">
        <v>483</v>
      </c>
      <c r="B13" s="375">
        <v>190</v>
      </c>
      <c r="C13" s="445" t="s">
        <v>699</v>
      </c>
      <c r="D13" s="376">
        <v>1</v>
      </c>
      <c r="E13" s="14" t="s">
        <v>24</v>
      </c>
      <c r="F13" s="14" t="s">
        <v>210</v>
      </c>
      <c r="G13" s="370">
        <f>VLOOKUP(E13,'OTP FED Pre-Tax Balances'!$A:$K,7,FALSE)</f>
        <v>14074913</v>
      </c>
      <c r="H13" s="67"/>
      <c r="I13" s="370">
        <f t="shared" si="0"/>
        <v>4926219.55</v>
      </c>
      <c r="J13" s="370">
        <f t="shared" si="1"/>
        <v>-270942.07524999999</v>
      </c>
      <c r="K13" s="370">
        <f t="shared" si="2"/>
        <v>774120.21499999997</v>
      </c>
      <c r="L13" s="370">
        <f t="shared" si="3"/>
        <v>5429397.6897499999</v>
      </c>
      <c r="M13" s="67"/>
      <c r="N13" s="370">
        <f t="shared" si="4"/>
        <v>2955731.73</v>
      </c>
      <c r="O13" s="370">
        <f t="shared" si="5"/>
        <v>-162565.24514999997</v>
      </c>
      <c r="P13" s="370">
        <f t="shared" si="6"/>
        <v>774120.21499999997</v>
      </c>
      <c r="Q13" s="370">
        <f t="shared" si="7"/>
        <v>3567286.69985</v>
      </c>
      <c r="R13" s="67"/>
      <c r="S13" s="370">
        <f t="shared" si="8"/>
        <v>-1970487.8199999998</v>
      </c>
      <c r="T13" s="370">
        <f t="shared" si="9"/>
        <v>108376.83010000002</v>
      </c>
      <c r="U13" s="370">
        <f t="shared" si="10"/>
        <v>0</v>
      </c>
      <c r="V13" s="370">
        <f t="shared" si="11"/>
        <v>-1862110.9898999999</v>
      </c>
    </row>
    <row r="14" spans="1:26" s="39" customFormat="1" ht="14.1" customHeight="1" x14ac:dyDescent="0.2">
      <c r="A14" s="63" t="s">
        <v>483</v>
      </c>
      <c r="B14" s="375">
        <v>190</v>
      </c>
      <c r="C14" s="445" t="s">
        <v>699</v>
      </c>
      <c r="D14" s="376">
        <v>1</v>
      </c>
      <c r="E14" s="14" t="s">
        <v>27</v>
      </c>
      <c r="F14" s="14" t="s">
        <v>213</v>
      </c>
      <c r="G14" s="370">
        <f>VLOOKUP(E14,'OTP FED Pre-Tax Balances'!$A:$K,7,FALSE)</f>
        <v>1893506</v>
      </c>
      <c r="H14" s="67"/>
      <c r="I14" s="370">
        <f t="shared" si="0"/>
        <v>662727.1</v>
      </c>
      <c r="J14" s="370">
        <f t="shared" si="1"/>
        <v>-36449.9905</v>
      </c>
      <c r="K14" s="370">
        <f t="shared" si="2"/>
        <v>104142.83</v>
      </c>
      <c r="L14" s="370">
        <f t="shared" si="3"/>
        <v>730419.93949999998</v>
      </c>
      <c r="M14" s="67"/>
      <c r="N14" s="370">
        <f t="shared" si="4"/>
        <v>397636.26</v>
      </c>
      <c r="O14" s="370">
        <f t="shared" si="5"/>
        <v>-21869.994299999998</v>
      </c>
      <c r="P14" s="370">
        <f t="shared" si="6"/>
        <v>104142.83</v>
      </c>
      <c r="Q14" s="370">
        <f t="shared" si="7"/>
        <v>479909.09570000001</v>
      </c>
      <c r="R14" s="67"/>
      <c r="S14" s="370">
        <f t="shared" si="8"/>
        <v>-265090.83999999997</v>
      </c>
      <c r="T14" s="370">
        <f t="shared" si="9"/>
        <v>14579.996200000001</v>
      </c>
      <c r="U14" s="370">
        <f t="shared" si="10"/>
        <v>0</v>
      </c>
      <c r="V14" s="370">
        <f t="shared" si="11"/>
        <v>-250510.84379999997</v>
      </c>
    </row>
    <row r="15" spans="1:26" s="39" customFormat="1" ht="14.1" customHeight="1" x14ac:dyDescent="0.2">
      <c r="A15" s="41">
        <v>1500</v>
      </c>
      <c r="B15" s="375">
        <v>190</v>
      </c>
      <c r="C15" s="445" t="s">
        <v>700</v>
      </c>
      <c r="D15" s="376">
        <v>1</v>
      </c>
      <c r="E15" s="14" t="s">
        <v>33</v>
      </c>
      <c r="F15" s="14" t="s">
        <v>219</v>
      </c>
      <c r="G15" s="370">
        <f>VLOOKUP(E15,'OTP FED Pre-Tax Balances'!$A:$K,6,FALSE)</f>
        <v>2533098</v>
      </c>
      <c r="H15" s="2"/>
      <c r="I15" s="370">
        <f t="shared" si="0"/>
        <v>886584.29999999993</v>
      </c>
      <c r="J15" s="370">
        <f t="shared" si="1"/>
        <v>-48762.136500000001</v>
      </c>
      <c r="K15" s="370">
        <f t="shared" si="2"/>
        <v>139320.39000000001</v>
      </c>
      <c r="L15" s="370">
        <f t="shared" si="3"/>
        <v>977142.55349999992</v>
      </c>
      <c r="M15" s="67"/>
      <c r="N15" s="370">
        <f t="shared" si="4"/>
        <v>531950.57999999996</v>
      </c>
      <c r="O15" s="370">
        <f t="shared" si="5"/>
        <v>-29257.281900000002</v>
      </c>
      <c r="P15" s="370">
        <f t="shared" si="6"/>
        <v>139320.39000000001</v>
      </c>
      <c r="Q15" s="370">
        <f t="shared" si="7"/>
        <v>642013.68809999991</v>
      </c>
      <c r="R15" s="67"/>
      <c r="S15" s="370">
        <f t="shared" si="8"/>
        <v>-354633.72</v>
      </c>
      <c r="T15" s="370">
        <f t="shared" si="9"/>
        <v>19504.854599999999</v>
      </c>
      <c r="U15" s="370">
        <f t="shared" si="10"/>
        <v>0</v>
      </c>
      <c r="V15" s="370">
        <f t="shared" si="11"/>
        <v>-335128.86539999995</v>
      </c>
    </row>
    <row r="16" spans="1:26" ht="14.1" customHeight="1" x14ac:dyDescent="0.2">
      <c r="A16" s="41">
        <v>1500</v>
      </c>
      <c r="B16" s="375">
        <v>190</v>
      </c>
      <c r="C16" s="445" t="s">
        <v>697</v>
      </c>
      <c r="D16" s="376">
        <v>5</v>
      </c>
      <c r="E16" s="14" t="s">
        <v>41</v>
      </c>
      <c r="F16" s="14" t="s">
        <v>227</v>
      </c>
      <c r="G16" s="370">
        <f>VLOOKUP(E16,'OTP FED Pre-Tax Balances'!$A:$K,6,FALSE)</f>
        <v>1620377</v>
      </c>
      <c r="I16" s="370">
        <f t="shared" si="0"/>
        <v>567131.94999999995</v>
      </c>
      <c r="J16" s="370">
        <f t="shared" si="1"/>
        <v>-31192.257249999999</v>
      </c>
      <c r="K16" s="370">
        <f t="shared" si="2"/>
        <v>89120.735000000001</v>
      </c>
      <c r="L16" s="370">
        <f t="shared" si="3"/>
        <v>625060.42774999992</v>
      </c>
      <c r="N16" s="370">
        <f t="shared" si="4"/>
        <v>340279.17</v>
      </c>
      <c r="O16" s="370">
        <f t="shared" si="5"/>
        <v>-18715.354349999998</v>
      </c>
      <c r="P16" s="370">
        <f t="shared" si="6"/>
        <v>89120.735000000001</v>
      </c>
      <c r="Q16" s="370">
        <f t="shared" si="7"/>
        <v>410684.55064999999</v>
      </c>
      <c r="S16" s="370">
        <f t="shared" si="8"/>
        <v>-226852.77999999997</v>
      </c>
      <c r="T16" s="370">
        <f t="shared" si="9"/>
        <v>12476.902900000001</v>
      </c>
      <c r="U16" s="370">
        <f t="shared" si="10"/>
        <v>0</v>
      </c>
      <c r="V16" s="370">
        <f t="shared" si="11"/>
        <v>-214375.87709999998</v>
      </c>
      <c r="W16" s="39"/>
      <c r="X16" s="39"/>
      <c r="Y16" s="39"/>
      <c r="Z16" s="39"/>
    </row>
    <row r="17" spans="1:26" s="39" customFormat="1" ht="14.1" customHeight="1" x14ac:dyDescent="0.2">
      <c r="A17" s="41">
        <v>1500</v>
      </c>
      <c r="B17" s="375">
        <v>190</v>
      </c>
      <c r="C17" s="445" t="s">
        <v>701</v>
      </c>
      <c r="D17" s="376">
        <v>30</v>
      </c>
      <c r="E17" s="14" t="s">
        <v>42</v>
      </c>
      <c r="F17" s="14" t="s">
        <v>228</v>
      </c>
      <c r="G17" s="370">
        <f>VLOOKUP(E17,'OTP FED Pre-Tax Balances'!$A:$K,6,FALSE)</f>
        <v>356332180</v>
      </c>
      <c r="H17" s="2"/>
      <c r="I17" s="370">
        <f t="shared" si="0"/>
        <v>124716262.99999999</v>
      </c>
      <c r="J17" s="370">
        <f t="shared" si="1"/>
        <v>-6859394.4649999989</v>
      </c>
      <c r="K17" s="370">
        <f t="shared" si="2"/>
        <v>19598269.899999999</v>
      </c>
      <c r="L17" s="370">
        <f t="shared" si="3"/>
        <v>137455138.43499997</v>
      </c>
      <c r="M17" s="67"/>
      <c r="N17" s="370">
        <f t="shared" si="4"/>
        <v>74829757.799999997</v>
      </c>
      <c r="O17" s="370">
        <f t="shared" si="5"/>
        <v>-4115636.6789999995</v>
      </c>
      <c r="P17" s="370">
        <f t="shared" si="6"/>
        <v>19598269.899999999</v>
      </c>
      <c r="Q17" s="370">
        <f t="shared" si="7"/>
        <v>90312391.020999998</v>
      </c>
      <c r="R17" s="67"/>
      <c r="S17" s="370">
        <f t="shared" si="8"/>
        <v>-49886505.199999988</v>
      </c>
      <c r="T17" s="370">
        <f t="shared" si="9"/>
        <v>2743757.7859999994</v>
      </c>
      <c r="U17" s="370">
        <f t="shared" si="10"/>
        <v>0</v>
      </c>
      <c r="V17" s="370">
        <f t="shared" si="11"/>
        <v>-47142747.41399999</v>
      </c>
    </row>
    <row r="18" spans="1:26" s="39" customFormat="1" ht="14.1" customHeight="1" x14ac:dyDescent="0.2">
      <c r="A18" s="41">
        <v>1500</v>
      </c>
      <c r="B18" s="375">
        <v>190</v>
      </c>
      <c r="C18" s="445" t="s">
        <v>701</v>
      </c>
      <c r="D18" s="376">
        <v>30</v>
      </c>
      <c r="E18" s="14" t="s">
        <v>43</v>
      </c>
      <c r="F18" s="14" t="s">
        <v>229</v>
      </c>
      <c r="G18" s="370">
        <f>VLOOKUP(E18,'OTP FED Pre-Tax Balances'!$A:$K,6,FALSE)</f>
        <v>711184357</v>
      </c>
      <c r="H18" s="2" t="s">
        <v>447</v>
      </c>
      <c r="I18" s="370">
        <f t="shared" si="0"/>
        <v>248914524.94999999</v>
      </c>
      <c r="J18" s="370">
        <f t="shared" si="1"/>
        <v>-13690298.872249998</v>
      </c>
      <c r="K18" s="370">
        <f t="shared" si="2"/>
        <v>39115139.634999998</v>
      </c>
      <c r="L18" s="370">
        <f t="shared" si="3"/>
        <v>274339365.71275002</v>
      </c>
      <c r="M18" s="67"/>
      <c r="N18" s="370">
        <f t="shared" si="4"/>
        <v>149348714.97</v>
      </c>
      <c r="O18" s="370">
        <f t="shared" si="5"/>
        <v>-8214179.3233499993</v>
      </c>
      <c r="P18" s="370">
        <f t="shared" si="6"/>
        <v>39115139.634999998</v>
      </c>
      <c r="Q18" s="370">
        <f t="shared" si="7"/>
        <v>180249675.28164998</v>
      </c>
      <c r="R18" s="67"/>
      <c r="S18" s="370">
        <f t="shared" si="8"/>
        <v>-99565809.979999989</v>
      </c>
      <c r="T18" s="370">
        <f t="shared" si="9"/>
        <v>5476119.5488999989</v>
      </c>
      <c r="U18" s="370">
        <f t="shared" si="10"/>
        <v>0</v>
      </c>
      <c r="V18" s="370">
        <f t="shared" si="11"/>
        <v>-94089690.431099996</v>
      </c>
    </row>
    <row r="19" spans="1:26" s="39" customFormat="1" ht="14.1" customHeight="1" x14ac:dyDescent="0.2">
      <c r="A19" s="41">
        <v>1500</v>
      </c>
      <c r="B19" s="375">
        <v>190</v>
      </c>
      <c r="C19" s="445" t="s">
        <v>700</v>
      </c>
      <c r="D19" s="376">
        <v>1</v>
      </c>
      <c r="E19" s="14" t="s">
        <v>76</v>
      </c>
      <c r="F19" s="14" t="s">
        <v>262</v>
      </c>
      <c r="G19" s="370">
        <f>VLOOKUP(E19,'OTP FED Pre-Tax Balances'!$A:$K,6,FALSE)</f>
        <v>2700883</v>
      </c>
      <c r="H19" s="2"/>
      <c r="I19" s="370">
        <f t="shared" si="0"/>
        <v>945309.04999999993</v>
      </c>
      <c r="J19" s="370">
        <f t="shared" si="1"/>
        <v>-51991.997749999995</v>
      </c>
      <c r="K19" s="370">
        <f t="shared" si="2"/>
        <v>148548.565</v>
      </c>
      <c r="L19" s="370">
        <f t="shared" si="3"/>
        <v>1041865.6172499999</v>
      </c>
      <c r="M19" s="67"/>
      <c r="N19" s="370">
        <f t="shared" si="4"/>
        <v>567185.42999999993</v>
      </c>
      <c r="O19" s="370">
        <f t="shared" si="5"/>
        <v>-31195.198649999998</v>
      </c>
      <c r="P19" s="370">
        <f t="shared" si="6"/>
        <v>148548.565</v>
      </c>
      <c r="Q19" s="370">
        <f t="shared" si="7"/>
        <v>684538.79634999996</v>
      </c>
      <c r="R19" s="67"/>
      <c r="S19" s="370">
        <f t="shared" si="8"/>
        <v>-378123.62</v>
      </c>
      <c r="T19" s="370">
        <f t="shared" si="9"/>
        <v>20796.799099999997</v>
      </c>
      <c r="U19" s="370">
        <f t="shared" si="10"/>
        <v>0</v>
      </c>
      <c r="V19" s="370">
        <f t="shared" si="11"/>
        <v>-357326.82089999999</v>
      </c>
    </row>
    <row r="20" spans="1:26" s="39" customFormat="1" ht="14.1" customHeight="1" x14ac:dyDescent="0.2">
      <c r="A20" s="41">
        <v>1500</v>
      </c>
      <c r="B20" s="375">
        <v>190</v>
      </c>
      <c r="C20" s="445" t="s">
        <v>700</v>
      </c>
      <c r="D20" s="376">
        <v>1</v>
      </c>
      <c r="E20" s="14" t="s">
        <v>77</v>
      </c>
      <c r="F20" s="14" t="s">
        <v>263</v>
      </c>
      <c r="G20" s="370">
        <f>VLOOKUP(E20,'OTP FED Pre-Tax Balances'!$A:$K,6,FALSE)</f>
        <v>112726470</v>
      </c>
      <c r="H20" s="2"/>
      <c r="I20" s="370">
        <f t="shared" si="0"/>
        <v>39454264.5</v>
      </c>
      <c r="J20" s="370">
        <f t="shared" si="1"/>
        <v>-2169984.5474999999</v>
      </c>
      <c r="K20" s="370">
        <f t="shared" si="2"/>
        <v>6199955.8499999996</v>
      </c>
      <c r="L20" s="370">
        <f t="shared" si="3"/>
        <v>43484235.802500002</v>
      </c>
      <c r="M20" s="67"/>
      <c r="N20" s="370">
        <f t="shared" si="4"/>
        <v>23672558.699999999</v>
      </c>
      <c r="O20" s="370">
        <f t="shared" si="5"/>
        <v>-1301990.7285</v>
      </c>
      <c r="P20" s="370">
        <f t="shared" si="6"/>
        <v>6199955.8499999996</v>
      </c>
      <c r="Q20" s="370">
        <f t="shared" si="7"/>
        <v>28570523.821499996</v>
      </c>
      <c r="R20" s="67"/>
      <c r="S20" s="370">
        <f t="shared" si="8"/>
        <v>-15781705.800000001</v>
      </c>
      <c r="T20" s="370">
        <f t="shared" si="9"/>
        <v>867993.8189999999</v>
      </c>
      <c r="U20" s="370">
        <f t="shared" si="10"/>
        <v>0</v>
      </c>
      <c r="V20" s="370">
        <f t="shared" si="11"/>
        <v>-14913711.981000001</v>
      </c>
    </row>
    <row r="21" spans="1:26" s="39" customFormat="1" ht="14.1" customHeight="1" x14ac:dyDescent="0.2">
      <c r="A21" s="41">
        <v>1500</v>
      </c>
      <c r="B21" s="375">
        <v>190</v>
      </c>
      <c r="C21" s="445" t="s">
        <v>700</v>
      </c>
      <c r="D21" s="376">
        <v>1</v>
      </c>
      <c r="E21" s="14" t="s">
        <v>78</v>
      </c>
      <c r="F21" s="14" t="s">
        <v>264</v>
      </c>
      <c r="G21" s="370">
        <f>VLOOKUP(E21,'OTP FED Pre-Tax Balances'!$A:$K,6,FALSE)</f>
        <v>9163181</v>
      </c>
      <c r="H21" s="2"/>
      <c r="I21" s="370">
        <f t="shared" si="0"/>
        <v>3207113.3499999996</v>
      </c>
      <c r="J21" s="370">
        <f t="shared" si="1"/>
        <v>-176391.23425000001</v>
      </c>
      <c r="K21" s="370">
        <f t="shared" si="2"/>
        <v>503974.95500000002</v>
      </c>
      <c r="L21" s="370">
        <f t="shared" si="3"/>
        <v>3534697.0707499995</v>
      </c>
      <c r="M21" s="67"/>
      <c r="N21" s="370">
        <f t="shared" si="4"/>
        <v>1924268.01</v>
      </c>
      <c r="O21" s="370">
        <f t="shared" si="5"/>
        <v>-105834.74055</v>
      </c>
      <c r="P21" s="370">
        <f t="shared" si="6"/>
        <v>503974.95500000002</v>
      </c>
      <c r="Q21" s="370">
        <f t="shared" si="7"/>
        <v>2322408.2244500001</v>
      </c>
      <c r="R21" s="67"/>
      <c r="S21" s="370">
        <f t="shared" si="8"/>
        <v>-1282845.3399999996</v>
      </c>
      <c r="T21" s="370">
        <f t="shared" si="9"/>
        <v>70556.493700000006</v>
      </c>
      <c r="U21" s="370">
        <f t="shared" si="10"/>
        <v>0</v>
      </c>
      <c r="V21" s="370">
        <f t="shared" si="11"/>
        <v>-1212288.8462999996</v>
      </c>
      <c r="W21" s="67"/>
      <c r="X21" s="67"/>
      <c r="Y21" s="67"/>
      <c r="Z21" s="67"/>
    </row>
    <row r="22" spans="1:26" s="39" customFormat="1" ht="14.1" customHeight="1" x14ac:dyDescent="0.2">
      <c r="A22" s="41">
        <v>1500</v>
      </c>
      <c r="B22" s="375">
        <v>190</v>
      </c>
      <c r="C22" s="445" t="s">
        <v>702</v>
      </c>
      <c r="D22" s="376">
        <v>10</v>
      </c>
      <c r="E22" s="14" t="s">
        <v>79</v>
      </c>
      <c r="F22" s="14" t="s">
        <v>265</v>
      </c>
      <c r="G22" s="370">
        <f>VLOOKUP(E22,'OTP FED Pre-Tax Balances'!$A:$K,6,FALSE)</f>
        <v>19068000</v>
      </c>
      <c r="H22" s="2"/>
      <c r="I22" s="370">
        <f t="shared" si="0"/>
        <v>6673800</v>
      </c>
      <c r="J22" s="370">
        <f t="shared" si="1"/>
        <v>-367059</v>
      </c>
      <c r="K22" s="370">
        <f t="shared" si="2"/>
        <v>1048740</v>
      </c>
      <c r="L22" s="370">
        <f t="shared" si="3"/>
        <v>7355481</v>
      </c>
      <c r="M22" s="67"/>
      <c r="N22" s="370">
        <f t="shared" si="4"/>
        <v>4004280</v>
      </c>
      <c r="O22" s="370">
        <f t="shared" si="5"/>
        <v>-220235.4</v>
      </c>
      <c r="P22" s="370">
        <f t="shared" si="6"/>
        <v>1048740</v>
      </c>
      <c r="Q22" s="370">
        <f t="shared" si="7"/>
        <v>4832784.5999999996</v>
      </c>
      <c r="R22" s="67"/>
      <c r="S22" s="370">
        <f t="shared" si="8"/>
        <v>-2669520</v>
      </c>
      <c r="T22" s="370">
        <f t="shared" si="9"/>
        <v>146823.6</v>
      </c>
      <c r="U22" s="370">
        <f t="shared" si="10"/>
        <v>0</v>
      </c>
      <c r="V22" s="370">
        <f t="shared" si="11"/>
        <v>-2522696.4</v>
      </c>
      <c r="W22" s="67"/>
      <c r="X22" s="67"/>
      <c r="Y22" s="67"/>
      <c r="Z22" s="67"/>
    </row>
    <row r="23" spans="1:26" s="39" customFormat="1" ht="14.1" customHeight="1" x14ac:dyDescent="0.2">
      <c r="A23" s="41">
        <v>1500</v>
      </c>
      <c r="B23" s="375">
        <v>190</v>
      </c>
      <c r="C23" s="445" t="s">
        <v>700</v>
      </c>
      <c r="D23" s="376">
        <v>1</v>
      </c>
      <c r="E23" s="14" t="s">
        <v>81</v>
      </c>
      <c r="F23" s="14" t="s">
        <v>267</v>
      </c>
      <c r="G23" s="370">
        <f>VLOOKUP(E23,'OTP FED Pre-Tax Balances'!$A:$K,6,FALSE)</f>
        <v>15845690</v>
      </c>
      <c r="H23" s="2"/>
      <c r="I23" s="370">
        <f t="shared" si="0"/>
        <v>5545991.5</v>
      </c>
      <c r="J23" s="370">
        <f t="shared" si="1"/>
        <v>-305029.53249999997</v>
      </c>
      <c r="K23" s="370">
        <f t="shared" si="2"/>
        <v>871512.95</v>
      </c>
      <c r="L23" s="370">
        <f t="shared" si="3"/>
        <v>6112474.9175000004</v>
      </c>
      <c r="M23" s="67"/>
      <c r="N23" s="370">
        <f t="shared" si="4"/>
        <v>3327594.9</v>
      </c>
      <c r="O23" s="370">
        <f t="shared" si="5"/>
        <v>-183017.71949999998</v>
      </c>
      <c r="P23" s="370">
        <f t="shared" si="6"/>
        <v>871512.95</v>
      </c>
      <c r="Q23" s="370">
        <f t="shared" si="7"/>
        <v>4016090.1305</v>
      </c>
      <c r="R23" s="67"/>
      <c r="S23" s="370">
        <f t="shared" si="8"/>
        <v>-2218396.6</v>
      </c>
      <c r="T23" s="370">
        <f t="shared" si="9"/>
        <v>122011.81299999999</v>
      </c>
      <c r="U23" s="370">
        <f t="shared" si="10"/>
        <v>0</v>
      </c>
      <c r="V23" s="370">
        <f t="shared" si="11"/>
        <v>-2096384.787</v>
      </c>
      <c r="W23" s="67"/>
      <c r="X23" s="67"/>
      <c r="Y23" s="67"/>
      <c r="Z23" s="67"/>
    </row>
    <row r="24" spans="1:26" s="39" customFormat="1" ht="14.1" customHeight="1" x14ac:dyDescent="0.2">
      <c r="A24" s="41">
        <v>1500</v>
      </c>
      <c r="B24" s="375">
        <v>190</v>
      </c>
      <c r="C24" s="445" t="s">
        <v>702</v>
      </c>
      <c r="D24" s="376">
        <v>10</v>
      </c>
      <c r="E24" s="14" t="s">
        <v>82</v>
      </c>
      <c r="F24" s="14" t="s">
        <v>268</v>
      </c>
      <c r="G24" s="370">
        <f>VLOOKUP(E24,'OTP FED Pre-Tax Balances'!$A:$K,6,FALSE)</f>
        <v>188314186</v>
      </c>
      <c r="H24" s="2"/>
      <c r="I24" s="370">
        <f t="shared" si="0"/>
        <v>65909965.099999994</v>
      </c>
      <c r="J24" s="370">
        <f t="shared" si="1"/>
        <v>-3625048.0805000002</v>
      </c>
      <c r="K24" s="370">
        <f t="shared" si="2"/>
        <v>10357280.23</v>
      </c>
      <c r="L24" s="370">
        <f t="shared" si="3"/>
        <v>72642197.249499992</v>
      </c>
      <c r="M24" s="67"/>
      <c r="N24" s="370">
        <f t="shared" si="4"/>
        <v>39545979.059999995</v>
      </c>
      <c r="O24" s="370">
        <f t="shared" si="5"/>
        <v>-2175028.8483000002</v>
      </c>
      <c r="P24" s="370">
        <f t="shared" si="6"/>
        <v>10357280.23</v>
      </c>
      <c r="Q24" s="370">
        <f t="shared" si="7"/>
        <v>47728230.441699997</v>
      </c>
      <c r="R24" s="67"/>
      <c r="S24" s="370">
        <f t="shared" si="8"/>
        <v>-26363986.039999999</v>
      </c>
      <c r="T24" s="370">
        <f t="shared" si="9"/>
        <v>1450019.2322</v>
      </c>
      <c r="U24" s="370">
        <f t="shared" si="10"/>
        <v>0</v>
      </c>
      <c r="V24" s="370">
        <f t="shared" si="11"/>
        <v>-24913966.807799999</v>
      </c>
      <c r="W24" s="67"/>
      <c r="X24" s="67"/>
      <c r="Y24" s="67"/>
      <c r="Z24" s="67"/>
    </row>
    <row r="25" spans="1:26" s="39" customFormat="1" ht="14.1" customHeight="1" x14ac:dyDescent="0.2">
      <c r="A25" s="41">
        <v>1500</v>
      </c>
      <c r="B25" s="375">
        <v>190</v>
      </c>
      <c r="C25" s="445" t="s">
        <v>702</v>
      </c>
      <c r="D25" s="376">
        <v>10</v>
      </c>
      <c r="E25" s="14" t="s">
        <v>83</v>
      </c>
      <c r="F25" s="14" t="s">
        <v>269</v>
      </c>
      <c r="G25" s="370">
        <f>VLOOKUP(E25,'OTP FED Pre-Tax Balances'!$A:$K,6,FALSE)</f>
        <v>-4656347</v>
      </c>
      <c r="H25" s="2"/>
      <c r="I25" s="370">
        <f t="shared" si="0"/>
        <v>-1629721.45</v>
      </c>
      <c r="J25" s="370">
        <f t="shared" si="1"/>
        <v>89634.679749999996</v>
      </c>
      <c r="K25" s="370">
        <f t="shared" si="2"/>
        <v>-256099.08499999999</v>
      </c>
      <c r="L25" s="370">
        <f t="shared" si="3"/>
        <v>-1796185.85525</v>
      </c>
      <c r="M25" s="67"/>
      <c r="N25" s="370">
        <f t="shared" si="4"/>
        <v>-977832.87</v>
      </c>
      <c r="O25" s="370">
        <f t="shared" si="5"/>
        <v>53780.807849999997</v>
      </c>
      <c r="P25" s="370">
        <f t="shared" si="6"/>
        <v>-256099.08499999999</v>
      </c>
      <c r="Q25" s="370">
        <f t="shared" si="7"/>
        <v>-1180151.1471500001</v>
      </c>
      <c r="R25" s="67"/>
      <c r="S25" s="370">
        <f t="shared" si="8"/>
        <v>651888.57999999996</v>
      </c>
      <c r="T25" s="370">
        <f t="shared" si="9"/>
        <v>-35853.871899999998</v>
      </c>
      <c r="U25" s="370">
        <f t="shared" si="10"/>
        <v>0</v>
      </c>
      <c r="V25" s="370">
        <f t="shared" si="11"/>
        <v>616034.70809999993</v>
      </c>
      <c r="W25" s="67"/>
      <c r="X25" s="67"/>
      <c r="Y25" s="67"/>
      <c r="Z25" s="67"/>
    </row>
    <row r="26" spans="1:26" s="39" customFormat="1" ht="14.1" customHeight="1" x14ac:dyDescent="0.2">
      <c r="A26" s="41">
        <v>1500</v>
      </c>
      <c r="B26" s="375">
        <v>190</v>
      </c>
      <c r="C26" s="445" t="s">
        <v>702</v>
      </c>
      <c r="D26" s="376">
        <v>10</v>
      </c>
      <c r="E26" s="14" t="s">
        <v>84</v>
      </c>
      <c r="F26" s="14" t="s">
        <v>270</v>
      </c>
      <c r="G26" s="370">
        <f>VLOOKUP(E26,'OTP FED Pre-Tax Balances'!$A:$K,6,FALSE)</f>
        <v>3387857</v>
      </c>
      <c r="H26" s="2"/>
      <c r="I26" s="370">
        <f t="shared" si="0"/>
        <v>1185749.95</v>
      </c>
      <c r="J26" s="370">
        <f t="shared" si="1"/>
        <v>-65216.24725</v>
      </c>
      <c r="K26" s="370">
        <f t="shared" si="2"/>
        <v>186332.13500000001</v>
      </c>
      <c r="L26" s="370">
        <f t="shared" si="3"/>
        <v>1306865.8377499999</v>
      </c>
      <c r="M26" s="67"/>
      <c r="N26" s="370">
        <f t="shared" si="4"/>
        <v>711449.97</v>
      </c>
      <c r="O26" s="370">
        <f t="shared" si="5"/>
        <v>-39129.748350000002</v>
      </c>
      <c r="P26" s="370">
        <f t="shared" si="6"/>
        <v>186332.13500000001</v>
      </c>
      <c r="Q26" s="370">
        <f t="shared" si="7"/>
        <v>858652.35664999997</v>
      </c>
      <c r="R26" s="67"/>
      <c r="S26" s="370">
        <f t="shared" si="8"/>
        <v>-474299.98</v>
      </c>
      <c r="T26" s="370">
        <f t="shared" si="9"/>
        <v>26086.498899999999</v>
      </c>
      <c r="U26" s="370">
        <f t="shared" si="10"/>
        <v>0</v>
      </c>
      <c r="V26" s="370">
        <f t="shared" si="11"/>
        <v>-448213.48109999998</v>
      </c>
      <c r="W26" s="67"/>
      <c r="X26" s="67"/>
      <c r="Y26" s="67"/>
      <c r="Z26" s="67"/>
    </row>
    <row r="27" spans="1:26" s="39" customFormat="1" ht="14.1" customHeight="1" x14ac:dyDescent="0.2">
      <c r="A27" s="41">
        <v>1500</v>
      </c>
      <c r="B27" s="375">
        <v>190</v>
      </c>
      <c r="C27" s="445" t="s">
        <v>700</v>
      </c>
      <c r="D27" s="376">
        <v>1</v>
      </c>
      <c r="E27" s="14" t="s">
        <v>85</v>
      </c>
      <c r="F27" s="14" t="s">
        <v>271</v>
      </c>
      <c r="G27" s="370">
        <f>VLOOKUP(E27,'OTP FED Pre-Tax Balances'!$A:$K,6,FALSE)</f>
        <v>360882</v>
      </c>
      <c r="H27" s="2"/>
      <c r="I27" s="370">
        <f t="shared" si="0"/>
        <v>126308.7</v>
      </c>
      <c r="J27" s="370">
        <f t="shared" si="1"/>
        <v>-6946.9784999999993</v>
      </c>
      <c r="K27" s="370">
        <f t="shared" si="2"/>
        <v>19848.509999999998</v>
      </c>
      <c r="L27" s="370">
        <f t="shared" si="3"/>
        <v>139210.23149999999</v>
      </c>
      <c r="M27" s="67"/>
      <c r="N27" s="370">
        <f t="shared" si="4"/>
        <v>75785.22</v>
      </c>
      <c r="O27" s="370">
        <f t="shared" si="5"/>
        <v>-4168.1870999999992</v>
      </c>
      <c r="P27" s="370">
        <f t="shared" si="6"/>
        <v>19848.509999999998</v>
      </c>
      <c r="Q27" s="370">
        <f t="shared" si="7"/>
        <v>91465.5429</v>
      </c>
      <c r="R27" s="67"/>
      <c r="S27" s="370">
        <f t="shared" si="8"/>
        <v>-50523.479999999996</v>
      </c>
      <c r="T27" s="370">
        <f t="shared" si="9"/>
        <v>2778.7914000000001</v>
      </c>
      <c r="U27" s="370">
        <f t="shared" si="10"/>
        <v>0</v>
      </c>
      <c r="V27" s="370">
        <f t="shared" si="11"/>
        <v>-47744.688599999994</v>
      </c>
    </row>
    <row r="28" spans="1:26" s="39" customFormat="1" ht="14.1" customHeight="1" x14ac:dyDescent="0.2">
      <c r="A28" s="41">
        <v>1500</v>
      </c>
      <c r="B28" s="375">
        <v>190</v>
      </c>
      <c r="C28" s="445" t="s">
        <v>702</v>
      </c>
      <c r="D28" s="376">
        <v>10</v>
      </c>
      <c r="E28" s="14" t="s">
        <v>86</v>
      </c>
      <c r="F28" s="14" t="s">
        <v>272</v>
      </c>
      <c r="G28" s="370">
        <f>VLOOKUP(E28,'OTP FED Pre-Tax Balances'!$A:$K,6,FALSE)</f>
        <v>7124177</v>
      </c>
      <c r="H28" s="2"/>
      <c r="I28" s="370">
        <f t="shared" si="0"/>
        <v>2493461.9499999997</v>
      </c>
      <c r="J28" s="370">
        <f t="shared" si="1"/>
        <v>-137140.40724999999</v>
      </c>
      <c r="K28" s="370">
        <f t="shared" si="2"/>
        <v>391829.73499999999</v>
      </c>
      <c r="L28" s="370">
        <f t="shared" si="3"/>
        <v>2748151.2777499994</v>
      </c>
      <c r="M28" s="67"/>
      <c r="N28" s="370">
        <f t="shared" si="4"/>
        <v>1496077.17</v>
      </c>
      <c r="O28" s="370">
        <f t="shared" si="5"/>
        <v>-82284.244349999994</v>
      </c>
      <c r="P28" s="370">
        <f t="shared" si="6"/>
        <v>391829.73499999999</v>
      </c>
      <c r="Q28" s="370">
        <f t="shared" si="7"/>
        <v>1805622.66065</v>
      </c>
      <c r="R28" s="67"/>
      <c r="S28" s="370">
        <f t="shared" si="8"/>
        <v>-997384.7799999998</v>
      </c>
      <c r="T28" s="370">
        <f t="shared" si="9"/>
        <v>54856.162899999996</v>
      </c>
      <c r="U28" s="370">
        <f t="shared" si="10"/>
        <v>0</v>
      </c>
      <c r="V28" s="370">
        <f t="shared" si="11"/>
        <v>-942528.6170999998</v>
      </c>
    </row>
    <row r="29" spans="1:26" s="39" customFormat="1" ht="14.1" customHeight="1" x14ac:dyDescent="0.2">
      <c r="A29" s="41">
        <v>1500</v>
      </c>
      <c r="B29" s="375">
        <v>190</v>
      </c>
      <c r="C29" s="445" t="s">
        <v>697</v>
      </c>
      <c r="D29" s="376">
        <v>5</v>
      </c>
      <c r="E29" s="14" t="s">
        <v>90</v>
      </c>
      <c r="F29" s="14" t="s">
        <v>276</v>
      </c>
      <c r="G29" s="370">
        <f>VLOOKUP(E29,'OTP FED Pre-Tax Balances'!$A:$K,6,FALSE)</f>
        <v>964905</v>
      </c>
      <c r="H29" s="2"/>
      <c r="I29" s="370">
        <f t="shared" si="0"/>
        <v>337716.75</v>
      </c>
      <c r="J29" s="370">
        <f t="shared" si="1"/>
        <v>-18574.421249999999</v>
      </c>
      <c r="K29" s="370">
        <f t="shared" si="2"/>
        <v>53069.775000000001</v>
      </c>
      <c r="L29" s="370">
        <f t="shared" si="3"/>
        <v>372212.10375000001</v>
      </c>
      <c r="M29" s="67"/>
      <c r="N29" s="370">
        <f t="shared" si="4"/>
        <v>202630.05</v>
      </c>
      <c r="O29" s="370">
        <f t="shared" si="5"/>
        <v>-11144.652749999999</v>
      </c>
      <c r="P29" s="370">
        <f t="shared" si="6"/>
        <v>53069.775000000001</v>
      </c>
      <c r="Q29" s="370">
        <f t="shared" si="7"/>
        <v>244555.17224999997</v>
      </c>
      <c r="R29" s="67"/>
      <c r="S29" s="370">
        <f t="shared" si="8"/>
        <v>-135086.70000000001</v>
      </c>
      <c r="T29" s="370">
        <f t="shared" si="9"/>
        <v>7429.7685000000001</v>
      </c>
      <c r="U29" s="370">
        <f t="shared" si="10"/>
        <v>0</v>
      </c>
      <c r="V29" s="370">
        <f t="shared" si="11"/>
        <v>-127656.93150000001</v>
      </c>
    </row>
    <row r="30" spans="1:26" s="39" customFormat="1" ht="14.1" customHeight="1" x14ac:dyDescent="0.2">
      <c r="A30" s="41">
        <v>1500</v>
      </c>
      <c r="B30" s="375">
        <v>190</v>
      </c>
      <c r="C30" s="445" t="s">
        <v>697</v>
      </c>
      <c r="D30" s="376">
        <v>5</v>
      </c>
      <c r="E30" s="14" t="s">
        <v>92</v>
      </c>
      <c r="F30" s="14" t="s">
        <v>278</v>
      </c>
      <c r="G30" s="370">
        <f>VLOOKUP(E30,'OTP FED Pre-Tax Balances'!$A:$K,6,FALSE)</f>
        <v>393572</v>
      </c>
      <c r="H30" s="2"/>
      <c r="I30" s="370">
        <f t="shared" si="0"/>
        <v>137750.19999999998</v>
      </c>
      <c r="J30" s="370">
        <f t="shared" si="1"/>
        <v>-7576.2609999999995</v>
      </c>
      <c r="K30" s="370">
        <f t="shared" si="2"/>
        <v>21646.46</v>
      </c>
      <c r="L30" s="370">
        <f t="shared" si="3"/>
        <v>151820.39899999998</v>
      </c>
      <c r="M30" s="67"/>
      <c r="N30" s="370">
        <f t="shared" si="4"/>
        <v>82650.12</v>
      </c>
      <c r="O30" s="370">
        <f t="shared" si="5"/>
        <v>-4545.7565999999997</v>
      </c>
      <c r="P30" s="370">
        <f t="shared" si="6"/>
        <v>21646.46</v>
      </c>
      <c r="Q30" s="370">
        <f t="shared" si="7"/>
        <v>99750.823399999994</v>
      </c>
      <c r="R30" s="67"/>
      <c r="S30" s="370">
        <f t="shared" si="8"/>
        <v>-55100.079999999987</v>
      </c>
      <c r="T30" s="370">
        <f t="shared" si="9"/>
        <v>3030.5043999999998</v>
      </c>
      <c r="U30" s="370">
        <f t="shared" si="10"/>
        <v>0</v>
      </c>
      <c r="V30" s="370">
        <f t="shared" si="11"/>
        <v>-52069.575599999989</v>
      </c>
    </row>
    <row r="31" spans="1:26" s="39" customFormat="1" ht="14.1" customHeight="1" x14ac:dyDescent="0.2">
      <c r="A31" s="41">
        <v>1500</v>
      </c>
      <c r="B31" s="375">
        <v>190</v>
      </c>
      <c r="C31" s="445" t="s">
        <v>700</v>
      </c>
      <c r="D31" s="376">
        <v>1</v>
      </c>
      <c r="E31" s="14" t="s">
        <v>101</v>
      </c>
      <c r="F31" s="14" t="s">
        <v>287</v>
      </c>
      <c r="G31" s="370">
        <f>VLOOKUP(E31,'OTP FED Pre-Tax Balances'!$A:$K,6,FALSE)</f>
        <v>7731068</v>
      </c>
      <c r="H31" s="2"/>
      <c r="I31" s="370">
        <f t="shared" si="0"/>
        <v>2705873.8</v>
      </c>
      <c r="J31" s="370">
        <f t="shared" si="1"/>
        <v>-148823.05899999998</v>
      </c>
      <c r="K31" s="370">
        <f t="shared" si="2"/>
        <v>425208.74</v>
      </c>
      <c r="L31" s="370">
        <f t="shared" si="3"/>
        <v>2982259.4809999997</v>
      </c>
      <c r="M31" s="67"/>
      <c r="N31" s="370">
        <f t="shared" si="4"/>
        <v>1623524.28</v>
      </c>
      <c r="O31" s="370">
        <f t="shared" si="5"/>
        <v>-89293.835399999996</v>
      </c>
      <c r="P31" s="370">
        <f t="shared" si="6"/>
        <v>425208.74</v>
      </c>
      <c r="Q31" s="370">
        <f t="shared" si="7"/>
        <v>1959439.1846</v>
      </c>
      <c r="R31" s="67"/>
      <c r="S31" s="370">
        <f t="shared" si="8"/>
        <v>-1082349.5199999998</v>
      </c>
      <c r="T31" s="370">
        <f t="shared" si="9"/>
        <v>59529.223599999983</v>
      </c>
      <c r="U31" s="370">
        <f t="shared" si="10"/>
        <v>0</v>
      </c>
      <c r="V31" s="370">
        <f t="shared" si="11"/>
        <v>-1022820.2963999998</v>
      </c>
    </row>
    <row r="32" spans="1:26" s="39" customFormat="1" ht="14.1" customHeight="1" x14ac:dyDescent="0.2">
      <c r="A32" s="41">
        <v>1500</v>
      </c>
      <c r="B32" s="375">
        <v>190</v>
      </c>
      <c r="C32" s="445" t="s">
        <v>697</v>
      </c>
      <c r="D32" s="376">
        <v>5</v>
      </c>
      <c r="E32" s="14" t="s">
        <v>104</v>
      </c>
      <c r="F32" s="14" t="s">
        <v>290</v>
      </c>
      <c r="G32" s="370">
        <f>VLOOKUP(E32,'OTP FED Pre-Tax Balances'!$A:$K,6,FALSE)</f>
        <v>6198290</v>
      </c>
      <c r="H32" s="2"/>
      <c r="I32" s="370">
        <f t="shared" si="0"/>
        <v>2169401.5</v>
      </c>
      <c r="J32" s="370">
        <f t="shared" si="1"/>
        <v>-119317.08249999999</v>
      </c>
      <c r="K32" s="370">
        <f t="shared" si="2"/>
        <v>340905.95</v>
      </c>
      <c r="L32" s="370">
        <f t="shared" si="3"/>
        <v>2390990.3675000002</v>
      </c>
      <c r="M32" s="67"/>
      <c r="N32" s="370">
        <f t="shared" si="4"/>
        <v>1301640.8999999999</v>
      </c>
      <c r="O32" s="370">
        <f t="shared" si="5"/>
        <v>-71590.249500000005</v>
      </c>
      <c r="P32" s="370">
        <f t="shared" si="6"/>
        <v>340905.95</v>
      </c>
      <c r="Q32" s="370">
        <f t="shared" si="7"/>
        <v>1570956.6004999999</v>
      </c>
      <c r="R32" s="67"/>
      <c r="S32" s="370">
        <f t="shared" si="8"/>
        <v>-867760.60000000009</v>
      </c>
      <c r="T32" s="370">
        <f t="shared" si="9"/>
        <v>47726.832999999984</v>
      </c>
      <c r="U32" s="370">
        <f t="shared" si="10"/>
        <v>0</v>
      </c>
      <c r="V32" s="370">
        <f t="shared" si="11"/>
        <v>-820033.76700000011</v>
      </c>
    </row>
    <row r="33" spans="1:26" s="39" customFormat="1" ht="14.1" customHeight="1" x14ac:dyDescent="0.2">
      <c r="A33" s="41">
        <v>1500</v>
      </c>
      <c r="B33" s="375">
        <v>190</v>
      </c>
      <c r="C33" s="445" t="s">
        <v>702</v>
      </c>
      <c r="D33" s="376">
        <v>10</v>
      </c>
      <c r="E33" s="14" t="s">
        <v>105</v>
      </c>
      <c r="F33" s="14" t="s">
        <v>291</v>
      </c>
      <c r="G33" s="370">
        <f>VLOOKUP(E33,'OTP FED Pre-Tax Balances'!$A:$K,6,FALSE)</f>
        <v>386594</v>
      </c>
      <c r="H33" s="2"/>
      <c r="I33" s="370">
        <f t="shared" si="0"/>
        <v>135307.9</v>
      </c>
      <c r="J33" s="370">
        <f t="shared" si="1"/>
        <v>-7441.9345000000003</v>
      </c>
      <c r="K33" s="370">
        <f t="shared" si="2"/>
        <v>21262.670000000002</v>
      </c>
      <c r="L33" s="370">
        <f t="shared" si="3"/>
        <v>149128.6355</v>
      </c>
      <c r="M33" s="67"/>
      <c r="N33" s="370">
        <f t="shared" si="4"/>
        <v>81184.739999999991</v>
      </c>
      <c r="O33" s="370">
        <f t="shared" si="5"/>
        <v>-4465.1607000000004</v>
      </c>
      <c r="P33" s="370">
        <f t="shared" si="6"/>
        <v>21262.670000000002</v>
      </c>
      <c r="Q33" s="370">
        <f t="shared" si="7"/>
        <v>97982.249299999981</v>
      </c>
      <c r="R33" s="67"/>
      <c r="S33" s="370">
        <f t="shared" si="8"/>
        <v>-54123.16</v>
      </c>
      <c r="T33" s="370">
        <f t="shared" si="9"/>
        <v>2976.7737999999999</v>
      </c>
      <c r="U33" s="370">
        <f t="shared" si="10"/>
        <v>0</v>
      </c>
      <c r="V33" s="370">
        <f t="shared" si="11"/>
        <v>-51146.386200000001</v>
      </c>
      <c r="W33" s="67"/>
      <c r="X33" s="67"/>
      <c r="Y33" s="67"/>
      <c r="Z33" s="67"/>
    </row>
    <row r="34" spans="1:26" s="39" customFormat="1" ht="14.1" customHeight="1" x14ac:dyDescent="0.2">
      <c r="A34" s="41">
        <v>1500</v>
      </c>
      <c r="B34" s="375">
        <v>190</v>
      </c>
      <c r="C34" s="445" t="s">
        <v>697</v>
      </c>
      <c r="D34" s="376">
        <v>5</v>
      </c>
      <c r="E34" s="14" t="s">
        <v>109</v>
      </c>
      <c r="F34" s="14" t="s">
        <v>295</v>
      </c>
      <c r="G34" s="370">
        <f>VLOOKUP(E34,'OTP FED Pre-Tax Balances'!$A:$K,6,FALSE)</f>
        <v>17972160</v>
      </c>
      <c r="H34" s="2"/>
      <c r="I34" s="370">
        <f t="shared" si="0"/>
        <v>6290256</v>
      </c>
      <c r="J34" s="370">
        <f t="shared" si="1"/>
        <v>-345964.08</v>
      </c>
      <c r="K34" s="370">
        <f t="shared" si="2"/>
        <v>988468.8</v>
      </c>
      <c r="L34" s="370">
        <f t="shared" si="3"/>
        <v>6932760.7199999997</v>
      </c>
      <c r="M34" s="67"/>
      <c r="N34" s="370">
        <f t="shared" si="4"/>
        <v>3774153.5999999996</v>
      </c>
      <c r="O34" s="370">
        <f t="shared" si="5"/>
        <v>-207578.448</v>
      </c>
      <c r="P34" s="370">
        <f t="shared" si="6"/>
        <v>988468.8</v>
      </c>
      <c r="Q34" s="370">
        <f t="shared" si="7"/>
        <v>4555043.9519999996</v>
      </c>
      <c r="R34" s="67"/>
      <c r="S34" s="370">
        <f t="shared" si="8"/>
        <v>-2516102.4000000004</v>
      </c>
      <c r="T34" s="370">
        <f t="shared" si="9"/>
        <v>138385.63200000001</v>
      </c>
      <c r="U34" s="370">
        <f t="shared" si="10"/>
        <v>0</v>
      </c>
      <c r="V34" s="370">
        <f t="shared" si="11"/>
        <v>-2377716.7680000002</v>
      </c>
      <c r="W34" s="67"/>
      <c r="X34" s="67"/>
      <c r="Y34" s="67"/>
      <c r="Z34" s="67"/>
    </row>
    <row r="35" spans="1:26" s="39" customFormat="1" ht="14.1" customHeight="1" x14ac:dyDescent="0.2">
      <c r="A35" s="41">
        <v>1500</v>
      </c>
      <c r="B35" s="375">
        <v>190</v>
      </c>
      <c r="C35" s="445" t="s">
        <v>703</v>
      </c>
      <c r="D35" s="376">
        <v>21</v>
      </c>
      <c r="E35" s="14" t="s">
        <v>111</v>
      </c>
      <c r="F35" s="14" t="s">
        <v>297</v>
      </c>
      <c r="G35" s="370">
        <f>VLOOKUP(E35,'OTP FED Pre-Tax Balances'!$A:$K,6,FALSE)</f>
        <v>52065738</v>
      </c>
      <c r="H35" s="2"/>
      <c r="I35" s="370">
        <f t="shared" si="0"/>
        <v>18223008.299999997</v>
      </c>
      <c r="J35" s="370">
        <f t="shared" si="1"/>
        <v>-1002265.4564999999</v>
      </c>
      <c r="K35" s="370">
        <f t="shared" si="2"/>
        <v>2863615.59</v>
      </c>
      <c r="L35" s="370">
        <f t="shared" si="3"/>
        <v>20084358.433499996</v>
      </c>
      <c r="M35" s="67"/>
      <c r="N35" s="370">
        <f t="shared" si="4"/>
        <v>10933804.98</v>
      </c>
      <c r="O35" s="370">
        <f t="shared" si="5"/>
        <v>-601359.27389999991</v>
      </c>
      <c r="P35" s="370">
        <f t="shared" si="6"/>
        <v>2863615.59</v>
      </c>
      <c r="Q35" s="370">
        <f t="shared" si="7"/>
        <v>13196061.2961</v>
      </c>
      <c r="R35" s="67"/>
      <c r="S35" s="370">
        <f t="shared" si="8"/>
        <v>-7289203.3199999966</v>
      </c>
      <c r="T35" s="370">
        <f t="shared" si="9"/>
        <v>400906.18259999994</v>
      </c>
      <c r="U35" s="370">
        <f t="shared" si="10"/>
        <v>0</v>
      </c>
      <c r="V35" s="370">
        <f t="shared" si="11"/>
        <v>-6888297.1373999966</v>
      </c>
    </row>
    <row r="36" spans="1:26" s="39" customFormat="1" ht="14.1" customHeight="1" x14ac:dyDescent="0.2">
      <c r="A36" s="41">
        <v>1500</v>
      </c>
      <c r="B36" s="375">
        <v>190</v>
      </c>
      <c r="C36" s="445" t="s">
        <v>704</v>
      </c>
      <c r="D36" s="376">
        <v>22</v>
      </c>
      <c r="E36" s="14" t="s">
        <v>113</v>
      </c>
      <c r="F36" s="14" t="s">
        <v>299</v>
      </c>
      <c r="G36" s="370">
        <f>VLOOKUP(E36,'OTP FED Pre-Tax Balances'!$A:$K,6,FALSE)</f>
        <v>22292084</v>
      </c>
      <c r="H36" s="2"/>
      <c r="I36" s="370">
        <f t="shared" si="0"/>
        <v>7802229.3999999994</v>
      </c>
      <c r="J36" s="370">
        <f t="shared" si="1"/>
        <v>-429122.61700000003</v>
      </c>
      <c r="K36" s="370">
        <f t="shared" si="2"/>
        <v>1226064.6200000001</v>
      </c>
      <c r="L36" s="370">
        <f t="shared" si="3"/>
        <v>8599171.4030000009</v>
      </c>
      <c r="M36" s="67"/>
      <c r="N36" s="370">
        <f t="shared" si="4"/>
        <v>4681337.6399999997</v>
      </c>
      <c r="O36" s="370">
        <f t="shared" si="5"/>
        <v>-257473.57020000002</v>
      </c>
      <c r="P36" s="370">
        <f t="shared" si="6"/>
        <v>1226064.6200000001</v>
      </c>
      <c r="Q36" s="370">
        <f t="shared" si="7"/>
        <v>5649928.6897999998</v>
      </c>
      <c r="R36" s="67"/>
      <c r="S36" s="370">
        <f t="shared" si="8"/>
        <v>-3120891.76</v>
      </c>
      <c r="T36" s="370">
        <f t="shared" si="9"/>
        <v>171649.04680000001</v>
      </c>
      <c r="U36" s="370">
        <f t="shared" si="10"/>
        <v>0</v>
      </c>
      <c r="V36" s="370">
        <f t="shared" si="11"/>
        <v>-2949242.7131999996</v>
      </c>
      <c r="W36" s="67"/>
      <c r="X36" s="67"/>
      <c r="Y36" s="67"/>
      <c r="Z36" s="67"/>
    </row>
    <row r="37" spans="1:26" s="39" customFormat="1" ht="14.1" customHeight="1" x14ac:dyDescent="0.2">
      <c r="A37" s="41">
        <v>1500</v>
      </c>
      <c r="B37" s="375">
        <v>190</v>
      </c>
      <c r="C37" s="445" t="s">
        <v>703</v>
      </c>
      <c r="D37" s="376">
        <v>21</v>
      </c>
      <c r="E37" s="14" t="s">
        <v>115</v>
      </c>
      <c r="F37" s="14" t="s">
        <v>301</v>
      </c>
      <c r="G37" s="370">
        <f>VLOOKUP(E37,'OTP FED Pre-Tax Balances'!$A:$K,6,FALSE)</f>
        <v>154080973</v>
      </c>
      <c r="H37" s="2"/>
      <c r="I37" s="370">
        <f t="shared" si="0"/>
        <v>53928340.549999997</v>
      </c>
      <c r="J37" s="370">
        <f t="shared" si="1"/>
        <v>-2966058.73025</v>
      </c>
      <c r="K37" s="370">
        <f t="shared" si="2"/>
        <v>8474453.5150000006</v>
      </c>
      <c r="L37" s="370">
        <f t="shared" si="3"/>
        <v>59436735.334749997</v>
      </c>
      <c r="M37" s="67"/>
      <c r="N37" s="370">
        <f t="shared" si="4"/>
        <v>32357004.329999998</v>
      </c>
      <c r="O37" s="370">
        <f t="shared" si="5"/>
        <v>-1779635.2381500001</v>
      </c>
      <c r="P37" s="370">
        <f t="shared" si="6"/>
        <v>8474453.5150000006</v>
      </c>
      <c r="Q37" s="370">
        <f t="shared" si="7"/>
        <v>39051822.606849998</v>
      </c>
      <c r="R37" s="67"/>
      <c r="S37" s="370">
        <f t="shared" si="8"/>
        <v>-21571336.219999999</v>
      </c>
      <c r="T37" s="370">
        <f t="shared" si="9"/>
        <v>1186423.4920999999</v>
      </c>
      <c r="U37" s="370">
        <f t="shared" si="10"/>
        <v>0</v>
      </c>
      <c r="V37" s="370">
        <f t="shared" si="11"/>
        <v>-20384912.727899998</v>
      </c>
    </row>
    <row r="38" spans="1:26" s="39" customFormat="1" ht="14.1" customHeight="1" x14ac:dyDescent="0.2">
      <c r="A38" s="41">
        <v>1500</v>
      </c>
      <c r="B38" s="375">
        <v>190</v>
      </c>
      <c r="C38" s="445" t="s">
        <v>701</v>
      </c>
      <c r="D38" s="376">
        <v>30</v>
      </c>
      <c r="E38" s="14" t="s">
        <v>123</v>
      </c>
      <c r="F38" s="14" t="s">
        <v>309</v>
      </c>
      <c r="G38" s="370">
        <f>VLOOKUP(E38,'OTP FED Pre-Tax Balances'!$A:$K,6,FALSE)</f>
        <v>250215443</v>
      </c>
      <c r="H38" s="2"/>
      <c r="I38" s="370">
        <f t="shared" si="0"/>
        <v>87575405.049999997</v>
      </c>
      <c r="J38" s="370">
        <f t="shared" si="1"/>
        <v>-4816647.2777499994</v>
      </c>
      <c r="K38" s="370">
        <f t="shared" si="2"/>
        <v>13761849.365</v>
      </c>
      <c r="L38" s="370">
        <f t="shared" si="3"/>
        <v>96520607.137249991</v>
      </c>
      <c r="M38" s="67"/>
      <c r="N38" s="370">
        <f t="shared" si="4"/>
        <v>52545243.030000001</v>
      </c>
      <c r="O38" s="370">
        <f t="shared" si="5"/>
        <v>-2889988.3666499997</v>
      </c>
      <c r="P38" s="370">
        <f t="shared" si="6"/>
        <v>13761849.365</v>
      </c>
      <c r="Q38" s="370">
        <f t="shared" si="7"/>
        <v>63417104.028350003</v>
      </c>
      <c r="R38" s="67"/>
      <c r="S38" s="370">
        <f t="shared" si="8"/>
        <v>-35030162.019999996</v>
      </c>
      <c r="T38" s="370">
        <f t="shared" si="9"/>
        <v>1926658.9110999997</v>
      </c>
      <c r="U38" s="370">
        <f t="shared" si="10"/>
        <v>0</v>
      </c>
      <c r="V38" s="370">
        <f t="shared" si="11"/>
        <v>-33103503.108899996</v>
      </c>
    </row>
    <row r="39" spans="1:26" s="39" customFormat="1" ht="14.1" customHeight="1" x14ac:dyDescent="0.2">
      <c r="A39" s="41">
        <v>1500</v>
      </c>
      <c r="B39" s="375">
        <v>190</v>
      </c>
      <c r="C39" s="445" t="s">
        <v>701</v>
      </c>
      <c r="D39" s="376">
        <v>30</v>
      </c>
      <c r="E39" s="14" t="s">
        <v>130</v>
      </c>
      <c r="F39" s="14" t="s">
        <v>316</v>
      </c>
      <c r="G39" s="370">
        <f>VLOOKUP(E39,'OTP FED Pre-Tax Balances'!$A:$K,6,FALSE)</f>
        <v>-8294334</v>
      </c>
      <c r="H39" s="2"/>
      <c r="I39" s="370">
        <f t="shared" si="0"/>
        <v>-2903016.9</v>
      </c>
      <c r="J39" s="370">
        <f t="shared" si="1"/>
        <v>159665.9295</v>
      </c>
      <c r="K39" s="370">
        <f t="shared" si="2"/>
        <v>-456188.37</v>
      </c>
      <c r="L39" s="370">
        <f t="shared" si="3"/>
        <v>-3199539.3404999999</v>
      </c>
      <c r="M39" s="67"/>
      <c r="N39" s="370">
        <f t="shared" si="4"/>
        <v>-1741810.14</v>
      </c>
      <c r="O39" s="370">
        <f t="shared" si="5"/>
        <v>95799.55769999999</v>
      </c>
      <c r="P39" s="370">
        <f t="shared" si="6"/>
        <v>-456188.37</v>
      </c>
      <c r="Q39" s="370">
        <f t="shared" si="7"/>
        <v>-2102198.9523</v>
      </c>
      <c r="R39" s="67"/>
      <c r="S39" s="370">
        <f t="shared" si="8"/>
        <v>1161206.76</v>
      </c>
      <c r="T39" s="370">
        <f t="shared" si="9"/>
        <v>-63866.371800000008</v>
      </c>
      <c r="U39" s="370">
        <f t="shared" si="10"/>
        <v>0</v>
      </c>
      <c r="V39" s="370">
        <f t="shared" si="11"/>
        <v>1097340.3881999999</v>
      </c>
    </row>
    <row r="40" spans="1:26" ht="14.1" customHeight="1" x14ac:dyDescent="0.2">
      <c r="A40" s="41">
        <v>1500</v>
      </c>
      <c r="B40" s="375">
        <v>190</v>
      </c>
      <c r="C40" s="445" t="s">
        <v>697</v>
      </c>
      <c r="D40" s="376">
        <v>5</v>
      </c>
      <c r="E40" s="14" t="s">
        <v>131</v>
      </c>
      <c r="F40" s="14" t="s">
        <v>317</v>
      </c>
      <c r="G40" s="370">
        <f>VLOOKUP(E40,'OTP FED Pre-Tax Balances'!$A:$K,6,FALSE)</f>
        <v>44414</v>
      </c>
      <c r="I40" s="370">
        <f t="shared" si="0"/>
        <v>15544.9</v>
      </c>
      <c r="J40" s="370">
        <f t="shared" si="1"/>
        <v>-854.96949999999993</v>
      </c>
      <c r="K40" s="370">
        <f t="shared" si="2"/>
        <v>2442.77</v>
      </c>
      <c r="L40" s="370">
        <f t="shared" si="3"/>
        <v>17132.700499999999</v>
      </c>
      <c r="N40" s="370">
        <f t="shared" si="4"/>
        <v>9326.94</v>
      </c>
      <c r="O40" s="370">
        <f t="shared" si="5"/>
        <v>-512.98169999999993</v>
      </c>
      <c r="P40" s="370">
        <f t="shared" si="6"/>
        <v>2442.77</v>
      </c>
      <c r="Q40" s="370">
        <f t="shared" si="7"/>
        <v>11256.728300000001</v>
      </c>
      <c r="S40" s="370">
        <f t="shared" si="8"/>
        <v>-6217.9599999999991</v>
      </c>
      <c r="T40" s="370">
        <f t="shared" si="9"/>
        <v>341.98779999999999</v>
      </c>
      <c r="U40" s="370">
        <f t="shared" si="10"/>
        <v>0</v>
      </c>
      <c r="V40" s="370">
        <f t="shared" si="11"/>
        <v>-5875.9721999999992</v>
      </c>
    </row>
    <row r="41" spans="1:26" ht="14.1" customHeight="1" x14ac:dyDescent="0.2">
      <c r="A41" s="41">
        <v>1500</v>
      </c>
      <c r="B41" s="375">
        <v>190</v>
      </c>
      <c r="C41" s="445" t="s">
        <v>705</v>
      </c>
      <c r="D41" s="376">
        <v>2</v>
      </c>
      <c r="E41" s="14" t="s">
        <v>136</v>
      </c>
      <c r="F41" s="14" t="s">
        <v>322</v>
      </c>
      <c r="G41" s="370">
        <f>VLOOKUP(E41,'OTP FED Pre-Tax Balances'!$A:$K,6,FALSE)</f>
        <v>16580661</v>
      </c>
      <c r="I41" s="370">
        <f t="shared" si="0"/>
        <v>5803231.3499999996</v>
      </c>
      <c r="J41" s="370">
        <f t="shared" si="1"/>
        <v>-319177.72424999997</v>
      </c>
      <c r="K41" s="370">
        <f t="shared" si="2"/>
        <v>911936.35499999998</v>
      </c>
      <c r="L41" s="370">
        <f t="shared" si="3"/>
        <v>6395989.9807500001</v>
      </c>
      <c r="N41" s="370">
        <f t="shared" si="4"/>
        <v>3481938.81</v>
      </c>
      <c r="O41" s="370">
        <f t="shared" si="5"/>
        <v>-191506.63454999999</v>
      </c>
      <c r="P41" s="370">
        <f t="shared" si="6"/>
        <v>911936.35499999998</v>
      </c>
      <c r="Q41" s="370">
        <f t="shared" si="7"/>
        <v>4202368.5304499995</v>
      </c>
      <c r="S41" s="370">
        <f t="shared" si="8"/>
        <v>-2321292.5399999996</v>
      </c>
      <c r="T41" s="370">
        <f t="shared" si="9"/>
        <v>127671.08969999998</v>
      </c>
      <c r="U41" s="370">
        <f t="shared" si="10"/>
        <v>0</v>
      </c>
      <c r="V41" s="370">
        <f t="shared" si="11"/>
        <v>-2193621.4502999997</v>
      </c>
    </row>
    <row r="42" spans="1:26" ht="14.1" customHeight="1" x14ac:dyDescent="0.2">
      <c r="A42" s="41">
        <v>1500</v>
      </c>
      <c r="B42" s="375">
        <v>190</v>
      </c>
      <c r="C42" s="445" t="s">
        <v>697</v>
      </c>
      <c r="D42" s="376">
        <v>5</v>
      </c>
      <c r="E42" s="14" t="s">
        <v>139</v>
      </c>
      <c r="F42" s="14" t="s">
        <v>325</v>
      </c>
      <c r="G42" s="370">
        <f>VLOOKUP(E42,'OTP FED Pre-Tax Balances'!$A:$K,6,FALSE)</f>
        <v>7312500</v>
      </c>
      <c r="I42" s="370">
        <f t="shared" ref="I42:I60" si="12">G42*$I$7</f>
        <v>2559375</v>
      </c>
      <c r="J42" s="370">
        <f t="shared" ref="J42:J60" si="13">-K42*$I$7</f>
        <v>-140765.625</v>
      </c>
      <c r="K42" s="370">
        <f t="shared" ref="K42:K60" si="14">G42*$K$7</f>
        <v>402187.5</v>
      </c>
      <c r="L42" s="370">
        <f t="shared" ref="L42:L60" si="15">SUM(I42:K42)</f>
        <v>2820796.875</v>
      </c>
      <c r="N42" s="370">
        <f t="shared" ref="N42:N60" si="16">G42*$N$7</f>
        <v>1535625</v>
      </c>
      <c r="O42" s="370">
        <f t="shared" ref="O42:O60" si="17">-P42*$N$7</f>
        <v>-84459.375</v>
      </c>
      <c r="P42" s="370">
        <f t="shared" ref="P42:P60" si="18">G42*$P$7</f>
        <v>402187.5</v>
      </c>
      <c r="Q42" s="370">
        <f t="shared" ref="Q42:Q60" si="19">SUM(N42:P42)</f>
        <v>1853353.125</v>
      </c>
      <c r="S42" s="370">
        <f t="shared" ref="S42:S60" si="20">N42-I42</f>
        <v>-1023750</v>
      </c>
      <c r="T42" s="370">
        <f t="shared" ref="T42:T60" si="21">O42-J42</f>
        <v>56306.25</v>
      </c>
      <c r="U42" s="370">
        <f t="shared" ref="U42:U60" si="22">P42-K42</f>
        <v>0</v>
      </c>
      <c r="V42" s="370">
        <f t="shared" ref="V42:V60" si="23">SUM(S42:U42)</f>
        <v>-967443.75</v>
      </c>
      <c r="W42" s="39"/>
      <c r="X42" s="39"/>
      <c r="Y42" s="39"/>
      <c r="Z42" s="39"/>
    </row>
    <row r="43" spans="1:26" ht="14.1" customHeight="1" x14ac:dyDescent="0.2">
      <c r="A43" s="41">
        <v>1500</v>
      </c>
      <c r="B43" s="375">
        <v>190</v>
      </c>
      <c r="C43" s="445" t="s">
        <v>697</v>
      </c>
      <c r="D43" s="376">
        <v>5</v>
      </c>
      <c r="E43" s="14" t="s">
        <v>141</v>
      </c>
      <c r="F43" s="14" t="s">
        <v>327</v>
      </c>
      <c r="G43" s="370">
        <f>VLOOKUP(E43,'OTP FED Pre-Tax Balances'!$A:$K,6,FALSE)</f>
        <v>5447994</v>
      </c>
      <c r="I43" s="370">
        <f t="shared" si="12"/>
        <v>1906797.9</v>
      </c>
      <c r="J43" s="370">
        <f t="shared" si="13"/>
        <v>-104873.88449999999</v>
      </c>
      <c r="K43" s="370">
        <f t="shared" si="14"/>
        <v>299639.67</v>
      </c>
      <c r="L43" s="370">
        <f t="shared" si="15"/>
        <v>2101563.6855000001</v>
      </c>
      <c r="N43" s="370">
        <f t="shared" si="16"/>
        <v>1144078.74</v>
      </c>
      <c r="O43" s="370">
        <f t="shared" si="17"/>
        <v>-62924.330699999991</v>
      </c>
      <c r="P43" s="370">
        <f t="shared" si="18"/>
        <v>299639.67</v>
      </c>
      <c r="Q43" s="370">
        <f t="shared" si="19"/>
        <v>1380794.0792999999</v>
      </c>
      <c r="S43" s="370">
        <f t="shared" si="20"/>
        <v>-762719.15999999992</v>
      </c>
      <c r="T43" s="370">
        <f t="shared" si="21"/>
        <v>41949.553799999994</v>
      </c>
      <c r="U43" s="370">
        <f t="shared" si="22"/>
        <v>0</v>
      </c>
      <c r="V43" s="370">
        <f t="shared" si="23"/>
        <v>-720769.60619999992</v>
      </c>
    </row>
    <row r="44" spans="1:26" ht="14.1" customHeight="1" x14ac:dyDescent="0.2">
      <c r="A44" s="41">
        <v>1500</v>
      </c>
      <c r="B44" s="375">
        <v>190</v>
      </c>
      <c r="C44" s="445" t="s">
        <v>701</v>
      </c>
      <c r="D44" s="376">
        <v>30</v>
      </c>
      <c r="E44" s="14" t="s">
        <v>142</v>
      </c>
      <c r="F44" s="14" t="s">
        <v>328</v>
      </c>
      <c r="G44" s="370">
        <f>VLOOKUP(E44,'OTP FED Pre-Tax Balances'!$A:$K,6,FALSE)</f>
        <v>111722086</v>
      </c>
      <c r="I44" s="370">
        <f t="shared" si="12"/>
        <v>39102730.099999994</v>
      </c>
      <c r="J44" s="370">
        <f t="shared" si="13"/>
        <v>-2150650.1554999999</v>
      </c>
      <c r="K44" s="370">
        <f t="shared" si="14"/>
        <v>6144714.7300000004</v>
      </c>
      <c r="L44" s="370">
        <f t="shared" si="15"/>
        <v>43096794.674499989</v>
      </c>
      <c r="N44" s="370">
        <f t="shared" si="16"/>
        <v>23461638.059999999</v>
      </c>
      <c r="O44" s="370">
        <f t="shared" si="17"/>
        <v>-1290390.0933000001</v>
      </c>
      <c r="P44" s="370">
        <f t="shared" si="18"/>
        <v>6144714.7300000004</v>
      </c>
      <c r="Q44" s="370">
        <f t="shared" si="19"/>
        <v>28315962.696699999</v>
      </c>
      <c r="S44" s="370">
        <f t="shared" si="20"/>
        <v>-15641092.039999995</v>
      </c>
      <c r="T44" s="370">
        <f t="shared" si="21"/>
        <v>860260.06219999981</v>
      </c>
      <c r="U44" s="370">
        <f t="shared" si="22"/>
        <v>0</v>
      </c>
      <c r="V44" s="370">
        <f t="shared" si="23"/>
        <v>-14780831.977799995</v>
      </c>
    </row>
    <row r="45" spans="1:26" ht="14.1" customHeight="1" x14ac:dyDescent="0.2">
      <c r="A45" s="41">
        <v>1500</v>
      </c>
      <c r="B45" s="375">
        <v>190</v>
      </c>
      <c r="C45" s="445" t="s">
        <v>701</v>
      </c>
      <c r="D45" s="376">
        <v>30</v>
      </c>
      <c r="E45" s="14" t="s">
        <v>143</v>
      </c>
      <c r="F45" s="14" t="s">
        <v>329</v>
      </c>
      <c r="G45" s="370">
        <f>VLOOKUP(E45,'OTP FED Pre-Tax Balances'!$A:$K,6,FALSE)</f>
        <v>24065820</v>
      </c>
      <c r="I45" s="370">
        <f t="shared" si="12"/>
        <v>8423037</v>
      </c>
      <c r="J45" s="370">
        <f t="shared" si="13"/>
        <v>-463267.03499999997</v>
      </c>
      <c r="K45" s="370">
        <f t="shared" si="14"/>
        <v>1323620.1000000001</v>
      </c>
      <c r="L45" s="370">
        <f t="shared" si="15"/>
        <v>9283390.0649999995</v>
      </c>
      <c r="N45" s="370">
        <f t="shared" si="16"/>
        <v>5053822.2</v>
      </c>
      <c r="O45" s="370">
        <f t="shared" si="17"/>
        <v>-277960.22100000002</v>
      </c>
      <c r="P45" s="370">
        <f t="shared" si="18"/>
        <v>1323620.1000000001</v>
      </c>
      <c r="Q45" s="370">
        <f t="shared" si="19"/>
        <v>6099482.0789999999</v>
      </c>
      <c r="S45" s="370">
        <f t="shared" si="20"/>
        <v>-3369214.8</v>
      </c>
      <c r="T45" s="370">
        <f t="shared" si="21"/>
        <v>185306.81399999995</v>
      </c>
      <c r="U45" s="370">
        <f t="shared" si="22"/>
        <v>0</v>
      </c>
      <c r="V45" s="370">
        <f t="shared" si="23"/>
        <v>-3183907.986</v>
      </c>
    </row>
    <row r="46" spans="1:26" ht="14.1" customHeight="1" x14ac:dyDescent="0.2">
      <c r="A46" s="41">
        <v>1500</v>
      </c>
      <c r="B46" s="375">
        <v>190</v>
      </c>
      <c r="C46" s="445" t="s">
        <v>700</v>
      </c>
      <c r="D46" s="376">
        <v>1</v>
      </c>
      <c r="E46" s="14" t="s">
        <v>145</v>
      </c>
      <c r="F46" s="14" t="s">
        <v>331</v>
      </c>
      <c r="G46" s="370">
        <f>VLOOKUP(E46,'OTP FED Pre-Tax Balances'!$A:$K,6,FALSE)</f>
        <v>9273516</v>
      </c>
      <c r="I46" s="370">
        <f t="shared" si="12"/>
        <v>3245730.5999999996</v>
      </c>
      <c r="J46" s="370">
        <f t="shared" si="13"/>
        <v>-178515.18299999999</v>
      </c>
      <c r="K46" s="370">
        <f t="shared" si="14"/>
        <v>510043.38</v>
      </c>
      <c r="L46" s="370">
        <f t="shared" si="15"/>
        <v>3577258.7969999993</v>
      </c>
      <c r="N46" s="370">
        <f t="shared" si="16"/>
        <v>1947438.3599999999</v>
      </c>
      <c r="O46" s="370">
        <f t="shared" si="17"/>
        <v>-107109.10979999999</v>
      </c>
      <c r="P46" s="370">
        <f t="shared" si="18"/>
        <v>510043.38</v>
      </c>
      <c r="Q46" s="370">
        <f t="shared" si="19"/>
        <v>2350372.6302</v>
      </c>
      <c r="S46" s="370">
        <f t="shared" si="20"/>
        <v>-1298292.2399999998</v>
      </c>
      <c r="T46" s="370">
        <f t="shared" si="21"/>
        <v>71406.073199999999</v>
      </c>
      <c r="U46" s="370">
        <f t="shared" si="22"/>
        <v>0</v>
      </c>
      <c r="V46" s="370">
        <f t="shared" si="23"/>
        <v>-1226886.1667999998</v>
      </c>
    </row>
    <row r="47" spans="1:26" ht="14.1" customHeight="1" x14ac:dyDescent="0.2">
      <c r="A47" s="41">
        <v>1500</v>
      </c>
      <c r="B47" s="375">
        <v>190</v>
      </c>
      <c r="C47" s="445" t="s">
        <v>702</v>
      </c>
      <c r="D47" s="376">
        <v>10</v>
      </c>
      <c r="E47" s="14" t="s">
        <v>151</v>
      </c>
      <c r="F47" s="14" t="s">
        <v>337</v>
      </c>
      <c r="G47" s="370">
        <f>VLOOKUP(E47,'OTP FED Pre-Tax Balances'!$A:$K,6,FALSE)</f>
        <v>42712</v>
      </c>
      <c r="I47" s="370">
        <f t="shared" si="12"/>
        <v>14949.199999999999</v>
      </c>
      <c r="J47" s="370">
        <f t="shared" si="13"/>
        <v>-822.2059999999999</v>
      </c>
      <c r="K47" s="370">
        <f t="shared" si="14"/>
        <v>2349.16</v>
      </c>
      <c r="L47" s="370">
        <f t="shared" si="15"/>
        <v>16476.153999999999</v>
      </c>
      <c r="N47" s="370">
        <f t="shared" si="16"/>
        <v>8969.52</v>
      </c>
      <c r="O47" s="370">
        <f t="shared" si="17"/>
        <v>-493.32359999999994</v>
      </c>
      <c r="P47" s="370">
        <f t="shared" si="18"/>
        <v>2349.16</v>
      </c>
      <c r="Q47" s="370">
        <f t="shared" si="19"/>
        <v>10825.356400000001</v>
      </c>
      <c r="S47" s="370">
        <f t="shared" si="20"/>
        <v>-5979.6799999999985</v>
      </c>
      <c r="T47" s="370">
        <f t="shared" si="21"/>
        <v>328.88239999999996</v>
      </c>
      <c r="U47" s="370">
        <f t="shared" si="22"/>
        <v>0</v>
      </c>
      <c r="V47" s="370">
        <f t="shared" si="23"/>
        <v>-5650.7975999999981</v>
      </c>
    </row>
    <row r="48" spans="1:26" ht="14.1" customHeight="1" x14ac:dyDescent="0.2">
      <c r="A48" s="63">
        <v>1511</v>
      </c>
      <c r="B48" s="375">
        <v>190</v>
      </c>
      <c r="C48" s="445" t="s">
        <v>699</v>
      </c>
      <c r="D48" s="376">
        <v>1</v>
      </c>
      <c r="E48" s="14" t="s">
        <v>151</v>
      </c>
      <c r="F48" s="14" t="s">
        <v>337</v>
      </c>
      <c r="G48" s="370">
        <f>VLOOKUP(E48,'OTP FED Pre-Tax Balances'!$A:$K,9,FALSE)</f>
        <v>118819</v>
      </c>
      <c r="I48" s="370">
        <f t="shared" si="12"/>
        <v>41586.649999999994</v>
      </c>
      <c r="J48" s="370">
        <f t="shared" si="13"/>
        <v>-2287.26575</v>
      </c>
      <c r="K48" s="370">
        <f t="shared" si="14"/>
        <v>6535.0450000000001</v>
      </c>
      <c r="L48" s="370">
        <f t="shared" si="15"/>
        <v>45834.429249999994</v>
      </c>
      <c r="N48" s="370">
        <f t="shared" si="16"/>
        <v>24951.989999999998</v>
      </c>
      <c r="O48" s="370">
        <f t="shared" si="17"/>
        <v>-1372.3594499999999</v>
      </c>
      <c r="P48" s="370">
        <f t="shared" si="18"/>
        <v>6535.0450000000001</v>
      </c>
      <c r="Q48" s="370">
        <f t="shared" si="19"/>
        <v>30114.67555</v>
      </c>
      <c r="S48" s="370">
        <f t="shared" si="20"/>
        <v>-16634.659999999996</v>
      </c>
      <c r="T48" s="370">
        <f t="shared" si="21"/>
        <v>914.9063000000001</v>
      </c>
      <c r="U48" s="370">
        <f t="shared" si="22"/>
        <v>0</v>
      </c>
      <c r="V48" s="370">
        <f t="shared" si="23"/>
        <v>-15719.753699999996</v>
      </c>
    </row>
    <row r="49" spans="1:26" ht="14.1" customHeight="1" x14ac:dyDescent="0.2">
      <c r="A49" s="41">
        <v>1500</v>
      </c>
      <c r="B49" s="375">
        <v>190</v>
      </c>
      <c r="C49" s="445" t="s">
        <v>700</v>
      </c>
      <c r="D49" s="376">
        <v>1</v>
      </c>
      <c r="E49" s="14" t="s">
        <v>153</v>
      </c>
      <c r="F49" s="14" t="s">
        <v>339</v>
      </c>
      <c r="G49" s="370">
        <f>VLOOKUP(E49,'OTP FED Pre-Tax Balances'!$A:$K,6,FALSE)</f>
        <v>6131708</v>
      </c>
      <c r="I49" s="370">
        <f t="shared" si="12"/>
        <v>2146097.7999999998</v>
      </c>
      <c r="J49" s="370">
        <f t="shared" si="13"/>
        <v>-118035.37899999999</v>
      </c>
      <c r="K49" s="370">
        <f t="shared" si="14"/>
        <v>337243.94</v>
      </c>
      <c r="L49" s="370">
        <f t="shared" si="15"/>
        <v>2365306.361</v>
      </c>
      <c r="N49" s="370">
        <f t="shared" si="16"/>
        <v>1287658.68</v>
      </c>
      <c r="O49" s="370">
        <f t="shared" si="17"/>
        <v>-70821.227400000003</v>
      </c>
      <c r="P49" s="370">
        <f t="shared" si="18"/>
        <v>337243.94</v>
      </c>
      <c r="Q49" s="370">
        <f t="shared" si="19"/>
        <v>1554081.3925999999</v>
      </c>
      <c r="S49" s="370">
        <f t="shared" si="20"/>
        <v>-858439.11999999988</v>
      </c>
      <c r="T49" s="370">
        <f t="shared" si="21"/>
        <v>47214.151599999983</v>
      </c>
      <c r="U49" s="370">
        <f t="shared" si="22"/>
        <v>0</v>
      </c>
      <c r="V49" s="370">
        <f t="shared" si="23"/>
        <v>-811224.9683999999</v>
      </c>
      <c r="W49" s="39"/>
      <c r="X49" s="39"/>
      <c r="Y49" s="39"/>
      <c r="Z49" s="39"/>
    </row>
    <row r="50" spans="1:26" ht="14.1" customHeight="1" x14ac:dyDescent="0.2">
      <c r="A50" s="41">
        <v>1500</v>
      </c>
      <c r="B50" s="375">
        <v>190</v>
      </c>
      <c r="C50" s="445" t="s">
        <v>702</v>
      </c>
      <c r="D50" s="376">
        <v>10</v>
      </c>
      <c r="E50" s="14" t="s">
        <v>155</v>
      </c>
      <c r="F50" s="14" t="s">
        <v>340</v>
      </c>
      <c r="G50" s="370">
        <f>VLOOKUP(E50,'OTP FED Pre-Tax Balances'!$A:$K,6,FALSE)-G51</f>
        <v>135891407</v>
      </c>
      <c r="I50" s="370">
        <f t="shared" si="12"/>
        <v>47561992.449999996</v>
      </c>
      <c r="J50" s="370">
        <f t="shared" si="13"/>
        <v>-2615909.5847499999</v>
      </c>
      <c r="K50" s="370">
        <f t="shared" si="14"/>
        <v>7474027.3849999998</v>
      </c>
      <c r="L50" s="370">
        <f t="shared" si="15"/>
        <v>52420110.250249997</v>
      </c>
      <c r="N50" s="370">
        <f t="shared" si="16"/>
        <v>28537195.469999999</v>
      </c>
      <c r="O50" s="370">
        <f t="shared" si="17"/>
        <v>-1569545.75085</v>
      </c>
      <c r="P50" s="370">
        <f t="shared" si="18"/>
        <v>7474027.3849999998</v>
      </c>
      <c r="Q50" s="370">
        <f t="shared" si="19"/>
        <v>34441677.104149997</v>
      </c>
      <c r="S50" s="370">
        <f t="shared" si="20"/>
        <v>-19024796.979999997</v>
      </c>
      <c r="T50" s="370">
        <f t="shared" si="21"/>
        <v>1046363.8339</v>
      </c>
      <c r="U50" s="370">
        <f t="shared" si="22"/>
        <v>0</v>
      </c>
      <c r="V50" s="370">
        <f t="shared" si="23"/>
        <v>-17978433.146099996</v>
      </c>
      <c r="W50" s="39"/>
      <c r="X50" s="39"/>
      <c r="Y50" s="39"/>
      <c r="Z50" s="39"/>
    </row>
    <row r="51" spans="1:26" ht="14.1" customHeight="1" x14ac:dyDescent="0.2">
      <c r="A51" s="41">
        <v>1500</v>
      </c>
      <c r="B51" s="375">
        <v>190</v>
      </c>
      <c r="C51" s="389" t="s">
        <v>695</v>
      </c>
      <c r="D51" s="376">
        <v>10</v>
      </c>
      <c r="E51" s="14" t="s">
        <v>155</v>
      </c>
      <c r="F51" s="14" t="s">
        <v>340</v>
      </c>
      <c r="G51" s="370">
        <v>4567546</v>
      </c>
      <c r="I51" s="370">
        <f t="shared" ref="I51" si="24">G51*$I$7</f>
        <v>1598641.0999999999</v>
      </c>
      <c r="J51" s="370">
        <f t="shared" ref="J51" si="25">-K51*$I$7</f>
        <v>-87925.260499999989</v>
      </c>
      <c r="K51" s="370">
        <f t="shared" ref="K51" si="26">G51*$K$7</f>
        <v>251215.03</v>
      </c>
      <c r="L51" s="370">
        <f t="shared" ref="L51" si="27">SUM(I51:K51)</f>
        <v>1761930.8694999998</v>
      </c>
      <c r="N51" s="370">
        <f t="shared" ref="N51" si="28">G51*$N$7</f>
        <v>959184.65999999992</v>
      </c>
      <c r="O51" s="370">
        <f t="shared" ref="O51" si="29">-P51*$N$7</f>
        <v>-52755.156299999995</v>
      </c>
      <c r="P51" s="370">
        <f t="shared" ref="P51" si="30">G51*$P$7</f>
        <v>251215.03</v>
      </c>
      <c r="Q51" s="370">
        <f t="shared" ref="Q51" si="31">SUM(N51:P51)</f>
        <v>1157644.5336999998</v>
      </c>
      <c r="S51" s="370">
        <f t="shared" ref="S51" si="32">N51-I51</f>
        <v>-639456.43999999994</v>
      </c>
      <c r="T51" s="370">
        <f t="shared" ref="T51" si="33">O51-J51</f>
        <v>35170.104199999994</v>
      </c>
      <c r="U51" s="370">
        <f t="shared" ref="U51" si="34">P51-K51</f>
        <v>0</v>
      </c>
      <c r="V51" s="370">
        <f t="shared" ref="V51" si="35">SUM(S51:U51)</f>
        <v>-604286.3358</v>
      </c>
      <c r="W51" s="39"/>
      <c r="X51" s="39"/>
      <c r="Y51" s="39"/>
      <c r="Z51" s="39"/>
    </row>
    <row r="52" spans="1:26" ht="14.1" customHeight="1" x14ac:dyDescent="0.2">
      <c r="A52" s="41">
        <v>1500</v>
      </c>
      <c r="B52" s="375">
        <v>190</v>
      </c>
      <c r="C52" s="445" t="s">
        <v>700</v>
      </c>
      <c r="D52" s="376">
        <v>1</v>
      </c>
      <c r="E52" s="14" t="s">
        <v>156</v>
      </c>
      <c r="F52" s="14" t="s">
        <v>341</v>
      </c>
      <c r="G52" s="370">
        <f>VLOOKUP(E52,'OTP FED Pre-Tax Balances'!$A:$K,6,FALSE)</f>
        <v>5457391</v>
      </c>
      <c r="I52" s="370">
        <f t="shared" si="12"/>
        <v>1910086.8499999999</v>
      </c>
      <c r="J52" s="370">
        <f t="shared" si="13"/>
        <v>-105054.77674999999</v>
      </c>
      <c r="K52" s="370">
        <f t="shared" si="14"/>
        <v>300156.505</v>
      </c>
      <c r="L52" s="370">
        <f t="shared" si="15"/>
        <v>2105188.5782499998</v>
      </c>
      <c r="N52" s="370">
        <f t="shared" si="16"/>
        <v>1146052.1099999999</v>
      </c>
      <c r="O52" s="370">
        <f t="shared" si="17"/>
        <v>-63032.866049999997</v>
      </c>
      <c r="P52" s="370">
        <f t="shared" si="18"/>
        <v>300156.505</v>
      </c>
      <c r="Q52" s="370">
        <f t="shared" si="19"/>
        <v>1383175.7489499999</v>
      </c>
      <c r="S52" s="370">
        <f t="shared" si="20"/>
        <v>-764034.74</v>
      </c>
      <c r="T52" s="370">
        <f t="shared" si="21"/>
        <v>42021.910699999993</v>
      </c>
      <c r="U52" s="370">
        <f t="shared" si="22"/>
        <v>0</v>
      </c>
      <c r="V52" s="370">
        <f t="shared" si="23"/>
        <v>-722012.82929999998</v>
      </c>
      <c r="W52" s="39"/>
      <c r="X52" s="39"/>
      <c r="Y52" s="39"/>
      <c r="Z52" s="39"/>
    </row>
    <row r="53" spans="1:26" ht="14.1" customHeight="1" x14ac:dyDescent="0.2">
      <c r="A53" s="41">
        <v>1500</v>
      </c>
      <c r="B53" s="375">
        <v>190</v>
      </c>
      <c r="C53" s="445" t="s">
        <v>697</v>
      </c>
      <c r="D53" s="376">
        <v>5</v>
      </c>
      <c r="E53" s="14" t="s">
        <v>157</v>
      </c>
      <c r="F53" s="14" t="s">
        <v>342</v>
      </c>
      <c r="G53" s="370">
        <f>VLOOKUP(E53,'OTP FED Pre-Tax Balances'!$A:$K,6,FALSE)</f>
        <v>63554</v>
      </c>
      <c r="I53" s="370">
        <f t="shared" si="12"/>
        <v>22243.899999999998</v>
      </c>
      <c r="J53" s="370">
        <f t="shared" si="13"/>
        <v>-1223.4144999999999</v>
      </c>
      <c r="K53" s="370">
        <f t="shared" si="14"/>
        <v>3495.47</v>
      </c>
      <c r="L53" s="370">
        <f t="shared" si="15"/>
        <v>24515.9555</v>
      </c>
      <c r="N53" s="370">
        <f t="shared" si="16"/>
        <v>13346.34</v>
      </c>
      <c r="O53" s="370">
        <f t="shared" si="17"/>
        <v>-734.04869999999994</v>
      </c>
      <c r="P53" s="370">
        <f t="shared" si="18"/>
        <v>3495.47</v>
      </c>
      <c r="Q53" s="370">
        <f t="shared" si="19"/>
        <v>16107.7613</v>
      </c>
      <c r="S53" s="370">
        <f t="shared" si="20"/>
        <v>-8897.5599999999977</v>
      </c>
      <c r="T53" s="370">
        <f t="shared" si="21"/>
        <v>489.36579999999992</v>
      </c>
      <c r="U53" s="370">
        <f t="shared" si="22"/>
        <v>0</v>
      </c>
      <c r="V53" s="370">
        <f t="shared" si="23"/>
        <v>-8408.1941999999981</v>
      </c>
      <c r="W53" s="39"/>
      <c r="X53" s="39"/>
      <c r="Y53" s="39"/>
      <c r="Z53" s="39"/>
    </row>
    <row r="54" spans="1:26" ht="14.1" customHeight="1" x14ac:dyDescent="0.2">
      <c r="A54" s="63">
        <v>1511</v>
      </c>
      <c r="B54" s="375">
        <v>190</v>
      </c>
      <c r="C54" s="445" t="s">
        <v>699</v>
      </c>
      <c r="D54" s="376">
        <v>1</v>
      </c>
      <c r="E54" s="14" t="s">
        <v>160</v>
      </c>
      <c r="F54" s="14" t="s">
        <v>345</v>
      </c>
      <c r="G54" s="370">
        <f>VLOOKUP(E54,'OTP FED Pre-Tax Balances'!$A:$K,9,FALSE)</f>
        <v>1289929</v>
      </c>
      <c r="I54" s="370">
        <f t="shared" si="12"/>
        <v>451475.14999999997</v>
      </c>
      <c r="J54" s="370">
        <f t="shared" si="13"/>
        <v>-24831.133249999999</v>
      </c>
      <c r="K54" s="370">
        <f t="shared" si="14"/>
        <v>70946.095000000001</v>
      </c>
      <c r="L54" s="370">
        <f t="shared" si="15"/>
        <v>497590.11174999992</v>
      </c>
      <c r="N54" s="370">
        <f t="shared" si="16"/>
        <v>270885.08999999997</v>
      </c>
      <c r="O54" s="370">
        <f t="shared" si="17"/>
        <v>-14898.67995</v>
      </c>
      <c r="P54" s="370">
        <f t="shared" si="18"/>
        <v>70946.095000000001</v>
      </c>
      <c r="Q54" s="370">
        <f t="shared" si="19"/>
        <v>326932.50504999998</v>
      </c>
      <c r="S54" s="370">
        <f t="shared" si="20"/>
        <v>-180590.06</v>
      </c>
      <c r="T54" s="370">
        <f t="shared" si="21"/>
        <v>9932.4532999999992</v>
      </c>
      <c r="U54" s="370">
        <f t="shared" si="22"/>
        <v>0</v>
      </c>
      <c r="V54" s="370">
        <f t="shared" si="23"/>
        <v>-170657.6067</v>
      </c>
      <c r="W54" s="39"/>
      <c r="X54" s="39"/>
      <c r="Y54" s="39"/>
      <c r="Z54" s="39"/>
    </row>
    <row r="55" spans="1:26" ht="14.1" customHeight="1" x14ac:dyDescent="0.2">
      <c r="A55" s="41">
        <v>1500</v>
      </c>
      <c r="B55" s="375">
        <v>190</v>
      </c>
      <c r="C55" s="445" t="s">
        <v>697</v>
      </c>
      <c r="D55" s="376">
        <v>5</v>
      </c>
      <c r="E55" s="14" t="s">
        <v>168</v>
      </c>
      <c r="F55" s="14" t="s">
        <v>353</v>
      </c>
      <c r="G55" s="370">
        <f>VLOOKUP(E55,'OTP FED Pre-Tax Balances'!$A:$K,6,FALSE)</f>
        <v>886</v>
      </c>
      <c r="I55" s="370">
        <f t="shared" si="12"/>
        <v>310.09999999999997</v>
      </c>
      <c r="J55" s="370">
        <f t="shared" si="13"/>
        <v>-17.055499999999999</v>
      </c>
      <c r="K55" s="370">
        <f t="shared" si="14"/>
        <v>48.73</v>
      </c>
      <c r="L55" s="370">
        <f t="shared" si="15"/>
        <v>341.77449999999999</v>
      </c>
      <c r="N55" s="370">
        <f t="shared" si="16"/>
        <v>186.06</v>
      </c>
      <c r="O55" s="370">
        <f t="shared" si="17"/>
        <v>-10.2333</v>
      </c>
      <c r="P55" s="370">
        <f t="shared" si="18"/>
        <v>48.73</v>
      </c>
      <c r="Q55" s="370">
        <f t="shared" si="19"/>
        <v>224.55670000000001</v>
      </c>
      <c r="S55" s="370">
        <f t="shared" si="20"/>
        <v>-124.03999999999996</v>
      </c>
      <c r="T55" s="370">
        <f t="shared" si="21"/>
        <v>6.8221999999999987</v>
      </c>
      <c r="U55" s="370">
        <f t="shared" si="22"/>
        <v>0</v>
      </c>
      <c r="V55" s="370">
        <f t="shared" si="23"/>
        <v>-117.21779999999997</v>
      </c>
      <c r="W55" s="39"/>
      <c r="X55" s="39"/>
      <c r="Y55" s="39"/>
      <c r="Z55" s="39"/>
    </row>
    <row r="56" spans="1:26" ht="14.1" customHeight="1" x14ac:dyDescent="0.2">
      <c r="A56" s="41">
        <v>1500</v>
      </c>
      <c r="B56" s="375">
        <v>190</v>
      </c>
      <c r="C56" s="445" t="s">
        <v>706</v>
      </c>
      <c r="D56" s="376">
        <v>3</v>
      </c>
      <c r="E56" s="14" t="s">
        <v>171</v>
      </c>
      <c r="F56" s="14" t="s">
        <v>356</v>
      </c>
      <c r="G56" s="370">
        <f>VLOOKUP(E56,'OTP FED Pre-Tax Balances'!$A:$K,6,FALSE)</f>
        <v>39923306</v>
      </c>
      <c r="I56" s="370">
        <f t="shared" si="12"/>
        <v>13973157.1</v>
      </c>
      <c r="J56" s="370">
        <f t="shared" si="13"/>
        <v>-768523.64049999998</v>
      </c>
      <c r="K56" s="370">
        <f t="shared" si="14"/>
        <v>2195781.83</v>
      </c>
      <c r="L56" s="370">
        <f t="shared" si="15"/>
        <v>15400415.2895</v>
      </c>
      <c r="N56" s="370">
        <f t="shared" si="16"/>
        <v>8383894.2599999998</v>
      </c>
      <c r="O56" s="370">
        <f t="shared" si="17"/>
        <v>-461114.18430000002</v>
      </c>
      <c r="P56" s="370">
        <f t="shared" si="18"/>
        <v>2195781.83</v>
      </c>
      <c r="Q56" s="370">
        <f t="shared" si="19"/>
        <v>10118561.9057</v>
      </c>
      <c r="S56" s="370">
        <f t="shared" si="20"/>
        <v>-5589262.8399999999</v>
      </c>
      <c r="T56" s="370">
        <f t="shared" si="21"/>
        <v>307409.45619999996</v>
      </c>
      <c r="U56" s="370">
        <f t="shared" si="22"/>
        <v>0</v>
      </c>
      <c r="V56" s="370">
        <f t="shared" si="23"/>
        <v>-5281853.3838</v>
      </c>
    </row>
    <row r="57" spans="1:26" ht="14.1" customHeight="1" x14ac:dyDescent="0.2">
      <c r="A57" s="41">
        <v>1500</v>
      </c>
      <c r="B57" s="375">
        <v>190</v>
      </c>
      <c r="C57" s="445" t="s">
        <v>706</v>
      </c>
      <c r="D57" s="376">
        <v>3</v>
      </c>
      <c r="E57" s="14" t="s">
        <v>172</v>
      </c>
      <c r="F57" s="14" t="s">
        <v>357</v>
      </c>
      <c r="G57" s="370">
        <f>VLOOKUP(E57,'OTP FED Pre-Tax Balances'!$A:$K,6,FALSE)</f>
        <v>12382353</v>
      </c>
      <c r="I57" s="370">
        <f t="shared" si="12"/>
        <v>4333823.55</v>
      </c>
      <c r="J57" s="370">
        <f t="shared" si="13"/>
        <v>-238360.29525</v>
      </c>
      <c r="K57" s="370">
        <f t="shared" si="14"/>
        <v>681029.41500000004</v>
      </c>
      <c r="L57" s="370">
        <f t="shared" si="15"/>
        <v>4776492.6697499994</v>
      </c>
      <c r="N57" s="370">
        <f t="shared" si="16"/>
        <v>2600294.13</v>
      </c>
      <c r="O57" s="370">
        <f t="shared" si="17"/>
        <v>-143016.17715</v>
      </c>
      <c r="P57" s="370">
        <f t="shared" si="18"/>
        <v>681029.41500000004</v>
      </c>
      <c r="Q57" s="370">
        <f t="shared" si="19"/>
        <v>3138307.36785</v>
      </c>
      <c r="S57" s="370">
        <f t="shared" si="20"/>
        <v>-1733529.42</v>
      </c>
      <c r="T57" s="370">
        <f t="shared" si="21"/>
        <v>95344.118099999992</v>
      </c>
      <c r="U57" s="370">
        <f t="shared" si="22"/>
        <v>0</v>
      </c>
      <c r="V57" s="370">
        <f t="shared" si="23"/>
        <v>-1638185.3018999998</v>
      </c>
    </row>
    <row r="58" spans="1:26" ht="14.1" customHeight="1" x14ac:dyDescent="0.2">
      <c r="A58" s="41">
        <v>1500</v>
      </c>
      <c r="B58" s="375">
        <v>190</v>
      </c>
      <c r="C58" s="445" t="s">
        <v>700</v>
      </c>
      <c r="D58" s="376">
        <v>1</v>
      </c>
      <c r="E58" s="14" t="s">
        <v>177</v>
      </c>
      <c r="F58" s="14" t="s">
        <v>362</v>
      </c>
      <c r="G58" s="370">
        <f>VLOOKUP(E58,'OTP FED Pre-Tax Balances'!$A:$K,6,FALSE)</f>
        <v>4897596</v>
      </c>
      <c r="I58" s="370">
        <f t="shared" si="12"/>
        <v>1714158.5999999999</v>
      </c>
      <c r="J58" s="370">
        <f t="shared" si="13"/>
        <v>-94278.722999999998</v>
      </c>
      <c r="K58" s="370">
        <f t="shared" si="14"/>
        <v>269367.78000000003</v>
      </c>
      <c r="L58" s="370">
        <f t="shared" si="15"/>
        <v>1889247.6569999999</v>
      </c>
      <c r="N58" s="370">
        <f t="shared" si="16"/>
        <v>1028495.1599999999</v>
      </c>
      <c r="O58" s="370">
        <f t="shared" si="17"/>
        <v>-56567.233800000002</v>
      </c>
      <c r="P58" s="370">
        <f t="shared" si="18"/>
        <v>269367.78000000003</v>
      </c>
      <c r="Q58" s="370">
        <f t="shared" si="19"/>
        <v>1241295.7061999999</v>
      </c>
      <c r="S58" s="370">
        <f t="shared" si="20"/>
        <v>-685663.44</v>
      </c>
      <c r="T58" s="370">
        <f t="shared" si="21"/>
        <v>37711.489199999996</v>
      </c>
      <c r="U58" s="370">
        <f t="shared" si="22"/>
        <v>0</v>
      </c>
      <c r="V58" s="370">
        <f t="shared" si="23"/>
        <v>-647951.95079999999</v>
      </c>
    </row>
    <row r="59" spans="1:26" ht="14.1" customHeight="1" x14ac:dyDescent="0.2">
      <c r="A59" s="41">
        <v>1500</v>
      </c>
      <c r="B59" s="375">
        <v>190</v>
      </c>
      <c r="C59" s="445" t="s">
        <v>700</v>
      </c>
      <c r="D59" s="376">
        <v>1</v>
      </c>
      <c r="E59" s="14" t="s">
        <v>181</v>
      </c>
      <c r="F59" s="14" t="s">
        <v>366</v>
      </c>
      <c r="G59" s="370">
        <f>VLOOKUP(E59,'OTP FED Pre-Tax Balances'!$A:$K,6,FALSE)</f>
        <v>74274946</v>
      </c>
      <c r="I59" s="370">
        <f t="shared" si="12"/>
        <v>25996231.099999998</v>
      </c>
      <c r="J59" s="370">
        <f t="shared" si="13"/>
        <v>-1429792.7104999998</v>
      </c>
      <c r="K59" s="370">
        <f t="shared" si="14"/>
        <v>4085122.03</v>
      </c>
      <c r="L59" s="370">
        <f t="shared" si="15"/>
        <v>28651560.419500001</v>
      </c>
      <c r="N59" s="370">
        <f t="shared" si="16"/>
        <v>15597738.66</v>
      </c>
      <c r="O59" s="370">
        <f t="shared" si="17"/>
        <v>-857875.62629999989</v>
      </c>
      <c r="P59" s="370">
        <f t="shared" si="18"/>
        <v>4085122.03</v>
      </c>
      <c r="Q59" s="370">
        <f t="shared" si="19"/>
        <v>18824985.063700002</v>
      </c>
      <c r="S59" s="370">
        <f t="shared" si="20"/>
        <v>-10398492.439999998</v>
      </c>
      <c r="T59" s="370">
        <f t="shared" si="21"/>
        <v>571917.08419999992</v>
      </c>
      <c r="U59" s="370">
        <f t="shared" si="22"/>
        <v>0</v>
      </c>
      <c r="V59" s="370">
        <f t="shared" si="23"/>
        <v>-9826575.3557999972</v>
      </c>
    </row>
    <row r="60" spans="1:26" ht="14.1" customHeight="1" x14ac:dyDescent="0.2">
      <c r="A60" s="41">
        <v>1500</v>
      </c>
      <c r="B60" s="375">
        <v>190</v>
      </c>
      <c r="C60" s="445" t="s">
        <v>700</v>
      </c>
      <c r="D60" s="376">
        <v>1</v>
      </c>
      <c r="E60" s="14" t="s">
        <v>186</v>
      </c>
      <c r="F60" s="14" t="s">
        <v>371</v>
      </c>
      <c r="G60" s="370">
        <f>VLOOKUP(E60,'OTP FED Pre-Tax Balances'!$A:$K,6,FALSE)</f>
        <v>22311769</v>
      </c>
      <c r="I60" s="370">
        <f t="shared" si="12"/>
        <v>7809119.1499999994</v>
      </c>
      <c r="J60" s="370">
        <f t="shared" si="13"/>
        <v>-429501.55324999994</v>
      </c>
      <c r="K60" s="370">
        <f t="shared" si="14"/>
        <v>1227147.2949999999</v>
      </c>
      <c r="L60" s="370">
        <f t="shared" si="15"/>
        <v>8606764.8917500004</v>
      </c>
      <c r="N60" s="370">
        <f t="shared" si="16"/>
        <v>4685471.49</v>
      </c>
      <c r="O60" s="370">
        <f t="shared" si="17"/>
        <v>-257700.93194999997</v>
      </c>
      <c r="P60" s="370">
        <f t="shared" si="18"/>
        <v>1227147.2949999999</v>
      </c>
      <c r="Q60" s="370">
        <f t="shared" si="19"/>
        <v>5654917.85305</v>
      </c>
      <c r="S60" s="370">
        <f t="shared" si="20"/>
        <v>-3123647.6599999992</v>
      </c>
      <c r="T60" s="370">
        <f t="shared" si="21"/>
        <v>171800.62129999997</v>
      </c>
      <c r="U60" s="370">
        <f t="shared" si="22"/>
        <v>0</v>
      </c>
      <c r="V60" s="370">
        <f t="shared" si="23"/>
        <v>-2951847.0386999995</v>
      </c>
    </row>
    <row r="61" spans="1:26" ht="14.1" customHeight="1" x14ac:dyDescent="0.2">
      <c r="A61" s="41"/>
      <c r="C61" s="374"/>
      <c r="D61" s="375"/>
      <c r="E61" s="14"/>
      <c r="F61" s="43" t="s">
        <v>479</v>
      </c>
      <c r="G61" s="42">
        <f>SUM(G10:G60)</f>
        <v>2507345800</v>
      </c>
      <c r="I61" s="42">
        <f>SUM(I10:I60)</f>
        <v>877571029.99999988</v>
      </c>
      <c r="J61" s="42">
        <f>SUM(J10:J60)</f>
        <v>-48266406.649999969</v>
      </c>
      <c r="K61" s="42">
        <f>SUM(K10:K60)</f>
        <v>137904019</v>
      </c>
      <c r="L61" s="42">
        <f>SUM(L10:L60)</f>
        <v>967208642.3499999</v>
      </c>
      <c r="N61" s="42">
        <f>SUM(N10:N60)</f>
        <v>526542618</v>
      </c>
      <c r="O61" s="42">
        <f>SUM(O10:O60)</f>
        <v>-28959843.990000006</v>
      </c>
      <c r="P61" s="42">
        <f>SUM(P10:P60)</f>
        <v>137904019</v>
      </c>
      <c r="Q61" s="42">
        <f>SUM(Q10:Q60)</f>
        <v>635486793.00999987</v>
      </c>
      <c r="S61" s="42">
        <f>SUM(S10:S60)</f>
        <v>-351028412.00000012</v>
      </c>
      <c r="T61" s="42">
        <f>SUM(T10:T60)</f>
        <v>19306562.66</v>
      </c>
      <c r="U61" s="42">
        <f>SUM(U10:U60)</f>
        <v>0</v>
      </c>
      <c r="V61" s="42">
        <f>SUM(V10:V60)</f>
        <v>-331721849.34000003</v>
      </c>
    </row>
    <row r="62" spans="1:26" ht="14.1" customHeight="1" x14ac:dyDescent="0.2">
      <c r="A62" s="41"/>
      <c r="C62" s="374"/>
      <c r="D62" s="375"/>
      <c r="E62" s="14"/>
      <c r="F62" s="14"/>
      <c r="G62" s="370"/>
      <c r="V62" s="67"/>
    </row>
    <row r="63" spans="1:26" ht="14.1" customHeight="1" x14ac:dyDescent="0.2">
      <c r="A63" s="41">
        <v>1500</v>
      </c>
      <c r="B63" s="375">
        <v>282</v>
      </c>
      <c r="C63" s="445" t="s">
        <v>695</v>
      </c>
      <c r="D63" s="376">
        <v>30</v>
      </c>
      <c r="E63" s="14" t="s">
        <v>5</v>
      </c>
      <c r="F63" s="14" t="s">
        <v>191</v>
      </c>
      <c r="G63" s="17">
        <f>VLOOKUP(E63,'OTP FED Pre-Tax Balances'!$A:$K,6,FALSE)</f>
        <v>-33787292</v>
      </c>
      <c r="H63" s="444"/>
      <c r="I63" s="17">
        <f t="shared" ref="I63:I94" si="36">G63*$I$7</f>
        <v>-11825552.199999999</v>
      </c>
      <c r="J63" s="370">
        <f t="shared" ref="J63:J94" si="37">-K63*$I$7</f>
        <v>650405.37099999993</v>
      </c>
      <c r="K63" s="370">
        <f t="shared" ref="K63:K94" si="38">G63*$K$7</f>
        <v>-1858301.06</v>
      </c>
      <c r="L63" s="370">
        <f t="shared" ref="L63:L94" si="39">SUM(I63:K63)</f>
        <v>-13033447.889</v>
      </c>
      <c r="N63" s="370">
        <f t="shared" ref="N63:N94" si="40">G63*$N$7</f>
        <v>-7095331.3199999994</v>
      </c>
      <c r="O63" s="370">
        <f t="shared" ref="O63:O94" si="41">-P63*$N$7</f>
        <v>390243.22259999998</v>
      </c>
      <c r="P63" s="370">
        <f t="shared" ref="P63:P94" si="42">G63*$P$7</f>
        <v>-1858301.06</v>
      </c>
      <c r="Q63" s="370">
        <f t="shared" ref="Q63:Q94" si="43">SUM(N63:P63)</f>
        <v>-8563389.157399999</v>
      </c>
      <c r="S63" s="370">
        <f t="shared" ref="S63:S94" si="44">N63-I63</f>
        <v>4730220.88</v>
      </c>
      <c r="T63" s="370">
        <f t="shared" ref="T63:T94" si="45">O63-J63</f>
        <v>-260162.14839999995</v>
      </c>
      <c r="U63" s="370">
        <f t="shared" ref="U63:U94" si="46">P63-K63</f>
        <v>0</v>
      </c>
      <c r="V63" s="370">
        <f t="shared" ref="V63:V94" si="47">SUM(S63:U63)</f>
        <v>4470058.7315999996</v>
      </c>
    </row>
    <row r="64" spans="1:26" ht="14.1" customHeight="1" x14ac:dyDescent="0.2">
      <c r="A64" s="41">
        <v>1500</v>
      </c>
      <c r="B64" s="375">
        <v>282</v>
      </c>
      <c r="C64" s="445" t="s">
        <v>695</v>
      </c>
      <c r="D64" s="376">
        <v>30</v>
      </c>
      <c r="E64" s="14" t="s">
        <v>35</v>
      </c>
      <c r="F64" s="14" t="s">
        <v>221</v>
      </c>
      <c r="G64" s="17">
        <f>VLOOKUP(E64,'OTP FED Pre-Tax Balances'!$A:$K,6,FALSE)</f>
        <v>51177809</v>
      </c>
      <c r="H64" s="444"/>
      <c r="I64" s="17">
        <f t="shared" si="36"/>
        <v>17912233.149999999</v>
      </c>
      <c r="J64" s="370">
        <f t="shared" si="37"/>
        <v>-985172.82325000002</v>
      </c>
      <c r="K64" s="370">
        <f t="shared" si="38"/>
        <v>2814779.4950000001</v>
      </c>
      <c r="L64" s="370">
        <f t="shared" si="39"/>
        <v>19741839.82175</v>
      </c>
      <c r="N64" s="370">
        <f t="shared" si="40"/>
        <v>10747339.889999999</v>
      </c>
      <c r="O64" s="370">
        <f t="shared" si="41"/>
        <v>-591103.69394999999</v>
      </c>
      <c r="P64" s="370">
        <f t="shared" si="42"/>
        <v>2814779.4950000001</v>
      </c>
      <c r="Q64" s="370">
        <f t="shared" si="43"/>
        <v>12971015.69105</v>
      </c>
      <c r="S64" s="370">
        <f t="shared" si="44"/>
        <v>-7164893.2599999998</v>
      </c>
      <c r="T64" s="370">
        <f t="shared" si="45"/>
        <v>394069.12930000003</v>
      </c>
      <c r="U64" s="370">
        <f t="shared" si="46"/>
        <v>0</v>
      </c>
      <c r="V64" s="370">
        <f t="shared" si="47"/>
        <v>-6770824.1306999996</v>
      </c>
    </row>
    <row r="65" spans="1:22" ht="14.1" customHeight="1" x14ac:dyDescent="0.2">
      <c r="A65" s="41">
        <v>1500</v>
      </c>
      <c r="B65" s="375">
        <v>282</v>
      </c>
      <c r="C65" s="445" t="s">
        <v>700</v>
      </c>
      <c r="D65" s="376">
        <v>1</v>
      </c>
      <c r="E65" s="14" t="s">
        <v>36</v>
      </c>
      <c r="F65" s="14" t="s">
        <v>222</v>
      </c>
      <c r="G65" s="17">
        <f>VLOOKUP(E65,'OTP FED Pre-Tax Balances'!$A:$K,6,FALSE)</f>
        <v>661</v>
      </c>
      <c r="H65" s="444" t="s">
        <v>447</v>
      </c>
      <c r="I65" s="17">
        <f t="shared" si="36"/>
        <v>231.35</v>
      </c>
      <c r="J65" s="370">
        <f t="shared" si="37"/>
        <v>-12.724249999999998</v>
      </c>
      <c r="K65" s="370">
        <f t="shared" si="38"/>
        <v>36.354999999999997</v>
      </c>
      <c r="L65" s="370">
        <f t="shared" si="39"/>
        <v>254.98074999999997</v>
      </c>
      <c r="N65" s="370">
        <f t="shared" si="40"/>
        <v>138.81</v>
      </c>
      <c r="O65" s="370">
        <f t="shared" si="41"/>
        <v>-7.6345499999999991</v>
      </c>
      <c r="P65" s="370">
        <f t="shared" si="42"/>
        <v>36.354999999999997</v>
      </c>
      <c r="Q65" s="370">
        <f t="shared" si="43"/>
        <v>167.53045</v>
      </c>
      <c r="S65" s="370">
        <f t="shared" si="44"/>
        <v>-92.539999999999992</v>
      </c>
      <c r="T65" s="370">
        <f t="shared" si="45"/>
        <v>5.0896999999999988</v>
      </c>
      <c r="U65" s="370">
        <f t="shared" si="46"/>
        <v>0</v>
      </c>
      <c r="V65" s="370">
        <f t="shared" si="47"/>
        <v>-87.450299999999999</v>
      </c>
    </row>
    <row r="66" spans="1:22" ht="14.1" customHeight="1" x14ac:dyDescent="0.2">
      <c r="A66" s="41">
        <v>1500</v>
      </c>
      <c r="B66" s="375">
        <v>282</v>
      </c>
      <c r="C66" s="445" t="s">
        <v>695</v>
      </c>
      <c r="D66" s="376">
        <v>30</v>
      </c>
      <c r="E66" s="14" t="s">
        <v>45</v>
      </c>
      <c r="F66" s="14" t="s">
        <v>231</v>
      </c>
      <c r="G66" s="17">
        <f>VLOOKUP(E66,'OTP FED Pre-Tax Balances'!$A:$K,4,FALSE)</f>
        <v>-1184329452</v>
      </c>
      <c r="H66" s="444"/>
      <c r="I66" s="17">
        <f t="shared" si="36"/>
        <v>-414515308.19999999</v>
      </c>
      <c r="J66" s="370">
        <f t="shared" si="37"/>
        <v>22798341.950999998</v>
      </c>
      <c r="K66" s="370">
        <f t="shared" si="38"/>
        <v>-65138119.859999999</v>
      </c>
      <c r="L66" s="370">
        <f t="shared" si="39"/>
        <v>-456855086.10900003</v>
      </c>
      <c r="N66" s="370">
        <f t="shared" si="40"/>
        <v>-248709184.91999999</v>
      </c>
      <c r="O66" s="370">
        <f t="shared" si="41"/>
        <v>13679005.170599999</v>
      </c>
      <c r="P66" s="370">
        <f t="shared" si="42"/>
        <v>-65138119.859999999</v>
      </c>
      <c r="Q66" s="370">
        <f t="shared" si="43"/>
        <v>-300168299.60939997</v>
      </c>
      <c r="S66" s="370">
        <f t="shared" si="44"/>
        <v>165806123.28</v>
      </c>
      <c r="T66" s="370">
        <f t="shared" si="45"/>
        <v>-9119336.7803999986</v>
      </c>
      <c r="U66" s="370">
        <f t="shared" si="46"/>
        <v>0</v>
      </c>
      <c r="V66" s="17">
        <f t="shared" si="47"/>
        <v>156686786.49959999</v>
      </c>
    </row>
    <row r="67" spans="1:22" ht="14.1" customHeight="1" x14ac:dyDescent="0.2">
      <c r="A67" s="41">
        <v>1500</v>
      </c>
      <c r="B67" s="375">
        <v>282</v>
      </c>
      <c r="C67" s="445" t="s">
        <v>695</v>
      </c>
      <c r="D67" s="376">
        <v>30</v>
      </c>
      <c r="E67" s="14" t="s">
        <v>45</v>
      </c>
      <c r="F67" s="14" t="s">
        <v>464</v>
      </c>
      <c r="G67" s="17">
        <f>VLOOKUP(E67,'OTP FED Pre-Tax Balances'!$A:$K,5,FALSE)</f>
        <v>-63831</v>
      </c>
      <c r="H67" s="444" t="s">
        <v>447</v>
      </c>
      <c r="I67" s="17">
        <f t="shared" si="36"/>
        <v>-22340.85</v>
      </c>
      <c r="J67" s="370">
        <f t="shared" si="37"/>
        <v>1228.7467499999998</v>
      </c>
      <c r="K67" s="370">
        <f t="shared" si="38"/>
        <v>-3510.7049999999999</v>
      </c>
      <c r="L67" s="370">
        <f t="shared" si="39"/>
        <v>-24622.808250000002</v>
      </c>
      <c r="N67" s="370">
        <f t="shared" si="40"/>
        <v>-13404.51</v>
      </c>
      <c r="O67" s="370">
        <f t="shared" si="41"/>
        <v>737.24804999999992</v>
      </c>
      <c r="P67" s="370">
        <f t="shared" si="42"/>
        <v>-3510.7049999999999</v>
      </c>
      <c r="Q67" s="370">
        <f t="shared" si="43"/>
        <v>-16177.96695</v>
      </c>
      <c r="S67" s="370">
        <f t="shared" si="44"/>
        <v>8936.3399999999983</v>
      </c>
      <c r="T67" s="370">
        <f t="shared" si="45"/>
        <v>-491.49869999999987</v>
      </c>
      <c r="U67" s="370">
        <f t="shared" si="46"/>
        <v>0</v>
      </c>
      <c r="V67" s="17">
        <f t="shared" si="47"/>
        <v>8444.8412999999982</v>
      </c>
    </row>
    <row r="68" spans="1:22" ht="14.1" customHeight="1" x14ac:dyDescent="0.2">
      <c r="A68" s="63" t="s">
        <v>483</v>
      </c>
      <c r="B68" s="375">
        <v>282</v>
      </c>
      <c r="C68" s="445" t="s">
        <v>699</v>
      </c>
      <c r="D68" s="376">
        <v>1</v>
      </c>
      <c r="E68" s="14" t="s">
        <v>45</v>
      </c>
      <c r="F68" s="14" t="s">
        <v>231</v>
      </c>
      <c r="G68" s="17">
        <f>VLOOKUP(E68,'OTP FED Pre-Tax Balances'!$A:$K,7,FALSE)</f>
        <v>-10855470</v>
      </c>
      <c r="H68" s="17"/>
      <c r="I68" s="17">
        <f t="shared" si="36"/>
        <v>-3799414.4999999995</v>
      </c>
      <c r="J68" s="370">
        <f t="shared" si="37"/>
        <v>208967.79749999999</v>
      </c>
      <c r="K68" s="370">
        <f t="shared" si="38"/>
        <v>-597050.85</v>
      </c>
      <c r="L68" s="370">
        <f t="shared" si="39"/>
        <v>-4187497.5524999998</v>
      </c>
      <c r="N68" s="370">
        <f t="shared" si="40"/>
        <v>-2279648.6999999997</v>
      </c>
      <c r="O68" s="370">
        <f t="shared" si="41"/>
        <v>125380.67849999999</v>
      </c>
      <c r="P68" s="370">
        <f t="shared" si="42"/>
        <v>-597050.85</v>
      </c>
      <c r="Q68" s="370">
        <f t="shared" si="43"/>
        <v>-2751318.8714999999</v>
      </c>
      <c r="S68" s="370">
        <f t="shared" si="44"/>
        <v>1519765.7999999998</v>
      </c>
      <c r="T68" s="370">
        <f t="shared" si="45"/>
        <v>-83587.118999999992</v>
      </c>
      <c r="U68" s="370">
        <f t="shared" si="46"/>
        <v>0</v>
      </c>
      <c r="V68" s="17">
        <f t="shared" si="47"/>
        <v>1436178.6809999999</v>
      </c>
    </row>
    <row r="69" spans="1:22" ht="14.1" customHeight="1" x14ac:dyDescent="0.2">
      <c r="A69" s="63">
        <v>1508</v>
      </c>
      <c r="B69" s="375">
        <v>282</v>
      </c>
      <c r="C69" s="445" t="s">
        <v>489</v>
      </c>
      <c r="D69" s="376">
        <v>20</v>
      </c>
      <c r="E69" s="14" t="s">
        <v>45</v>
      </c>
      <c r="F69" s="14" t="s">
        <v>231</v>
      </c>
      <c r="G69" s="17">
        <f>VLOOKUP(E69,'OTP FED Pre-Tax Balances'!$A:$K,8,FALSE)</f>
        <v>434568750</v>
      </c>
      <c r="H69" s="17"/>
      <c r="I69" s="17">
        <f t="shared" si="36"/>
        <v>152099062.5</v>
      </c>
      <c r="J69" s="370">
        <f t="shared" si="37"/>
        <v>-8365448.4374999991</v>
      </c>
      <c r="K69" s="370">
        <f t="shared" si="38"/>
        <v>23901281.25</v>
      </c>
      <c r="L69" s="370">
        <f t="shared" si="39"/>
        <v>167634895.3125</v>
      </c>
      <c r="N69" s="370">
        <f t="shared" si="40"/>
        <v>91259437.5</v>
      </c>
      <c r="O69" s="370">
        <f t="shared" si="41"/>
        <v>-5019269.0625</v>
      </c>
      <c r="P69" s="370">
        <f t="shared" si="42"/>
        <v>23901281.25</v>
      </c>
      <c r="Q69" s="370">
        <f t="shared" si="43"/>
        <v>110141449.6875</v>
      </c>
      <c r="S69" s="370">
        <f t="shared" si="44"/>
        <v>-60839625</v>
      </c>
      <c r="T69" s="370">
        <f t="shared" si="45"/>
        <v>3346179.3749999991</v>
      </c>
      <c r="U69" s="370">
        <f t="shared" si="46"/>
        <v>0</v>
      </c>
      <c r="V69" s="17">
        <f t="shared" si="47"/>
        <v>-57493445.625</v>
      </c>
    </row>
    <row r="70" spans="1:22" ht="14.1" customHeight="1" x14ac:dyDescent="0.2">
      <c r="A70" s="41">
        <v>1500</v>
      </c>
      <c r="B70" s="375">
        <v>282</v>
      </c>
      <c r="C70" s="445" t="s">
        <v>702</v>
      </c>
      <c r="D70" s="376">
        <v>10</v>
      </c>
      <c r="E70" s="14" t="s">
        <v>46</v>
      </c>
      <c r="F70" s="14" t="s">
        <v>232</v>
      </c>
      <c r="G70" s="17">
        <f>VLOOKUP(E70,'OTP FED Pre-Tax Balances'!$A:$K,6,FALSE)</f>
        <v>370901893</v>
      </c>
      <c r="H70" s="444"/>
      <c r="I70" s="17">
        <f t="shared" si="36"/>
        <v>129815662.55</v>
      </c>
      <c r="J70" s="370">
        <f t="shared" si="37"/>
        <v>-7139861.4402499991</v>
      </c>
      <c r="K70" s="370">
        <f t="shared" si="38"/>
        <v>20399604.114999998</v>
      </c>
      <c r="L70" s="370">
        <f t="shared" si="39"/>
        <v>143075405.22475001</v>
      </c>
      <c r="N70" s="370">
        <f t="shared" si="40"/>
        <v>77889397.530000001</v>
      </c>
      <c r="O70" s="370">
        <f t="shared" si="41"/>
        <v>-4283916.8641499998</v>
      </c>
      <c r="P70" s="370">
        <f t="shared" si="42"/>
        <v>20399604.114999998</v>
      </c>
      <c r="Q70" s="370">
        <f t="shared" si="43"/>
        <v>94005084.780849993</v>
      </c>
      <c r="S70" s="370">
        <f t="shared" si="44"/>
        <v>-51926265.019999996</v>
      </c>
      <c r="T70" s="370">
        <f t="shared" si="45"/>
        <v>2855944.5760999992</v>
      </c>
      <c r="U70" s="370">
        <f t="shared" si="46"/>
        <v>0</v>
      </c>
      <c r="V70" s="370">
        <f t="shared" si="47"/>
        <v>-49070320.443899997</v>
      </c>
    </row>
    <row r="71" spans="1:22" ht="14.1" customHeight="1" x14ac:dyDescent="0.2">
      <c r="A71" s="63" t="s">
        <v>483</v>
      </c>
      <c r="B71" s="375">
        <v>282</v>
      </c>
      <c r="C71" s="445" t="s">
        <v>699</v>
      </c>
      <c r="D71" s="376">
        <v>1</v>
      </c>
      <c r="E71" s="14" t="s">
        <v>46</v>
      </c>
      <c r="F71" s="14" t="s">
        <v>232</v>
      </c>
      <c r="G71" s="17">
        <f>VLOOKUP(E71,'OTP FED Pre-Tax Balances'!$A:$K,7,FALSE)</f>
        <v>-5540839</v>
      </c>
      <c r="H71" s="17"/>
      <c r="I71" s="17">
        <f t="shared" si="36"/>
        <v>-1939293.65</v>
      </c>
      <c r="J71" s="370">
        <f t="shared" si="37"/>
        <v>106661.15075</v>
      </c>
      <c r="K71" s="370">
        <f t="shared" si="38"/>
        <v>-304746.14500000002</v>
      </c>
      <c r="L71" s="370">
        <f t="shared" si="39"/>
        <v>-2137378.6442499999</v>
      </c>
      <c r="N71" s="370">
        <f t="shared" si="40"/>
        <v>-1163576.19</v>
      </c>
      <c r="O71" s="370">
        <f t="shared" si="41"/>
        <v>63996.690450000002</v>
      </c>
      <c r="P71" s="370">
        <f t="shared" si="42"/>
        <v>-304746.14500000002</v>
      </c>
      <c r="Q71" s="370">
        <f t="shared" si="43"/>
        <v>-1404325.6445499999</v>
      </c>
      <c r="S71" s="370">
        <f t="shared" si="44"/>
        <v>775717.46</v>
      </c>
      <c r="T71" s="370">
        <f t="shared" si="45"/>
        <v>-42664.460299999999</v>
      </c>
      <c r="U71" s="370">
        <f t="shared" si="46"/>
        <v>0</v>
      </c>
      <c r="V71" s="17">
        <f t="shared" si="47"/>
        <v>733052.99969999993</v>
      </c>
    </row>
    <row r="72" spans="1:22" ht="14.1" customHeight="1" x14ac:dyDescent="0.2">
      <c r="A72" s="41">
        <v>1500</v>
      </c>
      <c r="B72" s="375">
        <v>282</v>
      </c>
      <c r="C72" s="445" t="s">
        <v>695</v>
      </c>
      <c r="D72" s="376">
        <v>30</v>
      </c>
      <c r="E72" s="14" t="s">
        <v>47</v>
      </c>
      <c r="F72" s="14" t="s">
        <v>233</v>
      </c>
      <c r="G72" s="17">
        <f>VLOOKUP(E72,'OTP FED Pre-Tax Balances'!$A:$K,6,FALSE)</f>
        <v>2134862495</v>
      </c>
      <c r="H72" s="444"/>
      <c r="I72" s="17">
        <f t="shared" si="36"/>
        <v>747201873.25</v>
      </c>
      <c r="J72" s="370">
        <f t="shared" si="37"/>
        <v>-41096103.028749995</v>
      </c>
      <c r="K72" s="370">
        <f t="shared" si="38"/>
        <v>117417437.22499999</v>
      </c>
      <c r="L72" s="370">
        <f t="shared" si="39"/>
        <v>823523207.44625008</v>
      </c>
      <c r="N72" s="370">
        <f t="shared" si="40"/>
        <v>448321123.94999999</v>
      </c>
      <c r="O72" s="370">
        <f t="shared" si="41"/>
        <v>-24657661.817249998</v>
      </c>
      <c r="P72" s="370">
        <f t="shared" si="42"/>
        <v>117417437.22499999</v>
      </c>
      <c r="Q72" s="370">
        <f t="shared" si="43"/>
        <v>541080899.35774994</v>
      </c>
      <c r="S72" s="370">
        <f t="shared" si="44"/>
        <v>-298880749.30000001</v>
      </c>
      <c r="T72" s="370">
        <f t="shared" si="45"/>
        <v>16438441.211499996</v>
      </c>
      <c r="U72" s="370">
        <f t="shared" si="46"/>
        <v>0</v>
      </c>
      <c r="V72" s="17">
        <f t="shared" si="47"/>
        <v>-282442308.08850002</v>
      </c>
    </row>
    <row r="73" spans="1:22" ht="14.1" customHeight="1" x14ac:dyDescent="0.2">
      <c r="A73" s="41">
        <v>1500</v>
      </c>
      <c r="B73" s="375">
        <v>282</v>
      </c>
      <c r="C73" s="445" t="s">
        <v>695</v>
      </c>
      <c r="D73" s="376">
        <v>30</v>
      </c>
      <c r="E73" s="14" t="s">
        <v>48</v>
      </c>
      <c r="F73" s="14" t="s">
        <v>234</v>
      </c>
      <c r="G73" s="17">
        <f>VLOOKUP(E73,'OTP FED Pre-Tax Balances'!$A:$K,6,FALSE)</f>
        <v>-59841401</v>
      </c>
      <c r="H73" s="444"/>
      <c r="I73" s="17">
        <f t="shared" si="36"/>
        <v>-20944490.349999998</v>
      </c>
      <c r="J73" s="370">
        <f t="shared" si="37"/>
        <v>1151946.9692500001</v>
      </c>
      <c r="K73" s="370">
        <f t="shared" si="38"/>
        <v>-3291277.0550000002</v>
      </c>
      <c r="L73" s="370">
        <f t="shared" si="39"/>
        <v>-23083820.435749996</v>
      </c>
      <c r="N73" s="370">
        <f t="shared" si="40"/>
        <v>-12566694.209999999</v>
      </c>
      <c r="O73" s="370">
        <f t="shared" si="41"/>
        <v>691168.18154999998</v>
      </c>
      <c r="P73" s="370">
        <f t="shared" si="42"/>
        <v>-3291277.0550000002</v>
      </c>
      <c r="Q73" s="370">
        <f t="shared" si="43"/>
        <v>-15166803.083449999</v>
      </c>
      <c r="S73" s="370">
        <f t="shared" si="44"/>
        <v>8377796.1399999987</v>
      </c>
      <c r="T73" s="370">
        <f t="shared" si="45"/>
        <v>-460778.7877000001</v>
      </c>
      <c r="U73" s="370">
        <f t="shared" si="46"/>
        <v>0</v>
      </c>
      <c r="V73" s="370">
        <f t="shared" si="47"/>
        <v>7917017.3522999985</v>
      </c>
    </row>
    <row r="74" spans="1:22" ht="14.1" customHeight="1" x14ac:dyDescent="0.2">
      <c r="A74" s="41">
        <v>1500</v>
      </c>
      <c r="B74" s="375">
        <v>282</v>
      </c>
      <c r="C74" s="445" t="s">
        <v>701</v>
      </c>
      <c r="D74" s="376">
        <v>30</v>
      </c>
      <c r="E74" s="14" t="s">
        <v>49</v>
      </c>
      <c r="F74" s="14" t="s">
        <v>235</v>
      </c>
      <c r="G74" s="17">
        <f>VLOOKUP(E74,'OTP FED Pre-Tax Balances'!$A:$K,6,FALSE)</f>
        <v>6779781</v>
      </c>
      <c r="H74" s="444"/>
      <c r="I74" s="17">
        <f t="shared" si="36"/>
        <v>2372923.3499999996</v>
      </c>
      <c r="J74" s="370">
        <f t="shared" si="37"/>
        <v>-130510.78425</v>
      </c>
      <c r="K74" s="370">
        <f t="shared" si="38"/>
        <v>372887.95500000002</v>
      </c>
      <c r="L74" s="370">
        <f t="shared" si="39"/>
        <v>2615300.5207499997</v>
      </c>
      <c r="N74" s="370">
        <f t="shared" si="40"/>
        <v>1423754.01</v>
      </c>
      <c r="O74" s="370">
        <f t="shared" si="41"/>
        <v>-78306.470549999998</v>
      </c>
      <c r="P74" s="370">
        <f t="shared" si="42"/>
        <v>372887.95500000002</v>
      </c>
      <c r="Q74" s="370">
        <f t="shared" si="43"/>
        <v>1718335.4944500001</v>
      </c>
      <c r="S74" s="370">
        <f t="shared" si="44"/>
        <v>-949169.33999999962</v>
      </c>
      <c r="T74" s="370">
        <f t="shared" si="45"/>
        <v>52204.313699999999</v>
      </c>
      <c r="U74" s="370">
        <f t="shared" si="46"/>
        <v>0</v>
      </c>
      <c r="V74" s="370">
        <f t="shared" si="47"/>
        <v>-896965.02629999956</v>
      </c>
    </row>
    <row r="75" spans="1:22" ht="14.1" customHeight="1" x14ac:dyDescent="0.2">
      <c r="A75" s="41">
        <v>1500</v>
      </c>
      <c r="B75" s="375">
        <v>282</v>
      </c>
      <c r="C75" s="445" t="s">
        <v>695</v>
      </c>
      <c r="D75" s="376">
        <v>30</v>
      </c>
      <c r="E75" s="14" t="s">
        <v>56</v>
      </c>
      <c r="F75" s="14" t="s">
        <v>242</v>
      </c>
      <c r="G75" s="17">
        <f>VLOOKUP(E75,'OTP FED Pre-Tax Balances'!$A:$K,4,FALSE)</f>
        <v>-1384603982</v>
      </c>
      <c r="H75" s="444"/>
      <c r="I75" s="17">
        <f t="shared" si="36"/>
        <v>-484611393.69999999</v>
      </c>
      <c r="J75" s="370">
        <f t="shared" si="37"/>
        <v>26653626.653500002</v>
      </c>
      <c r="K75" s="370">
        <f t="shared" si="38"/>
        <v>-76153219.010000005</v>
      </c>
      <c r="L75" s="370">
        <f t="shared" si="39"/>
        <v>-534110986.05649996</v>
      </c>
      <c r="N75" s="370">
        <f t="shared" si="40"/>
        <v>-290766836.21999997</v>
      </c>
      <c r="O75" s="370">
        <f t="shared" si="41"/>
        <v>15992175.9921</v>
      </c>
      <c r="P75" s="370">
        <f t="shared" si="42"/>
        <v>-76153219.010000005</v>
      </c>
      <c r="Q75" s="370">
        <f t="shared" si="43"/>
        <v>-350927879.23789996</v>
      </c>
      <c r="S75" s="370">
        <f t="shared" si="44"/>
        <v>193844557.48000002</v>
      </c>
      <c r="T75" s="370">
        <f t="shared" si="45"/>
        <v>-10661450.661400001</v>
      </c>
      <c r="U75" s="370">
        <f t="shared" si="46"/>
        <v>0</v>
      </c>
      <c r="V75" s="17">
        <f t="shared" si="47"/>
        <v>183183106.81860003</v>
      </c>
    </row>
    <row r="76" spans="1:22" ht="14.1" customHeight="1" x14ac:dyDescent="0.2">
      <c r="A76" s="41">
        <v>1500</v>
      </c>
      <c r="B76" s="375">
        <v>282</v>
      </c>
      <c r="C76" s="445" t="s">
        <v>695</v>
      </c>
      <c r="D76" s="376">
        <v>30</v>
      </c>
      <c r="E76" s="14" t="s">
        <v>56</v>
      </c>
      <c r="F76" s="14" t="s">
        <v>463</v>
      </c>
      <c r="G76" s="17">
        <f>VLOOKUP(E76,'OTP FED Pre-Tax Balances'!$A:$K,5,FALSE)</f>
        <v>-446820</v>
      </c>
      <c r="H76" s="444" t="s">
        <v>447</v>
      </c>
      <c r="I76" s="17">
        <f t="shared" si="36"/>
        <v>-156387</v>
      </c>
      <c r="J76" s="370">
        <f t="shared" si="37"/>
        <v>8601.2849999999999</v>
      </c>
      <c r="K76" s="370">
        <f t="shared" si="38"/>
        <v>-24575.1</v>
      </c>
      <c r="L76" s="370">
        <f t="shared" si="39"/>
        <v>-172360.815</v>
      </c>
      <c r="N76" s="370">
        <f t="shared" si="40"/>
        <v>-93832.2</v>
      </c>
      <c r="O76" s="370">
        <f t="shared" si="41"/>
        <v>5160.7709999999997</v>
      </c>
      <c r="P76" s="370">
        <f t="shared" si="42"/>
        <v>-24575.1</v>
      </c>
      <c r="Q76" s="370">
        <f t="shared" si="43"/>
        <v>-113246.52900000001</v>
      </c>
      <c r="S76" s="370">
        <f t="shared" si="44"/>
        <v>62554.8</v>
      </c>
      <c r="T76" s="370">
        <f t="shared" si="45"/>
        <v>-3440.5140000000001</v>
      </c>
      <c r="U76" s="370">
        <f t="shared" si="46"/>
        <v>0</v>
      </c>
      <c r="V76" s="17">
        <f t="shared" si="47"/>
        <v>59114.286</v>
      </c>
    </row>
    <row r="77" spans="1:22" ht="14.1" customHeight="1" x14ac:dyDescent="0.2">
      <c r="A77" s="41">
        <v>1500</v>
      </c>
      <c r="B77" s="375">
        <v>282</v>
      </c>
      <c r="C77" s="445" t="s">
        <v>701</v>
      </c>
      <c r="D77" s="376">
        <v>30</v>
      </c>
      <c r="E77" s="14" t="s">
        <v>57</v>
      </c>
      <c r="F77" s="14" t="s">
        <v>243</v>
      </c>
      <c r="G77" s="17">
        <f>VLOOKUP(E77,'OTP FED Pre-Tax Balances'!$A:$K,6,FALSE)</f>
        <v>87006154</v>
      </c>
      <c r="H77" s="444"/>
      <c r="I77" s="17">
        <f t="shared" si="36"/>
        <v>30452153.899999999</v>
      </c>
      <c r="J77" s="370">
        <f t="shared" si="37"/>
        <v>-1674868.4644999998</v>
      </c>
      <c r="K77" s="370">
        <f t="shared" si="38"/>
        <v>4785338.47</v>
      </c>
      <c r="L77" s="370">
        <f t="shared" si="39"/>
        <v>33562623.905500002</v>
      </c>
      <c r="N77" s="370">
        <f t="shared" si="40"/>
        <v>18271292.34</v>
      </c>
      <c r="O77" s="370">
        <f t="shared" si="41"/>
        <v>-1004921.0787</v>
      </c>
      <c r="P77" s="370">
        <f t="shared" si="42"/>
        <v>4785338.47</v>
      </c>
      <c r="Q77" s="370">
        <f t="shared" si="43"/>
        <v>22051709.7313</v>
      </c>
      <c r="S77" s="370">
        <f t="shared" si="44"/>
        <v>-12180861.559999999</v>
      </c>
      <c r="T77" s="370">
        <f t="shared" si="45"/>
        <v>669947.38579999981</v>
      </c>
      <c r="U77" s="370">
        <f t="shared" si="46"/>
        <v>0</v>
      </c>
      <c r="V77" s="370">
        <f t="shared" si="47"/>
        <v>-11510914.174199998</v>
      </c>
    </row>
    <row r="78" spans="1:22" ht="14.1" customHeight="1" x14ac:dyDescent="0.2">
      <c r="A78" s="41">
        <v>1500</v>
      </c>
      <c r="B78" s="375">
        <v>282</v>
      </c>
      <c r="C78" s="445" t="s">
        <v>695</v>
      </c>
      <c r="D78" s="376">
        <v>30</v>
      </c>
      <c r="E78" s="14" t="s">
        <v>58</v>
      </c>
      <c r="F78" s="14" t="s">
        <v>244</v>
      </c>
      <c r="G78" s="17">
        <f>VLOOKUP(E78,'OTP FED Pre-Tax Balances'!$A:$K,6,FALSE)</f>
        <v>-3497935</v>
      </c>
      <c r="H78" s="444"/>
      <c r="I78" s="17">
        <f t="shared" si="36"/>
        <v>-1224277.25</v>
      </c>
      <c r="J78" s="370">
        <f t="shared" si="37"/>
        <v>67335.248749999999</v>
      </c>
      <c r="K78" s="370">
        <f t="shared" si="38"/>
        <v>-192386.42499999999</v>
      </c>
      <c r="L78" s="370">
        <f t="shared" si="39"/>
        <v>-1349328.42625</v>
      </c>
      <c r="N78" s="370">
        <f t="shared" si="40"/>
        <v>-734566.35</v>
      </c>
      <c r="O78" s="370">
        <f t="shared" si="41"/>
        <v>40401.149249999995</v>
      </c>
      <c r="P78" s="370">
        <f t="shared" si="42"/>
        <v>-192386.42499999999</v>
      </c>
      <c r="Q78" s="370">
        <f t="shared" si="43"/>
        <v>-886551.62574999989</v>
      </c>
      <c r="S78" s="370">
        <f t="shared" si="44"/>
        <v>489710.9</v>
      </c>
      <c r="T78" s="370">
        <f t="shared" si="45"/>
        <v>-26934.099500000004</v>
      </c>
      <c r="U78" s="370">
        <f t="shared" si="46"/>
        <v>0</v>
      </c>
      <c r="V78" s="370">
        <f t="shared" si="47"/>
        <v>462776.80050000001</v>
      </c>
    </row>
    <row r="79" spans="1:22" ht="14.1" customHeight="1" x14ac:dyDescent="0.2">
      <c r="A79" s="41">
        <v>1500</v>
      </c>
      <c r="B79" s="375">
        <v>282</v>
      </c>
      <c r="C79" s="445" t="s">
        <v>695</v>
      </c>
      <c r="D79" s="376">
        <v>30</v>
      </c>
      <c r="E79" s="14" t="s">
        <v>59</v>
      </c>
      <c r="F79" s="14" t="s">
        <v>245</v>
      </c>
      <c r="G79" s="17">
        <f>VLOOKUP(E79,'OTP FED Pre-Tax Balances'!$A:$K,6,FALSE)</f>
        <v>-2524080</v>
      </c>
      <c r="H79" s="444"/>
      <c r="I79" s="17">
        <f t="shared" si="36"/>
        <v>-883428</v>
      </c>
      <c r="J79" s="370">
        <f t="shared" si="37"/>
        <v>48588.539999999994</v>
      </c>
      <c r="K79" s="370">
        <f t="shared" si="38"/>
        <v>-138824.4</v>
      </c>
      <c r="L79" s="370">
        <f t="shared" si="39"/>
        <v>-973663.86</v>
      </c>
      <c r="N79" s="370">
        <f t="shared" si="40"/>
        <v>-530056.79999999993</v>
      </c>
      <c r="O79" s="370">
        <f t="shared" si="41"/>
        <v>29153.123999999996</v>
      </c>
      <c r="P79" s="370">
        <f t="shared" si="42"/>
        <v>-138824.4</v>
      </c>
      <c r="Q79" s="370">
        <f t="shared" si="43"/>
        <v>-639728.07599999988</v>
      </c>
      <c r="S79" s="370">
        <f t="shared" si="44"/>
        <v>353371.20000000007</v>
      </c>
      <c r="T79" s="370">
        <f t="shared" si="45"/>
        <v>-19435.415999999997</v>
      </c>
      <c r="U79" s="370">
        <f t="shared" si="46"/>
        <v>0</v>
      </c>
      <c r="V79" s="370">
        <f t="shared" si="47"/>
        <v>333935.7840000001</v>
      </c>
    </row>
    <row r="80" spans="1:22" ht="14.1" customHeight="1" x14ac:dyDescent="0.2">
      <c r="A80" s="41">
        <v>1500</v>
      </c>
      <c r="B80" s="375">
        <v>282</v>
      </c>
      <c r="C80" s="445" t="s">
        <v>695</v>
      </c>
      <c r="D80" s="376">
        <v>30</v>
      </c>
      <c r="E80" s="14" t="s">
        <v>462</v>
      </c>
      <c r="F80" s="14" t="s">
        <v>461</v>
      </c>
      <c r="G80" s="17">
        <f>VLOOKUP(E80,'OTP FED Pre-Tax Balances'!$A:$K,6,FALSE)</f>
        <v>101066</v>
      </c>
      <c r="H80" s="444" t="s">
        <v>447</v>
      </c>
      <c r="I80" s="17">
        <f t="shared" si="36"/>
        <v>35373.1</v>
      </c>
      <c r="J80" s="370">
        <f t="shared" si="37"/>
        <v>-1945.5204999999999</v>
      </c>
      <c r="K80" s="370">
        <f t="shared" si="38"/>
        <v>5558.63</v>
      </c>
      <c r="L80" s="370">
        <f t="shared" si="39"/>
        <v>38986.209499999997</v>
      </c>
      <c r="N80" s="370">
        <f t="shared" si="40"/>
        <v>21223.86</v>
      </c>
      <c r="O80" s="370">
        <f t="shared" si="41"/>
        <v>-1167.3123000000001</v>
      </c>
      <c r="P80" s="370">
        <f t="shared" si="42"/>
        <v>5558.63</v>
      </c>
      <c r="Q80" s="370">
        <f t="shared" si="43"/>
        <v>25615.1777</v>
      </c>
      <c r="S80" s="370">
        <f t="shared" si="44"/>
        <v>-14149.239999999998</v>
      </c>
      <c r="T80" s="370">
        <f t="shared" si="45"/>
        <v>778.20819999999981</v>
      </c>
      <c r="U80" s="370">
        <f t="shared" si="46"/>
        <v>0</v>
      </c>
      <c r="V80" s="17">
        <f t="shared" si="47"/>
        <v>-13371.031799999999</v>
      </c>
    </row>
    <row r="81" spans="1:22" ht="14.1" customHeight="1" x14ac:dyDescent="0.2">
      <c r="A81" s="41">
        <v>1500</v>
      </c>
      <c r="B81" s="375">
        <v>282</v>
      </c>
      <c r="C81" s="445" t="s">
        <v>695</v>
      </c>
      <c r="D81" s="376">
        <v>30</v>
      </c>
      <c r="E81" s="14" t="s">
        <v>456</v>
      </c>
      <c r="F81" s="14" t="s">
        <v>455</v>
      </c>
      <c r="G81" s="17">
        <f>VLOOKUP(E81,'OTP FED Pre-Tax Balances'!$A:$K,6,FALSE)</f>
        <v>-21004256712</v>
      </c>
      <c r="H81" s="444"/>
      <c r="I81" s="17">
        <f t="shared" si="36"/>
        <v>-7351489849.1999998</v>
      </c>
      <c r="J81" s="370">
        <f t="shared" si="37"/>
        <v>404331941.70600003</v>
      </c>
      <c r="K81" s="370">
        <f t="shared" si="38"/>
        <v>-1155234119.1600001</v>
      </c>
      <c r="L81" s="370">
        <f t="shared" si="39"/>
        <v>-8102392026.6539993</v>
      </c>
      <c r="N81" s="370">
        <f t="shared" si="40"/>
        <v>-4410893909.5199995</v>
      </c>
      <c r="O81" s="370">
        <f t="shared" si="41"/>
        <v>242599165.02360001</v>
      </c>
      <c r="P81" s="370">
        <f t="shared" si="42"/>
        <v>-1155234119.1600001</v>
      </c>
      <c r="Q81" s="370">
        <f t="shared" si="43"/>
        <v>-5323528863.6563997</v>
      </c>
      <c r="S81" s="370">
        <f t="shared" si="44"/>
        <v>2940595939.6800003</v>
      </c>
      <c r="T81" s="370">
        <f t="shared" si="45"/>
        <v>-161732776.68240002</v>
      </c>
      <c r="U81" s="370">
        <f t="shared" si="46"/>
        <v>0</v>
      </c>
      <c r="V81" s="17">
        <f t="shared" si="47"/>
        <v>2778863162.9976001</v>
      </c>
    </row>
    <row r="82" spans="1:22" ht="14.1" customHeight="1" x14ac:dyDescent="0.2">
      <c r="A82" s="63">
        <v>1508</v>
      </c>
      <c r="B82" s="375">
        <v>282</v>
      </c>
      <c r="C82" s="445" t="s">
        <v>699</v>
      </c>
      <c r="D82" s="376">
        <v>20</v>
      </c>
      <c r="E82" s="14" t="s">
        <v>60</v>
      </c>
      <c r="F82" s="14" t="s">
        <v>246</v>
      </c>
      <c r="G82" s="17">
        <f>VLOOKUP(E82,'OTP FED Pre-Tax Balances'!$A:$K,8,FALSE)</f>
        <v>10885315</v>
      </c>
      <c r="H82" s="17"/>
      <c r="I82" s="17">
        <f t="shared" si="36"/>
        <v>3809860.2499999995</v>
      </c>
      <c r="J82" s="370">
        <f t="shared" si="37"/>
        <v>-209542.31374999997</v>
      </c>
      <c r="K82" s="370">
        <f t="shared" si="38"/>
        <v>598692.32499999995</v>
      </c>
      <c r="L82" s="370">
        <f t="shared" si="39"/>
        <v>4199010.2612499995</v>
      </c>
      <c r="N82" s="370">
        <f t="shared" si="40"/>
        <v>2285916.15</v>
      </c>
      <c r="O82" s="370">
        <f t="shared" si="41"/>
        <v>-125725.38824999999</v>
      </c>
      <c r="P82" s="370">
        <f t="shared" si="42"/>
        <v>598692.32499999995</v>
      </c>
      <c r="Q82" s="370">
        <f t="shared" si="43"/>
        <v>2758883.0867499998</v>
      </c>
      <c r="S82" s="370">
        <f t="shared" si="44"/>
        <v>-1523944.0999999996</v>
      </c>
      <c r="T82" s="370">
        <f t="shared" si="45"/>
        <v>83816.925499999983</v>
      </c>
      <c r="U82" s="370">
        <f t="shared" si="46"/>
        <v>0</v>
      </c>
      <c r="V82" s="17">
        <f t="shared" si="47"/>
        <v>-1440127.1744999997</v>
      </c>
    </row>
    <row r="83" spans="1:22" ht="14.1" customHeight="1" x14ac:dyDescent="0.2">
      <c r="A83" s="63">
        <v>1508</v>
      </c>
      <c r="B83" s="375">
        <v>282</v>
      </c>
      <c r="C83" s="445" t="s">
        <v>699</v>
      </c>
      <c r="D83" s="376">
        <v>20</v>
      </c>
      <c r="E83" s="14" t="s">
        <v>61</v>
      </c>
      <c r="F83" s="14" t="s">
        <v>247</v>
      </c>
      <c r="G83" s="17">
        <f>VLOOKUP(E83,'OTP FED Pre-Tax Balances'!$A:$K,8,FALSE)</f>
        <v>-10885315</v>
      </c>
      <c r="H83" s="17"/>
      <c r="I83" s="17">
        <f t="shared" si="36"/>
        <v>-3809860.2499999995</v>
      </c>
      <c r="J83" s="370">
        <f t="shared" si="37"/>
        <v>209542.31374999997</v>
      </c>
      <c r="K83" s="370">
        <f t="shared" si="38"/>
        <v>-598692.32499999995</v>
      </c>
      <c r="L83" s="370">
        <f t="shared" si="39"/>
        <v>-4199010.2612499995</v>
      </c>
      <c r="N83" s="370">
        <f t="shared" si="40"/>
        <v>-2285916.15</v>
      </c>
      <c r="O83" s="370">
        <f t="shared" si="41"/>
        <v>125725.38824999999</v>
      </c>
      <c r="P83" s="370">
        <f t="shared" si="42"/>
        <v>-598692.32499999995</v>
      </c>
      <c r="Q83" s="370">
        <f t="shared" si="43"/>
        <v>-2758883.0867499998</v>
      </c>
      <c r="S83" s="370">
        <f t="shared" si="44"/>
        <v>1523944.0999999996</v>
      </c>
      <c r="T83" s="370">
        <f t="shared" si="45"/>
        <v>-83816.925499999983</v>
      </c>
      <c r="U83" s="370">
        <f t="shared" si="46"/>
        <v>0</v>
      </c>
      <c r="V83" s="17">
        <f t="shared" si="47"/>
        <v>1440127.1744999997</v>
      </c>
    </row>
    <row r="84" spans="1:22" ht="14.1" customHeight="1" x14ac:dyDescent="0.2">
      <c r="A84" s="41">
        <v>1500</v>
      </c>
      <c r="B84" s="375">
        <v>282</v>
      </c>
      <c r="C84" s="445" t="s">
        <v>695</v>
      </c>
      <c r="D84" s="376">
        <v>30</v>
      </c>
      <c r="E84" s="14" t="s">
        <v>80</v>
      </c>
      <c r="F84" s="14" t="s">
        <v>266</v>
      </c>
      <c r="G84" s="17">
        <f>VLOOKUP(E84,'OTP FED Pre-Tax Balances'!$A:$K,6,FALSE)</f>
        <v>14306108</v>
      </c>
      <c r="H84" s="444"/>
      <c r="I84" s="17">
        <f t="shared" si="36"/>
        <v>5007137.8</v>
      </c>
      <c r="J84" s="370">
        <f t="shared" si="37"/>
        <v>-275392.57900000003</v>
      </c>
      <c r="K84" s="370">
        <f t="shared" si="38"/>
        <v>786835.94000000006</v>
      </c>
      <c r="L84" s="370">
        <f t="shared" si="39"/>
        <v>5518581.1610000003</v>
      </c>
      <c r="N84" s="370">
        <f t="shared" si="40"/>
        <v>3004282.6799999997</v>
      </c>
      <c r="O84" s="370">
        <f t="shared" si="41"/>
        <v>-165235.54740000001</v>
      </c>
      <c r="P84" s="370">
        <f t="shared" si="42"/>
        <v>786835.94000000006</v>
      </c>
      <c r="Q84" s="370">
        <f t="shared" si="43"/>
        <v>3625883.0725999996</v>
      </c>
      <c r="S84" s="370">
        <f t="shared" si="44"/>
        <v>-2002855.12</v>
      </c>
      <c r="T84" s="370">
        <f t="shared" si="45"/>
        <v>110157.03160000002</v>
      </c>
      <c r="U84" s="370">
        <f t="shared" si="46"/>
        <v>0</v>
      </c>
      <c r="V84" s="370">
        <f t="shared" si="47"/>
        <v>-1892698.0884</v>
      </c>
    </row>
    <row r="85" spans="1:22" ht="14.1" customHeight="1" x14ac:dyDescent="0.2">
      <c r="A85" s="41">
        <v>1500</v>
      </c>
      <c r="B85" s="375">
        <v>282</v>
      </c>
      <c r="C85" s="445" t="s">
        <v>695</v>
      </c>
      <c r="D85" s="376">
        <v>30</v>
      </c>
      <c r="E85" s="14" t="s">
        <v>110</v>
      </c>
      <c r="F85" s="14" t="s">
        <v>296</v>
      </c>
      <c r="G85" s="17">
        <f>VLOOKUP(E85,'OTP FED Pre-Tax Balances'!$A:$K,6,FALSE)</f>
        <v>101239536</v>
      </c>
      <c r="H85" s="444"/>
      <c r="I85" s="17">
        <f t="shared" si="36"/>
        <v>35433837.599999994</v>
      </c>
      <c r="J85" s="370">
        <f t="shared" si="37"/>
        <v>-1948861.068</v>
      </c>
      <c r="K85" s="370">
        <f t="shared" si="38"/>
        <v>5568174.4800000004</v>
      </c>
      <c r="L85" s="370">
        <f t="shared" si="39"/>
        <v>39053151.011999995</v>
      </c>
      <c r="N85" s="370">
        <f t="shared" si="40"/>
        <v>21260302.559999999</v>
      </c>
      <c r="O85" s="370">
        <f t="shared" si="41"/>
        <v>-1169316.6407999999</v>
      </c>
      <c r="P85" s="370">
        <f t="shared" si="42"/>
        <v>5568174.4800000004</v>
      </c>
      <c r="Q85" s="370">
        <f t="shared" si="43"/>
        <v>25659160.3992</v>
      </c>
      <c r="S85" s="370">
        <f t="shared" si="44"/>
        <v>-14173535.039999995</v>
      </c>
      <c r="T85" s="370">
        <f t="shared" si="45"/>
        <v>779544.42720000003</v>
      </c>
      <c r="U85" s="370">
        <f t="shared" si="46"/>
        <v>0</v>
      </c>
      <c r="V85" s="370">
        <f t="shared" si="47"/>
        <v>-13393990.612799995</v>
      </c>
    </row>
    <row r="86" spans="1:22" ht="14.1" customHeight="1" x14ac:dyDescent="0.2">
      <c r="A86" s="41">
        <v>1500</v>
      </c>
      <c r="B86" s="375">
        <v>282</v>
      </c>
      <c r="C86" s="445" t="s">
        <v>695</v>
      </c>
      <c r="D86" s="376">
        <v>30</v>
      </c>
      <c r="E86" s="14" t="s">
        <v>117</v>
      </c>
      <c r="F86" s="14" t="s">
        <v>303</v>
      </c>
      <c r="G86" s="17">
        <f>VLOOKUP(E86,'OTP FED Pre-Tax Balances'!$A:$K,6,FALSE)</f>
        <v>-442998</v>
      </c>
      <c r="H86" s="444"/>
      <c r="I86" s="17">
        <f t="shared" si="36"/>
        <v>-155049.29999999999</v>
      </c>
      <c r="J86" s="370">
        <f t="shared" si="37"/>
        <v>8527.7114999999994</v>
      </c>
      <c r="K86" s="370">
        <f t="shared" si="38"/>
        <v>-24364.89</v>
      </c>
      <c r="L86" s="370">
        <f t="shared" si="39"/>
        <v>-170886.47849999997</v>
      </c>
      <c r="N86" s="370">
        <f t="shared" si="40"/>
        <v>-93029.58</v>
      </c>
      <c r="O86" s="370">
        <f t="shared" si="41"/>
        <v>5116.6268999999993</v>
      </c>
      <c r="P86" s="370">
        <f t="shared" si="42"/>
        <v>-24364.89</v>
      </c>
      <c r="Q86" s="370">
        <f t="shared" si="43"/>
        <v>-112277.8431</v>
      </c>
      <c r="S86" s="370">
        <f t="shared" si="44"/>
        <v>62019.719999999987</v>
      </c>
      <c r="T86" s="370">
        <f t="shared" si="45"/>
        <v>-3411.0846000000001</v>
      </c>
      <c r="U86" s="370">
        <f t="shared" si="46"/>
        <v>0</v>
      </c>
      <c r="V86" s="370">
        <f t="shared" si="47"/>
        <v>58608.635399999985</v>
      </c>
    </row>
    <row r="87" spans="1:22" ht="14.1" customHeight="1" x14ac:dyDescent="0.2">
      <c r="A87" s="41">
        <v>1500</v>
      </c>
      <c r="B87" s="375">
        <v>282</v>
      </c>
      <c r="C87" s="445" t="s">
        <v>695</v>
      </c>
      <c r="D87" s="376">
        <v>30</v>
      </c>
      <c r="E87" s="14" t="s">
        <v>118</v>
      </c>
      <c r="F87" s="14" t="s">
        <v>304</v>
      </c>
      <c r="G87" s="17">
        <f>VLOOKUP(E87,'OTP FED Pre-Tax Balances'!$A:$K,6,FALSE)</f>
        <v>-108316291</v>
      </c>
      <c r="H87" s="444"/>
      <c r="I87" s="17">
        <f t="shared" si="36"/>
        <v>-37910701.849999994</v>
      </c>
      <c r="J87" s="370">
        <f t="shared" si="37"/>
        <v>2085088.6017499999</v>
      </c>
      <c r="K87" s="370">
        <f t="shared" si="38"/>
        <v>-5957396.0049999999</v>
      </c>
      <c r="L87" s="370">
        <f t="shared" si="39"/>
        <v>-41783009.253249995</v>
      </c>
      <c r="N87" s="370">
        <f t="shared" si="40"/>
        <v>-22746421.109999999</v>
      </c>
      <c r="O87" s="370">
        <f t="shared" si="41"/>
        <v>1251053.16105</v>
      </c>
      <c r="P87" s="370">
        <f t="shared" si="42"/>
        <v>-5957396.0049999999</v>
      </c>
      <c r="Q87" s="370">
        <f t="shared" si="43"/>
        <v>-27452763.953949999</v>
      </c>
      <c r="S87" s="370">
        <f t="shared" si="44"/>
        <v>15164280.739999995</v>
      </c>
      <c r="T87" s="370">
        <f t="shared" si="45"/>
        <v>-834035.44069999992</v>
      </c>
      <c r="U87" s="370">
        <f t="shared" si="46"/>
        <v>0</v>
      </c>
      <c r="V87" s="370">
        <f t="shared" si="47"/>
        <v>14330245.299299994</v>
      </c>
    </row>
    <row r="88" spans="1:22" ht="14.1" customHeight="1" x14ac:dyDescent="0.2">
      <c r="A88" s="41">
        <v>1500</v>
      </c>
      <c r="B88" s="375">
        <v>282</v>
      </c>
      <c r="C88" s="445" t="s">
        <v>701</v>
      </c>
      <c r="D88" s="376">
        <v>30</v>
      </c>
      <c r="E88" s="14" t="s">
        <v>124</v>
      </c>
      <c r="F88" s="14" t="s">
        <v>310</v>
      </c>
      <c r="G88" s="17">
        <f>VLOOKUP(E88,'OTP FED Pre-Tax Balances'!$A:$K,6,FALSE)</f>
        <v>7541981</v>
      </c>
      <c r="H88" s="444"/>
      <c r="I88" s="17">
        <f t="shared" si="36"/>
        <v>2639693.3499999996</v>
      </c>
      <c r="J88" s="370">
        <f t="shared" si="37"/>
        <v>-145183.13425</v>
      </c>
      <c r="K88" s="370">
        <f t="shared" si="38"/>
        <v>414808.95500000002</v>
      </c>
      <c r="L88" s="370">
        <f t="shared" si="39"/>
        <v>2909319.1707499996</v>
      </c>
      <c r="N88" s="370">
        <f t="shared" si="40"/>
        <v>1583816.01</v>
      </c>
      <c r="O88" s="370">
        <f t="shared" si="41"/>
        <v>-87109.880550000002</v>
      </c>
      <c r="P88" s="370">
        <f t="shared" si="42"/>
        <v>414808.95500000002</v>
      </c>
      <c r="Q88" s="370">
        <f t="shared" si="43"/>
        <v>1911515.08445</v>
      </c>
      <c r="S88" s="370">
        <f t="shared" si="44"/>
        <v>-1055877.3399999996</v>
      </c>
      <c r="T88" s="370">
        <f t="shared" si="45"/>
        <v>58073.253700000001</v>
      </c>
      <c r="U88" s="370">
        <f t="shared" si="46"/>
        <v>0</v>
      </c>
      <c r="V88" s="370">
        <f t="shared" si="47"/>
        <v>-997804.08629999962</v>
      </c>
    </row>
    <row r="89" spans="1:22" ht="14.1" customHeight="1" x14ac:dyDescent="0.2">
      <c r="A89" s="41">
        <v>1500</v>
      </c>
      <c r="B89" s="375">
        <v>282</v>
      </c>
      <c r="C89" s="445" t="s">
        <v>695</v>
      </c>
      <c r="D89" s="376">
        <v>30</v>
      </c>
      <c r="E89" s="14" t="s">
        <v>132</v>
      </c>
      <c r="F89" s="14" t="s">
        <v>318</v>
      </c>
      <c r="G89" s="17">
        <f>VLOOKUP(E89,'OTP FED Pre-Tax Balances'!$A:$K,6,FALSE)</f>
        <v>-223545316</v>
      </c>
      <c r="H89" s="444"/>
      <c r="I89" s="17">
        <f t="shared" si="36"/>
        <v>-78240860.599999994</v>
      </c>
      <c r="J89" s="370">
        <f t="shared" si="37"/>
        <v>4303247.3329999996</v>
      </c>
      <c r="K89" s="370">
        <f t="shared" si="38"/>
        <v>-12294992.380000001</v>
      </c>
      <c r="L89" s="370">
        <f t="shared" si="39"/>
        <v>-86232605.646999985</v>
      </c>
      <c r="N89" s="370">
        <f t="shared" si="40"/>
        <v>-46944516.359999999</v>
      </c>
      <c r="O89" s="370">
        <f t="shared" si="41"/>
        <v>2581948.3998000002</v>
      </c>
      <c r="P89" s="370">
        <f t="shared" si="42"/>
        <v>-12294992.380000001</v>
      </c>
      <c r="Q89" s="370">
        <f t="shared" si="43"/>
        <v>-56657560.3402</v>
      </c>
      <c r="S89" s="370">
        <f t="shared" si="44"/>
        <v>31296344.239999995</v>
      </c>
      <c r="T89" s="370">
        <f t="shared" si="45"/>
        <v>-1721298.9331999994</v>
      </c>
      <c r="U89" s="370">
        <f t="shared" si="46"/>
        <v>0</v>
      </c>
      <c r="V89" s="370">
        <f t="shared" si="47"/>
        <v>29575045.306799997</v>
      </c>
    </row>
    <row r="90" spans="1:22" ht="14.1" customHeight="1" x14ac:dyDescent="0.2">
      <c r="A90" s="41">
        <v>1500</v>
      </c>
      <c r="B90" s="375">
        <v>282</v>
      </c>
      <c r="C90" s="445" t="s">
        <v>695</v>
      </c>
      <c r="D90" s="376">
        <v>30</v>
      </c>
      <c r="E90" s="14" t="s">
        <v>133</v>
      </c>
      <c r="F90" s="14" t="s">
        <v>319</v>
      </c>
      <c r="G90" s="17">
        <f>VLOOKUP(E90,'OTP FED Pre-Tax Balances'!$A:$K,6,FALSE)</f>
        <v>-368563094</v>
      </c>
      <c r="H90" s="444"/>
      <c r="I90" s="17">
        <f t="shared" si="36"/>
        <v>-128997082.89999999</v>
      </c>
      <c r="J90" s="370">
        <f t="shared" si="37"/>
        <v>7094839.5595000004</v>
      </c>
      <c r="K90" s="370">
        <f t="shared" si="38"/>
        <v>-20270970.170000002</v>
      </c>
      <c r="L90" s="370">
        <f t="shared" si="39"/>
        <v>-142173213.51050001</v>
      </c>
      <c r="N90" s="370">
        <f t="shared" si="40"/>
        <v>-77398249.739999995</v>
      </c>
      <c r="O90" s="370">
        <f t="shared" si="41"/>
        <v>4256903.7357000001</v>
      </c>
      <c r="P90" s="370">
        <f t="shared" si="42"/>
        <v>-20270970.170000002</v>
      </c>
      <c r="Q90" s="370">
        <f t="shared" si="43"/>
        <v>-93412316.1743</v>
      </c>
      <c r="S90" s="370">
        <f t="shared" si="44"/>
        <v>51598833.159999996</v>
      </c>
      <c r="T90" s="370">
        <f t="shared" si="45"/>
        <v>-2837935.8238000004</v>
      </c>
      <c r="U90" s="370">
        <f t="shared" si="46"/>
        <v>0</v>
      </c>
      <c r="V90" s="370">
        <f t="shared" si="47"/>
        <v>48760897.336199999</v>
      </c>
    </row>
    <row r="91" spans="1:22" ht="14.1" customHeight="1" x14ac:dyDescent="0.2">
      <c r="A91" s="41">
        <v>1500</v>
      </c>
      <c r="B91" s="375">
        <v>282</v>
      </c>
      <c r="C91" s="445" t="s">
        <v>695</v>
      </c>
      <c r="D91" s="376">
        <v>30</v>
      </c>
      <c r="E91" s="14" t="s">
        <v>162</v>
      </c>
      <c r="F91" s="14" t="s">
        <v>347</v>
      </c>
      <c r="G91" s="17">
        <f>VLOOKUP(E91,'OTP FED Pre-Tax Balances'!$A:$K,6,FALSE)</f>
        <v>-70343869</v>
      </c>
      <c r="H91" s="444"/>
      <c r="I91" s="17">
        <f t="shared" si="36"/>
        <v>-24620354.149999999</v>
      </c>
      <c r="J91" s="370">
        <f t="shared" si="37"/>
        <v>1354119.4782499999</v>
      </c>
      <c r="K91" s="370">
        <f t="shared" si="38"/>
        <v>-3868912.7949999999</v>
      </c>
      <c r="L91" s="370">
        <f t="shared" si="39"/>
        <v>-27135147.466749996</v>
      </c>
      <c r="N91" s="370">
        <f t="shared" si="40"/>
        <v>-14772212.49</v>
      </c>
      <c r="O91" s="370">
        <f t="shared" si="41"/>
        <v>812471.68695</v>
      </c>
      <c r="P91" s="370">
        <f t="shared" si="42"/>
        <v>-3868912.7949999999</v>
      </c>
      <c r="Q91" s="370">
        <f t="shared" si="43"/>
        <v>-17828653.598049998</v>
      </c>
      <c r="S91" s="370">
        <f t="shared" si="44"/>
        <v>9848141.6599999983</v>
      </c>
      <c r="T91" s="370">
        <f t="shared" si="45"/>
        <v>-541647.79129999992</v>
      </c>
      <c r="U91" s="370">
        <f t="shared" si="46"/>
        <v>0</v>
      </c>
      <c r="V91" s="370">
        <f t="shared" si="47"/>
        <v>9306493.8686999977</v>
      </c>
    </row>
    <row r="92" spans="1:22" ht="14.1" customHeight="1" x14ac:dyDescent="0.2">
      <c r="A92" s="41">
        <v>1500</v>
      </c>
      <c r="B92" s="375">
        <v>282</v>
      </c>
      <c r="C92" s="445" t="s">
        <v>695</v>
      </c>
      <c r="D92" s="376">
        <v>30</v>
      </c>
      <c r="E92" s="14" t="s">
        <v>166</v>
      </c>
      <c r="F92" s="14" t="s">
        <v>351</v>
      </c>
      <c r="G92" s="17">
        <f>VLOOKUP(E92,'OTP FED Pre-Tax Balances'!$A:$K,6,FALSE)</f>
        <v>-37318093</v>
      </c>
      <c r="H92" s="444"/>
      <c r="I92" s="17">
        <f t="shared" si="36"/>
        <v>-13061332.549999999</v>
      </c>
      <c r="J92" s="370">
        <f t="shared" si="37"/>
        <v>718373.29024999996</v>
      </c>
      <c r="K92" s="370">
        <f t="shared" si="38"/>
        <v>-2052495.115</v>
      </c>
      <c r="L92" s="370">
        <f t="shared" si="39"/>
        <v>-14395454.374749999</v>
      </c>
      <c r="N92" s="370">
        <f t="shared" si="40"/>
        <v>-7836799.5299999993</v>
      </c>
      <c r="O92" s="370">
        <f t="shared" si="41"/>
        <v>431023.97414999997</v>
      </c>
      <c r="P92" s="370">
        <f t="shared" si="42"/>
        <v>-2052495.115</v>
      </c>
      <c r="Q92" s="370">
        <f t="shared" si="43"/>
        <v>-9458270.6708499994</v>
      </c>
      <c r="S92" s="370">
        <f t="shared" si="44"/>
        <v>5224533.0199999996</v>
      </c>
      <c r="T92" s="370">
        <f t="shared" si="45"/>
        <v>-287349.3161</v>
      </c>
      <c r="U92" s="370">
        <f t="shared" si="46"/>
        <v>0</v>
      </c>
      <c r="V92" s="370">
        <f t="shared" si="47"/>
        <v>4937183.7038999991</v>
      </c>
    </row>
    <row r="93" spans="1:22" ht="14.1" customHeight="1" x14ac:dyDescent="0.2">
      <c r="A93" s="41">
        <v>1500</v>
      </c>
      <c r="B93" s="375">
        <v>282</v>
      </c>
      <c r="C93" s="445" t="s">
        <v>697</v>
      </c>
      <c r="D93" s="376">
        <v>5</v>
      </c>
      <c r="E93" s="14" t="s">
        <v>170</v>
      </c>
      <c r="F93" s="14" t="s">
        <v>355</v>
      </c>
      <c r="G93" s="17">
        <f>VLOOKUP(E93,'OTP FED Pre-Tax Balances'!$A:$K,6,FALSE)</f>
        <v>110606293</v>
      </c>
      <c r="H93" s="444"/>
      <c r="I93" s="17">
        <f t="shared" si="36"/>
        <v>38712202.549999997</v>
      </c>
      <c r="J93" s="370">
        <f t="shared" si="37"/>
        <v>-2129171.1402500002</v>
      </c>
      <c r="K93" s="370">
        <f t="shared" si="38"/>
        <v>6083346.1150000002</v>
      </c>
      <c r="L93" s="370">
        <f t="shared" si="39"/>
        <v>42666377.524750002</v>
      </c>
      <c r="N93" s="370">
        <f t="shared" si="40"/>
        <v>23227321.529999997</v>
      </c>
      <c r="O93" s="370">
        <f t="shared" si="41"/>
        <v>-1277502.6841500001</v>
      </c>
      <c r="P93" s="370">
        <f t="shared" si="42"/>
        <v>6083346.1150000002</v>
      </c>
      <c r="Q93" s="370">
        <f t="shared" si="43"/>
        <v>28033164.96085</v>
      </c>
      <c r="S93" s="370">
        <f t="shared" si="44"/>
        <v>-15484881.02</v>
      </c>
      <c r="T93" s="370">
        <f t="shared" si="45"/>
        <v>851668.45610000007</v>
      </c>
      <c r="U93" s="370">
        <f t="shared" si="46"/>
        <v>0</v>
      </c>
      <c r="V93" s="370">
        <f t="shared" si="47"/>
        <v>-14633212.563899999</v>
      </c>
    </row>
    <row r="94" spans="1:22" ht="14.1" customHeight="1" x14ac:dyDescent="0.2">
      <c r="A94" s="41">
        <v>1500</v>
      </c>
      <c r="B94" s="375">
        <v>282</v>
      </c>
      <c r="C94" s="445" t="s">
        <v>695</v>
      </c>
      <c r="D94" s="376">
        <v>30</v>
      </c>
      <c r="E94" s="14" t="s">
        <v>184</v>
      </c>
      <c r="F94" s="14" t="s">
        <v>369</v>
      </c>
      <c r="G94" s="17">
        <f>VLOOKUP(E94,'OTP FED Pre-Tax Balances'!$A:$K,6,FALSE)</f>
        <v>-59333935</v>
      </c>
      <c r="H94" s="444"/>
      <c r="I94" s="17">
        <f t="shared" si="36"/>
        <v>-20766877.25</v>
      </c>
      <c r="J94" s="370">
        <f t="shared" si="37"/>
        <v>1142178.2487499998</v>
      </c>
      <c r="K94" s="370">
        <f t="shared" si="38"/>
        <v>-3263366.4249999998</v>
      </c>
      <c r="L94" s="370">
        <f t="shared" si="39"/>
        <v>-22888065.42625</v>
      </c>
      <c r="N94" s="370">
        <f t="shared" si="40"/>
        <v>-12460126.35</v>
      </c>
      <c r="O94" s="370">
        <f t="shared" si="41"/>
        <v>685306.94924999995</v>
      </c>
      <c r="P94" s="370">
        <f t="shared" si="42"/>
        <v>-3263366.4249999998</v>
      </c>
      <c r="Q94" s="370">
        <f t="shared" si="43"/>
        <v>-15038185.825750001</v>
      </c>
      <c r="S94" s="370">
        <f t="shared" si="44"/>
        <v>8306750.9000000004</v>
      </c>
      <c r="T94" s="370">
        <f t="shared" si="45"/>
        <v>-456871.29949999985</v>
      </c>
      <c r="U94" s="370">
        <f t="shared" si="46"/>
        <v>0</v>
      </c>
      <c r="V94" s="370">
        <f t="shared" si="47"/>
        <v>7849879.6005000006</v>
      </c>
    </row>
    <row r="95" spans="1:22" ht="14.1" customHeight="1" x14ac:dyDescent="0.2">
      <c r="A95" s="41"/>
      <c r="C95" s="374"/>
      <c r="D95" s="375"/>
      <c r="E95" s="14"/>
      <c r="F95" s="43" t="s">
        <v>480</v>
      </c>
      <c r="G95" s="42">
        <f>SUM(G63:G94)</f>
        <v>-21238518883</v>
      </c>
      <c r="I95" s="42">
        <f>SUM(I63:I94)</f>
        <v>-7433481609.0499992</v>
      </c>
      <c r="J95" s="42">
        <f>SUM(J63:J94)</f>
        <v>408841488.49774998</v>
      </c>
      <c r="K95" s="42">
        <f>SUM(K63:K94)</f>
        <v>-1168118538.5650005</v>
      </c>
      <c r="L95" s="42">
        <f>SUM(L63:L94)</f>
        <v>-8192758659.1172514</v>
      </c>
      <c r="N95" s="42">
        <f>SUM(N63:N94)</f>
        <v>-4460088965.4299974</v>
      </c>
      <c r="O95" s="42">
        <f>SUM(O63:O94)</f>
        <v>245304893.09865001</v>
      </c>
      <c r="P95" s="42">
        <f>SUM(P63:P94)</f>
        <v>-1168118538.5650005</v>
      </c>
      <c r="Q95" s="42">
        <f>SUM(Q63:Q94)</f>
        <v>-5382902610.8963499</v>
      </c>
      <c r="S95" s="42">
        <f>SUM(S63:S94)</f>
        <v>2973392643.6199994</v>
      </c>
      <c r="T95" s="42">
        <f>SUM(T63:T94)</f>
        <v>-163536595.39910004</v>
      </c>
      <c r="U95" s="42">
        <f>SUM(U63:U94)</f>
        <v>0</v>
      </c>
      <c r="V95" s="42">
        <f>SUM(V63:V94)</f>
        <v>2809856048.2209001</v>
      </c>
    </row>
    <row r="96" spans="1:22" ht="14.1" customHeight="1" x14ac:dyDescent="0.2">
      <c r="A96" s="41"/>
      <c r="C96" s="374"/>
      <c r="D96" s="375"/>
      <c r="E96" s="14"/>
      <c r="F96" s="14"/>
      <c r="G96" s="370"/>
      <c r="V96" s="67"/>
    </row>
    <row r="97" spans="1:22" ht="14.1" customHeight="1" x14ac:dyDescent="0.2">
      <c r="A97" s="41">
        <v>1500</v>
      </c>
      <c r="B97" s="375">
        <v>283</v>
      </c>
      <c r="C97" s="445" t="s">
        <v>700</v>
      </c>
      <c r="D97" s="376">
        <v>1</v>
      </c>
      <c r="E97" s="14" t="s">
        <v>6</v>
      </c>
      <c r="F97" s="14" t="s">
        <v>192</v>
      </c>
      <c r="G97" s="370">
        <f>VLOOKUP(E97,'OTP FED Pre-Tax Balances'!$A:$K,6,FALSE)</f>
        <v>258666</v>
      </c>
      <c r="I97" s="370">
        <f t="shared" ref="I97:I133" si="48">G97*$I$7</f>
        <v>90533.099999999991</v>
      </c>
      <c r="J97" s="370">
        <f t="shared" ref="J97:J133" si="49">-K97*$I$7</f>
        <v>-4979.3204999999998</v>
      </c>
      <c r="K97" s="370">
        <f t="shared" ref="K97:K133" si="50">G97*$K$7</f>
        <v>14226.63</v>
      </c>
      <c r="L97" s="370">
        <f t="shared" ref="L97:L133" si="51">SUM(I97:K97)</f>
        <v>99780.409499999994</v>
      </c>
      <c r="N97" s="370">
        <f t="shared" ref="N97:N133" si="52">G97*$N$7</f>
        <v>54319.86</v>
      </c>
      <c r="O97" s="370">
        <f t="shared" ref="O97:O133" si="53">-P97*$N$7</f>
        <v>-2987.5922999999998</v>
      </c>
      <c r="P97" s="370">
        <f t="shared" ref="P97:P133" si="54">G97*$P$7</f>
        <v>14226.63</v>
      </c>
      <c r="Q97" s="370">
        <f t="shared" ref="Q97:Q133" si="55">SUM(N97:P97)</f>
        <v>65558.897700000001</v>
      </c>
      <c r="S97" s="370">
        <f t="shared" ref="S97:U133" si="56">N97-I97</f>
        <v>-36213.239999999991</v>
      </c>
      <c r="T97" s="370">
        <f t="shared" si="56"/>
        <v>1991.7282</v>
      </c>
      <c r="U97" s="370">
        <f t="shared" si="56"/>
        <v>0</v>
      </c>
      <c r="V97" s="370">
        <f t="shared" ref="V97:V133" si="57">SUM(S97:U97)</f>
        <v>-34221.511799999993</v>
      </c>
    </row>
    <row r="98" spans="1:22" ht="14.1" customHeight="1" x14ac:dyDescent="0.2">
      <c r="A98" s="41">
        <v>1500</v>
      </c>
      <c r="B98" s="375">
        <v>283</v>
      </c>
      <c r="C98" s="445" t="s">
        <v>700</v>
      </c>
      <c r="D98" s="376">
        <v>1</v>
      </c>
      <c r="E98" s="14" t="s">
        <v>12</v>
      </c>
      <c r="F98" s="14" t="s">
        <v>198</v>
      </c>
      <c r="G98" s="370">
        <f>VLOOKUP(E98,'OTP FED Pre-Tax Balances'!$A:$K,6,FALSE)</f>
        <v>-1737676</v>
      </c>
      <c r="I98" s="370">
        <f t="shared" si="48"/>
        <v>-608186.6</v>
      </c>
      <c r="J98" s="370">
        <f t="shared" si="49"/>
        <v>33450.262999999999</v>
      </c>
      <c r="K98" s="370">
        <f t="shared" si="50"/>
        <v>-95572.180000000008</v>
      </c>
      <c r="L98" s="370">
        <f t="shared" si="51"/>
        <v>-670308.51699999999</v>
      </c>
      <c r="N98" s="370">
        <f t="shared" si="52"/>
        <v>-364911.95999999996</v>
      </c>
      <c r="O98" s="370">
        <f t="shared" si="53"/>
        <v>20070.157800000001</v>
      </c>
      <c r="P98" s="370">
        <f t="shared" si="54"/>
        <v>-95572.180000000008</v>
      </c>
      <c r="Q98" s="370">
        <f t="shared" si="55"/>
        <v>-440413.98219999997</v>
      </c>
      <c r="S98" s="370">
        <f t="shared" si="56"/>
        <v>243274.64</v>
      </c>
      <c r="T98" s="370">
        <f t="shared" si="56"/>
        <v>-13380.105199999998</v>
      </c>
      <c r="U98" s="370">
        <f t="shared" si="56"/>
        <v>0</v>
      </c>
      <c r="V98" s="370">
        <f t="shared" si="57"/>
        <v>229894.53480000002</v>
      </c>
    </row>
    <row r="99" spans="1:22" ht="14.1" customHeight="1" x14ac:dyDescent="0.2">
      <c r="A99" s="41">
        <v>1500</v>
      </c>
      <c r="B99" s="375">
        <v>283</v>
      </c>
      <c r="C99" s="445" t="s">
        <v>697</v>
      </c>
      <c r="D99" s="376">
        <v>5</v>
      </c>
      <c r="E99" s="14" t="s">
        <v>14</v>
      </c>
      <c r="F99" s="14" t="s">
        <v>200</v>
      </c>
      <c r="G99" s="370">
        <f>VLOOKUP(E99,'OTP FED Pre-Tax Balances'!$A:$K,6,FALSE)</f>
        <v>-193657</v>
      </c>
      <c r="I99" s="370">
        <f t="shared" si="48"/>
        <v>-67779.95</v>
      </c>
      <c r="J99" s="370">
        <f t="shared" si="49"/>
        <v>3727.89725</v>
      </c>
      <c r="K99" s="370">
        <f t="shared" si="50"/>
        <v>-10651.135</v>
      </c>
      <c r="L99" s="370">
        <f t="shared" si="51"/>
        <v>-74703.187749999997</v>
      </c>
      <c r="N99" s="370">
        <f t="shared" si="52"/>
        <v>-40667.97</v>
      </c>
      <c r="O99" s="370">
        <f t="shared" si="53"/>
        <v>2236.7383500000001</v>
      </c>
      <c r="P99" s="370">
        <f t="shared" si="54"/>
        <v>-10651.135</v>
      </c>
      <c r="Q99" s="370">
        <f t="shared" si="55"/>
        <v>-49082.366650000004</v>
      </c>
      <c r="S99" s="370">
        <f t="shared" si="56"/>
        <v>27111.979999999996</v>
      </c>
      <c r="T99" s="370">
        <f t="shared" si="56"/>
        <v>-1491.1588999999999</v>
      </c>
      <c r="U99" s="370">
        <f t="shared" si="56"/>
        <v>0</v>
      </c>
      <c r="V99" s="370">
        <f t="shared" si="57"/>
        <v>25620.821099999997</v>
      </c>
    </row>
    <row r="100" spans="1:22" ht="14.1" customHeight="1" x14ac:dyDescent="0.2">
      <c r="A100" s="41">
        <v>1500</v>
      </c>
      <c r="B100" s="375">
        <v>283</v>
      </c>
      <c r="C100" s="445" t="s">
        <v>707</v>
      </c>
      <c r="D100" s="376">
        <v>20</v>
      </c>
      <c r="E100" s="14" t="s">
        <v>15</v>
      </c>
      <c r="F100" s="14" t="s">
        <v>201</v>
      </c>
      <c r="G100" s="370">
        <f>VLOOKUP(E100,'OTP FED Pre-Tax Balances'!$A:$K,6,FALSE)</f>
        <v>-1208675515</v>
      </c>
      <c r="I100" s="370">
        <f t="shared" si="48"/>
        <v>-423036430.25</v>
      </c>
      <c r="J100" s="370">
        <f t="shared" si="49"/>
        <v>23267003.66375</v>
      </c>
      <c r="K100" s="370">
        <f t="shared" si="50"/>
        <v>-66477153.325000003</v>
      </c>
      <c r="L100" s="370">
        <f t="shared" si="51"/>
        <v>-466246579.91125</v>
      </c>
      <c r="N100" s="370">
        <f t="shared" si="52"/>
        <v>-253821858.14999998</v>
      </c>
      <c r="O100" s="370">
        <f t="shared" si="53"/>
        <v>13960202.198249999</v>
      </c>
      <c r="P100" s="370">
        <f t="shared" si="54"/>
        <v>-66477153.325000003</v>
      </c>
      <c r="Q100" s="370">
        <f t="shared" si="55"/>
        <v>-306338809.27674997</v>
      </c>
      <c r="S100" s="370">
        <f t="shared" si="56"/>
        <v>169214572.10000002</v>
      </c>
      <c r="T100" s="370">
        <f t="shared" si="56"/>
        <v>-9306801.4655000009</v>
      </c>
      <c r="U100" s="370">
        <f t="shared" si="56"/>
        <v>0</v>
      </c>
      <c r="V100" s="370">
        <f t="shared" si="57"/>
        <v>159907770.63450003</v>
      </c>
    </row>
    <row r="101" spans="1:22" ht="14.1" customHeight="1" x14ac:dyDescent="0.2">
      <c r="A101" s="41">
        <v>1500</v>
      </c>
      <c r="B101" s="375">
        <v>283</v>
      </c>
      <c r="C101" s="445" t="s">
        <v>700</v>
      </c>
      <c r="D101" s="376">
        <v>1</v>
      </c>
      <c r="E101" s="14" t="s">
        <v>18</v>
      </c>
      <c r="F101" s="14" t="s">
        <v>204</v>
      </c>
      <c r="G101" s="370">
        <f>VLOOKUP(E101,'OTP FED Pre-Tax Balances'!$A:$K,6,FALSE)</f>
        <v>4526984</v>
      </c>
      <c r="I101" s="370">
        <f t="shared" si="48"/>
        <v>1584444.4</v>
      </c>
      <c r="J101" s="370">
        <f t="shared" si="49"/>
        <v>-87144.441999999995</v>
      </c>
      <c r="K101" s="370">
        <f t="shared" si="50"/>
        <v>248984.12</v>
      </c>
      <c r="L101" s="370">
        <f t="shared" si="51"/>
        <v>1746284.0779999997</v>
      </c>
      <c r="N101" s="370">
        <f t="shared" si="52"/>
        <v>950666.64</v>
      </c>
      <c r="O101" s="370">
        <f t="shared" si="53"/>
        <v>-52286.665199999996</v>
      </c>
      <c r="P101" s="370">
        <f t="shared" si="54"/>
        <v>248984.12</v>
      </c>
      <c r="Q101" s="370">
        <f t="shared" si="55"/>
        <v>1147364.0948000001</v>
      </c>
      <c r="S101" s="370">
        <f t="shared" si="56"/>
        <v>-633777.75999999989</v>
      </c>
      <c r="T101" s="370">
        <f t="shared" si="56"/>
        <v>34857.7768</v>
      </c>
      <c r="U101" s="370">
        <f t="shared" si="56"/>
        <v>0</v>
      </c>
      <c r="V101" s="370">
        <f t="shared" si="57"/>
        <v>-598919.9831999999</v>
      </c>
    </row>
    <row r="102" spans="1:22" s="39" customFormat="1" ht="14.1" customHeight="1" x14ac:dyDescent="0.2">
      <c r="A102" s="41">
        <v>1500</v>
      </c>
      <c r="B102" s="375">
        <v>283</v>
      </c>
      <c r="C102" s="445" t="s">
        <v>701</v>
      </c>
      <c r="D102" s="376">
        <v>30</v>
      </c>
      <c r="E102" s="14" t="s">
        <v>19</v>
      </c>
      <c r="F102" s="14" t="s">
        <v>205</v>
      </c>
      <c r="G102" s="370">
        <f>VLOOKUP(E102,'OTP FED Pre-Tax Balances'!$A:$K,6,FALSE)</f>
        <v>-91533137</v>
      </c>
      <c r="H102" s="2"/>
      <c r="I102" s="370">
        <f t="shared" si="48"/>
        <v>-32036597.949999999</v>
      </c>
      <c r="J102" s="370">
        <f t="shared" si="49"/>
        <v>1762012.8872499999</v>
      </c>
      <c r="K102" s="370">
        <f t="shared" si="50"/>
        <v>-5034322.5350000001</v>
      </c>
      <c r="L102" s="370">
        <f t="shared" si="51"/>
        <v>-35308907.597750001</v>
      </c>
      <c r="M102" s="67"/>
      <c r="N102" s="370">
        <f t="shared" si="52"/>
        <v>-19221958.77</v>
      </c>
      <c r="O102" s="370">
        <f t="shared" si="53"/>
        <v>1057207.7323499999</v>
      </c>
      <c r="P102" s="370">
        <f t="shared" si="54"/>
        <v>-5034322.5350000001</v>
      </c>
      <c r="Q102" s="370">
        <f t="shared" si="55"/>
        <v>-23199073.57265</v>
      </c>
      <c r="R102" s="67"/>
      <c r="S102" s="370">
        <f t="shared" si="56"/>
        <v>12814639.18</v>
      </c>
      <c r="T102" s="370">
        <f t="shared" si="56"/>
        <v>-704805.15489999996</v>
      </c>
      <c r="U102" s="370">
        <f t="shared" si="56"/>
        <v>0</v>
      </c>
      <c r="V102" s="370">
        <f t="shared" si="57"/>
        <v>12109834.0251</v>
      </c>
    </row>
    <row r="103" spans="1:22" s="39" customFormat="1" ht="14.1" customHeight="1" x14ac:dyDescent="0.2">
      <c r="A103" s="41">
        <v>1500</v>
      </c>
      <c r="B103" s="375">
        <v>283</v>
      </c>
      <c r="C103" s="445" t="s">
        <v>707</v>
      </c>
      <c r="D103" s="376">
        <v>20</v>
      </c>
      <c r="E103" s="14" t="s">
        <v>20</v>
      </c>
      <c r="F103" s="14" t="s">
        <v>206</v>
      </c>
      <c r="G103" s="370">
        <f>VLOOKUP(E103,'OTP FED Pre-Tax Balances'!$A:$K,6,FALSE)</f>
        <v>-146014234</v>
      </c>
      <c r="H103" s="2"/>
      <c r="I103" s="370">
        <f t="shared" si="48"/>
        <v>-51104981.899999999</v>
      </c>
      <c r="J103" s="370">
        <f t="shared" si="49"/>
        <v>2810774.0044999998</v>
      </c>
      <c r="K103" s="370">
        <f t="shared" si="50"/>
        <v>-8030782.8700000001</v>
      </c>
      <c r="L103" s="370">
        <f t="shared" si="51"/>
        <v>-56324990.765499994</v>
      </c>
      <c r="M103" s="67"/>
      <c r="N103" s="370">
        <f t="shared" si="52"/>
        <v>-30662989.140000001</v>
      </c>
      <c r="O103" s="370">
        <f t="shared" si="53"/>
        <v>1686464.4027</v>
      </c>
      <c r="P103" s="370">
        <f t="shared" si="54"/>
        <v>-8030782.8700000001</v>
      </c>
      <c r="Q103" s="370">
        <f t="shared" si="55"/>
        <v>-37007307.607299998</v>
      </c>
      <c r="R103" s="67"/>
      <c r="S103" s="370">
        <f t="shared" si="56"/>
        <v>20441992.759999998</v>
      </c>
      <c r="T103" s="370">
        <f t="shared" si="56"/>
        <v>-1124309.6017999998</v>
      </c>
      <c r="U103" s="370">
        <f t="shared" si="56"/>
        <v>0</v>
      </c>
      <c r="V103" s="370">
        <f t="shared" si="57"/>
        <v>19317683.158199999</v>
      </c>
    </row>
    <row r="104" spans="1:22" s="39" customFormat="1" ht="14.1" customHeight="1" x14ac:dyDescent="0.2">
      <c r="A104" s="41">
        <v>1500</v>
      </c>
      <c r="B104" s="375">
        <v>283</v>
      </c>
      <c r="C104" s="445" t="s">
        <v>708</v>
      </c>
      <c r="D104" s="376">
        <v>6</v>
      </c>
      <c r="E104" s="14" t="s">
        <v>22</v>
      </c>
      <c r="F104" s="14" t="s">
        <v>208</v>
      </c>
      <c r="G104" s="370">
        <f>VLOOKUP(E104,'OTP FED Pre-Tax Balances'!$A:$K,6,FALSE)</f>
        <v>-334607191</v>
      </c>
      <c r="H104" s="2"/>
      <c r="I104" s="370">
        <f t="shared" si="48"/>
        <v>-117112516.84999999</v>
      </c>
      <c r="J104" s="370">
        <f t="shared" si="49"/>
        <v>6441188.4267499996</v>
      </c>
      <c r="K104" s="370">
        <f t="shared" si="50"/>
        <v>-18403395.504999999</v>
      </c>
      <c r="L104" s="370">
        <f t="shared" si="51"/>
        <v>-129074723.92824998</v>
      </c>
      <c r="M104" s="67"/>
      <c r="N104" s="370">
        <f t="shared" si="52"/>
        <v>-70267510.109999999</v>
      </c>
      <c r="O104" s="370">
        <f t="shared" si="53"/>
        <v>3864713.0560499998</v>
      </c>
      <c r="P104" s="370">
        <f t="shared" si="54"/>
        <v>-18403395.504999999</v>
      </c>
      <c r="Q104" s="370">
        <f t="shared" si="55"/>
        <v>-84806192.558949992</v>
      </c>
      <c r="R104" s="67"/>
      <c r="S104" s="370">
        <f t="shared" si="56"/>
        <v>46845006.739999995</v>
      </c>
      <c r="T104" s="370">
        <f t="shared" si="56"/>
        <v>-2576475.3706999999</v>
      </c>
      <c r="U104" s="370">
        <f t="shared" si="56"/>
        <v>0</v>
      </c>
      <c r="V104" s="370">
        <f t="shared" si="57"/>
        <v>44268531.369299993</v>
      </c>
    </row>
    <row r="105" spans="1:22" s="39" customFormat="1" ht="14.1" customHeight="1" x14ac:dyDescent="0.2">
      <c r="A105" s="41">
        <v>1500</v>
      </c>
      <c r="B105" s="375">
        <v>283</v>
      </c>
      <c r="C105" s="445" t="s">
        <v>708</v>
      </c>
      <c r="D105" s="376">
        <v>6</v>
      </c>
      <c r="E105" s="14" t="s">
        <v>23</v>
      </c>
      <c r="F105" s="14" t="s">
        <v>209</v>
      </c>
      <c r="G105" s="370">
        <f>VLOOKUP(E105,'OTP FED Pre-Tax Balances'!$A:$K,6,FALSE)</f>
        <v>-210133794</v>
      </c>
      <c r="H105" s="2"/>
      <c r="I105" s="370">
        <f t="shared" si="48"/>
        <v>-73546827.899999991</v>
      </c>
      <c r="J105" s="370">
        <f t="shared" si="49"/>
        <v>4045075.5344999996</v>
      </c>
      <c r="K105" s="370">
        <f t="shared" si="50"/>
        <v>-11557358.67</v>
      </c>
      <c r="L105" s="370">
        <f t="shared" si="51"/>
        <v>-81059111.03549999</v>
      </c>
      <c r="M105" s="67"/>
      <c r="N105" s="370">
        <f t="shared" si="52"/>
        <v>-44128096.740000002</v>
      </c>
      <c r="O105" s="370">
        <f t="shared" si="53"/>
        <v>2427045.3207</v>
      </c>
      <c r="P105" s="370">
        <f t="shared" si="54"/>
        <v>-11557358.67</v>
      </c>
      <c r="Q105" s="370">
        <f t="shared" si="55"/>
        <v>-53258410.089300007</v>
      </c>
      <c r="R105" s="67"/>
      <c r="S105" s="370">
        <f t="shared" si="56"/>
        <v>29418731.159999989</v>
      </c>
      <c r="T105" s="370">
        <f t="shared" si="56"/>
        <v>-1618030.2137999996</v>
      </c>
      <c r="U105" s="370">
        <f t="shared" si="56"/>
        <v>0</v>
      </c>
      <c r="V105" s="370">
        <f t="shared" si="57"/>
        <v>27800700.946199991</v>
      </c>
    </row>
    <row r="106" spans="1:22" s="39" customFormat="1" ht="14.1" customHeight="1" x14ac:dyDescent="0.2">
      <c r="A106" s="41">
        <v>1500</v>
      </c>
      <c r="B106" s="375">
        <v>283</v>
      </c>
      <c r="C106" s="445" t="s">
        <v>708</v>
      </c>
      <c r="D106" s="376">
        <v>6</v>
      </c>
      <c r="E106" s="14" t="s">
        <v>25</v>
      </c>
      <c r="F106" s="14" t="s">
        <v>211</v>
      </c>
      <c r="G106" s="370">
        <f>VLOOKUP(E106,'OTP FED Pre-Tax Balances'!$A:$K,6,FALSE)</f>
        <v>-55767857</v>
      </c>
      <c r="H106" s="2"/>
      <c r="I106" s="370">
        <f t="shared" si="48"/>
        <v>-19518749.949999999</v>
      </c>
      <c r="J106" s="370">
        <f t="shared" si="49"/>
        <v>1073531.24725</v>
      </c>
      <c r="K106" s="370">
        <f t="shared" si="50"/>
        <v>-3067232.1350000002</v>
      </c>
      <c r="L106" s="370">
        <f t="shared" si="51"/>
        <v>-21512450.837749999</v>
      </c>
      <c r="M106" s="67"/>
      <c r="N106" s="370">
        <f t="shared" si="52"/>
        <v>-11711249.969999999</v>
      </c>
      <c r="O106" s="370">
        <f t="shared" si="53"/>
        <v>644118.74835000001</v>
      </c>
      <c r="P106" s="370">
        <f t="shared" si="54"/>
        <v>-3067232.1350000002</v>
      </c>
      <c r="Q106" s="370">
        <f t="shared" si="55"/>
        <v>-14134363.356649999</v>
      </c>
      <c r="R106" s="67"/>
      <c r="S106" s="370">
        <f t="shared" si="56"/>
        <v>7807499.9800000004</v>
      </c>
      <c r="T106" s="370">
        <f t="shared" si="56"/>
        <v>-429412.49890000001</v>
      </c>
      <c r="U106" s="370">
        <f t="shared" si="56"/>
        <v>0</v>
      </c>
      <c r="V106" s="370">
        <f t="shared" si="57"/>
        <v>7378087.4811000004</v>
      </c>
    </row>
    <row r="107" spans="1:22" s="39" customFormat="1" ht="14.1" customHeight="1" x14ac:dyDescent="0.2">
      <c r="A107" s="41">
        <v>1500</v>
      </c>
      <c r="B107" s="375">
        <v>283</v>
      </c>
      <c r="C107" s="445" t="s">
        <v>708</v>
      </c>
      <c r="D107" s="376">
        <v>6</v>
      </c>
      <c r="E107" s="14" t="s">
        <v>26</v>
      </c>
      <c r="F107" s="14" t="s">
        <v>212</v>
      </c>
      <c r="G107" s="370">
        <f>VLOOKUP(E107,'OTP FED Pre-Tax Balances'!$A:$K,6,FALSE)</f>
        <v>-35022306</v>
      </c>
      <c r="H107" s="2"/>
      <c r="I107" s="370">
        <f t="shared" si="48"/>
        <v>-12257807.1</v>
      </c>
      <c r="J107" s="370">
        <f t="shared" si="49"/>
        <v>674179.39049999998</v>
      </c>
      <c r="K107" s="370">
        <f t="shared" si="50"/>
        <v>-1926226.83</v>
      </c>
      <c r="L107" s="370">
        <f t="shared" si="51"/>
        <v>-13509854.5395</v>
      </c>
      <c r="M107" s="67"/>
      <c r="N107" s="370">
        <f t="shared" si="52"/>
        <v>-7354684.2599999998</v>
      </c>
      <c r="O107" s="370">
        <f t="shared" si="53"/>
        <v>404507.63429999998</v>
      </c>
      <c r="P107" s="370">
        <f t="shared" si="54"/>
        <v>-1926226.83</v>
      </c>
      <c r="Q107" s="370">
        <f t="shared" si="55"/>
        <v>-8876403.4556999989</v>
      </c>
      <c r="R107" s="67"/>
      <c r="S107" s="370">
        <f t="shared" si="56"/>
        <v>4903122.84</v>
      </c>
      <c r="T107" s="370">
        <f t="shared" si="56"/>
        <v>-269671.7562</v>
      </c>
      <c r="U107" s="370">
        <f t="shared" si="56"/>
        <v>0</v>
      </c>
      <c r="V107" s="370">
        <f t="shared" si="57"/>
        <v>4633451.0838000001</v>
      </c>
    </row>
    <row r="108" spans="1:22" s="39" customFormat="1" ht="14.1" customHeight="1" x14ac:dyDescent="0.2">
      <c r="A108" s="41">
        <v>1500</v>
      </c>
      <c r="B108" s="375">
        <v>283</v>
      </c>
      <c r="C108" s="445" t="s">
        <v>702</v>
      </c>
      <c r="D108" s="376">
        <v>10</v>
      </c>
      <c r="E108" s="14" t="s">
        <v>28</v>
      </c>
      <c r="F108" s="14" t="s">
        <v>214</v>
      </c>
      <c r="G108" s="370">
        <f>VLOOKUP(E108,'OTP FED Pre-Tax Balances'!$A:$K,6,FALSE)</f>
        <v>-112422793</v>
      </c>
      <c r="H108" s="2"/>
      <c r="I108" s="370">
        <f t="shared" si="48"/>
        <v>-39347977.549999997</v>
      </c>
      <c r="J108" s="370">
        <f t="shared" si="49"/>
        <v>2164138.7652500002</v>
      </c>
      <c r="K108" s="370">
        <f t="shared" si="50"/>
        <v>-6183253.6150000002</v>
      </c>
      <c r="L108" s="370">
        <f t="shared" si="51"/>
        <v>-43367092.399750002</v>
      </c>
      <c r="M108" s="67"/>
      <c r="N108" s="370">
        <f t="shared" si="52"/>
        <v>-23608786.529999997</v>
      </c>
      <c r="O108" s="370">
        <f t="shared" si="53"/>
        <v>1298483.2591500001</v>
      </c>
      <c r="P108" s="370">
        <f t="shared" si="54"/>
        <v>-6183253.6150000002</v>
      </c>
      <c r="Q108" s="370">
        <f t="shared" si="55"/>
        <v>-28493556.885849997</v>
      </c>
      <c r="R108" s="67"/>
      <c r="S108" s="370">
        <f t="shared" si="56"/>
        <v>15739191.02</v>
      </c>
      <c r="T108" s="370">
        <f t="shared" si="56"/>
        <v>-865655.50610000012</v>
      </c>
      <c r="U108" s="370">
        <f t="shared" si="56"/>
        <v>0</v>
      </c>
      <c r="V108" s="370">
        <f t="shared" si="57"/>
        <v>14873535.513899999</v>
      </c>
    </row>
    <row r="109" spans="1:22" s="39" customFormat="1" ht="14.1" customHeight="1" x14ac:dyDescent="0.2">
      <c r="A109" s="41">
        <v>1500</v>
      </c>
      <c r="B109" s="375">
        <v>283</v>
      </c>
      <c r="C109" s="445" t="s">
        <v>701</v>
      </c>
      <c r="D109" s="376">
        <v>30</v>
      </c>
      <c r="E109" s="14" t="s">
        <v>29</v>
      </c>
      <c r="F109" s="14" t="s">
        <v>215</v>
      </c>
      <c r="G109" s="370">
        <f>VLOOKUP(E109,'OTP FED Pre-Tax Balances'!$A:$K,6,FALSE)</f>
        <v>-401333333</v>
      </c>
      <c r="H109" s="2"/>
      <c r="I109" s="370">
        <f t="shared" si="48"/>
        <v>-140466666.54999998</v>
      </c>
      <c r="J109" s="370">
        <f t="shared" si="49"/>
        <v>7725666.6602499997</v>
      </c>
      <c r="K109" s="370">
        <f t="shared" si="50"/>
        <v>-22073333.315000001</v>
      </c>
      <c r="L109" s="370">
        <f t="shared" si="51"/>
        <v>-154814333.20475</v>
      </c>
      <c r="M109" s="67"/>
      <c r="N109" s="370">
        <f t="shared" si="52"/>
        <v>-84279999.929999992</v>
      </c>
      <c r="O109" s="370">
        <f t="shared" si="53"/>
        <v>4635399.99615</v>
      </c>
      <c r="P109" s="370">
        <f t="shared" si="54"/>
        <v>-22073333.315000001</v>
      </c>
      <c r="Q109" s="370">
        <f t="shared" si="55"/>
        <v>-101717933.24884999</v>
      </c>
      <c r="R109" s="67"/>
      <c r="S109" s="370">
        <f t="shared" si="56"/>
        <v>56186666.61999999</v>
      </c>
      <c r="T109" s="370">
        <f t="shared" si="56"/>
        <v>-3090266.6640999997</v>
      </c>
      <c r="U109" s="370">
        <f t="shared" si="56"/>
        <v>0</v>
      </c>
      <c r="V109" s="370">
        <f t="shared" si="57"/>
        <v>53096399.955899991</v>
      </c>
    </row>
    <row r="110" spans="1:22" s="39" customFormat="1" ht="14.1" customHeight="1" x14ac:dyDescent="0.2">
      <c r="A110" s="41">
        <v>1500</v>
      </c>
      <c r="B110" s="375">
        <v>283</v>
      </c>
      <c r="C110" s="445" t="s">
        <v>702</v>
      </c>
      <c r="D110" s="376">
        <v>10</v>
      </c>
      <c r="E110" s="14" t="s">
        <v>30</v>
      </c>
      <c r="F110" s="14" t="s">
        <v>216</v>
      </c>
      <c r="G110" s="370">
        <f>VLOOKUP(E110,'OTP FED Pre-Tax Balances'!$A:$K,6,FALSE)</f>
        <v>-687448</v>
      </c>
      <c r="H110" s="2"/>
      <c r="I110" s="370">
        <f t="shared" si="48"/>
        <v>-240606.8</v>
      </c>
      <c r="J110" s="370">
        <f t="shared" si="49"/>
        <v>13233.374</v>
      </c>
      <c r="K110" s="370">
        <f t="shared" si="50"/>
        <v>-37809.64</v>
      </c>
      <c r="L110" s="370">
        <f t="shared" si="51"/>
        <v>-265183.06599999999</v>
      </c>
      <c r="M110" s="67"/>
      <c r="N110" s="370">
        <f t="shared" si="52"/>
        <v>-144364.07999999999</v>
      </c>
      <c r="O110" s="370">
        <f t="shared" si="53"/>
        <v>7940.0243999999993</v>
      </c>
      <c r="P110" s="370">
        <f t="shared" si="54"/>
        <v>-37809.64</v>
      </c>
      <c r="Q110" s="370">
        <f t="shared" si="55"/>
        <v>-174233.69559999998</v>
      </c>
      <c r="R110" s="67"/>
      <c r="S110" s="370">
        <f t="shared" si="56"/>
        <v>96242.72</v>
      </c>
      <c r="T110" s="370">
        <f t="shared" si="56"/>
        <v>-5293.3496000000005</v>
      </c>
      <c r="U110" s="370">
        <f t="shared" si="56"/>
        <v>0</v>
      </c>
      <c r="V110" s="370">
        <f t="shared" si="57"/>
        <v>90949.3704</v>
      </c>
    </row>
    <row r="111" spans="1:22" s="39" customFormat="1" ht="14.1" customHeight="1" x14ac:dyDescent="0.2">
      <c r="A111" s="41">
        <v>1500</v>
      </c>
      <c r="B111" s="375">
        <v>283</v>
      </c>
      <c r="C111" s="445" t="s">
        <v>695</v>
      </c>
      <c r="D111" s="376">
        <v>30</v>
      </c>
      <c r="E111" s="14" t="s">
        <v>31</v>
      </c>
      <c r="F111" s="14" t="s">
        <v>217</v>
      </c>
      <c r="G111" s="17">
        <f>VLOOKUP(E111,'OTP FED Pre-Tax Balances'!$A:$K,6,FALSE)</f>
        <v>-1000000000</v>
      </c>
      <c r="H111" s="2"/>
      <c r="I111" s="370">
        <f t="shared" si="48"/>
        <v>-350000000</v>
      </c>
      <c r="J111" s="370">
        <f t="shared" si="49"/>
        <v>19250000</v>
      </c>
      <c r="K111" s="370">
        <f t="shared" si="50"/>
        <v>-55000000</v>
      </c>
      <c r="L111" s="370">
        <f t="shared" si="51"/>
        <v>-385750000</v>
      </c>
      <c r="M111" s="67"/>
      <c r="N111" s="370">
        <f t="shared" si="52"/>
        <v>-210000000</v>
      </c>
      <c r="O111" s="370">
        <f t="shared" si="53"/>
        <v>11550000</v>
      </c>
      <c r="P111" s="370">
        <f t="shared" si="54"/>
        <v>-55000000</v>
      </c>
      <c r="Q111" s="370">
        <f t="shared" si="55"/>
        <v>-253450000</v>
      </c>
      <c r="R111" s="67"/>
      <c r="S111" s="370">
        <f t="shared" si="56"/>
        <v>140000000</v>
      </c>
      <c r="T111" s="370">
        <f t="shared" si="56"/>
        <v>-7700000</v>
      </c>
      <c r="U111" s="370">
        <f t="shared" si="56"/>
        <v>0</v>
      </c>
      <c r="V111" s="370">
        <f t="shared" si="57"/>
        <v>132300000</v>
      </c>
    </row>
    <row r="112" spans="1:22" s="39" customFormat="1" ht="14.1" customHeight="1" x14ac:dyDescent="0.2">
      <c r="A112" s="41">
        <v>1500</v>
      </c>
      <c r="B112" s="375">
        <v>283</v>
      </c>
      <c r="C112" s="445" t="s">
        <v>701</v>
      </c>
      <c r="D112" s="376">
        <v>30</v>
      </c>
      <c r="E112" s="14" t="s">
        <v>38</v>
      </c>
      <c r="F112" s="14" t="s">
        <v>224</v>
      </c>
      <c r="G112" s="370">
        <f>VLOOKUP(E112,'OTP FED Pre-Tax Balances'!$A:$K,6,FALSE)</f>
        <v>-1812112</v>
      </c>
      <c r="H112" s="2"/>
      <c r="I112" s="370">
        <f t="shared" si="48"/>
        <v>-634239.19999999995</v>
      </c>
      <c r="J112" s="370">
        <f t="shared" si="49"/>
        <v>34883.155999999995</v>
      </c>
      <c r="K112" s="370">
        <f t="shared" si="50"/>
        <v>-99666.16</v>
      </c>
      <c r="L112" s="370">
        <f t="shared" si="51"/>
        <v>-699022.20400000003</v>
      </c>
      <c r="M112" s="67"/>
      <c r="N112" s="370">
        <f t="shared" si="52"/>
        <v>-380543.51999999996</v>
      </c>
      <c r="O112" s="370">
        <f t="shared" si="53"/>
        <v>20929.893599999999</v>
      </c>
      <c r="P112" s="370">
        <f t="shared" si="54"/>
        <v>-99666.16</v>
      </c>
      <c r="Q112" s="370">
        <f t="shared" si="55"/>
        <v>-459279.78639999998</v>
      </c>
      <c r="R112" s="67"/>
      <c r="S112" s="370">
        <f t="shared" si="56"/>
        <v>253695.68</v>
      </c>
      <c r="T112" s="370">
        <f t="shared" si="56"/>
        <v>-13953.262399999996</v>
      </c>
      <c r="U112" s="370">
        <f t="shared" si="56"/>
        <v>0</v>
      </c>
      <c r="V112" s="370">
        <f t="shared" si="57"/>
        <v>239742.41759999999</v>
      </c>
    </row>
    <row r="113" spans="1:22" s="39" customFormat="1" ht="14.1" customHeight="1" x14ac:dyDescent="0.2">
      <c r="A113" s="41">
        <v>1500</v>
      </c>
      <c r="B113" s="375">
        <v>283</v>
      </c>
      <c r="C113" s="445" t="s">
        <v>705</v>
      </c>
      <c r="D113" s="376">
        <v>2</v>
      </c>
      <c r="E113" s="14" t="s">
        <v>39</v>
      </c>
      <c r="F113" s="14" t="s">
        <v>225</v>
      </c>
      <c r="G113" s="370">
        <f>VLOOKUP(E113,'OTP FED Pre-Tax Balances'!$A:$K,6,FALSE)</f>
        <v>-2519917</v>
      </c>
      <c r="H113" s="2"/>
      <c r="I113" s="370">
        <f t="shared" si="48"/>
        <v>-881970.95</v>
      </c>
      <c r="J113" s="370">
        <f t="shared" si="49"/>
        <v>48508.402249999999</v>
      </c>
      <c r="K113" s="370">
        <f t="shared" si="50"/>
        <v>-138595.435</v>
      </c>
      <c r="L113" s="370">
        <f t="shared" si="51"/>
        <v>-972057.98274999997</v>
      </c>
      <c r="M113" s="67"/>
      <c r="N113" s="370">
        <f t="shared" si="52"/>
        <v>-529182.56999999995</v>
      </c>
      <c r="O113" s="370">
        <f t="shared" si="53"/>
        <v>29105.04135</v>
      </c>
      <c r="P113" s="370">
        <f t="shared" si="54"/>
        <v>-138595.435</v>
      </c>
      <c r="Q113" s="370">
        <f t="shared" si="55"/>
        <v>-638672.96364999993</v>
      </c>
      <c r="R113" s="67"/>
      <c r="S113" s="370">
        <f t="shared" si="56"/>
        <v>352788.38</v>
      </c>
      <c r="T113" s="370">
        <f t="shared" si="56"/>
        <v>-19403.3609</v>
      </c>
      <c r="U113" s="370">
        <f t="shared" si="56"/>
        <v>0</v>
      </c>
      <c r="V113" s="370">
        <f t="shared" si="57"/>
        <v>333385.01910000003</v>
      </c>
    </row>
    <row r="114" spans="1:22" s="39" customFormat="1" ht="14.1" customHeight="1" x14ac:dyDescent="0.2">
      <c r="A114" s="41">
        <v>1500</v>
      </c>
      <c r="B114" s="375">
        <v>283</v>
      </c>
      <c r="C114" s="445" t="s">
        <v>697</v>
      </c>
      <c r="D114" s="376">
        <v>5</v>
      </c>
      <c r="E114" s="14" t="s">
        <v>40</v>
      </c>
      <c r="F114" s="14" t="s">
        <v>226</v>
      </c>
      <c r="G114" s="370">
        <f>VLOOKUP(E114,'OTP FED Pre-Tax Balances'!$A:$K,6,FALSE)</f>
        <v>-92180381</v>
      </c>
      <c r="H114" s="2"/>
      <c r="I114" s="370">
        <f t="shared" si="48"/>
        <v>-32263133.349999998</v>
      </c>
      <c r="J114" s="370">
        <f t="shared" si="49"/>
        <v>1774472.3342499998</v>
      </c>
      <c r="K114" s="370">
        <f t="shared" si="50"/>
        <v>-5069920.9550000001</v>
      </c>
      <c r="L114" s="370">
        <f t="shared" si="51"/>
        <v>-35558581.970749997</v>
      </c>
      <c r="M114" s="67"/>
      <c r="N114" s="370">
        <f t="shared" si="52"/>
        <v>-19357880.009999998</v>
      </c>
      <c r="O114" s="370">
        <f t="shared" si="53"/>
        <v>1064683.4005499999</v>
      </c>
      <c r="P114" s="370">
        <f t="shared" si="54"/>
        <v>-5069920.9550000001</v>
      </c>
      <c r="Q114" s="370">
        <f t="shared" si="55"/>
        <v>-23363117.564449996</v>
      </c>
      <c r="R114" s="67"/>
      <c r="S114" s="370">
        <f t="shared" si="56"/>
        <v>12905253.34</v>
      </c>
      <c r="T114" s="370">
        <f t="shared" si="56"/>
        <v>-709788.93369999994</v>
      </c>
      <c r="U114" s="370">
        <f t="shared" si="56"/>
        <v>0</v>
      </c>
      <c r="V114" s="370">
        <f t="shared" si="57"/>
        <v>12195464.406300001</v>
      </c>
    </row>
    <row r="115" spans="1:22" s="39" customFormat="1" ht="14.1" customHeight="1" x14ac:dyDescent="0.2">
      <c r="A115" s="41">
        <v>1500</v>
      </c>
      <c r="B115" s="375">
        <v>283</v>
      </c>
      <c r="C115" s="445" t="s">
        <v>701</v>
      </c>
      <c r="D115" s="376">
        <v>30</v>
      </c>
      <c r="E115" s="14" t="s">
        <v>75</v>
      </c>
      <c r="F115" s="14" t="s">
        <v>261</v>
      </c>
      <c r="G115" s="370">
        <f>VLOOKUP(E115,'OTP FED Pre-Tax Balances'!$A:$K,6,FALSE)</f>
        <v>-1350835622</v>
      </c>
      <c r="H115" s="2"/>
      <c r="I115" s="370">
        <f t="shared" si="48"/>
        <v>-472792467.69999999</v>
      </c>
      <c r="J115" s="370">
        <f t="shared" si="49"/>
        <v>26003585.723499995</v>
      </c>
      <c r="K115" s="370">
        <f t="shared" si="50"/>
        <v>-74295959.209999993</v>
      </c>
      <c r="L115" s="370">
        <f t="shared" si="51"/>
        <v>-521084841.18649995</v>
      </c>
      <c r="M115" s="67"/>
      <c r="N115" s="370">
        <f t="shared" si="52"/>
        <v>-283675480.62</v>
      </c>
      <c r="O115" s="370">
        <f t="shared" si="53"/>
        <v>15602151.434099998</v>
      </c>
      <c r="P115" s="370">
        <f t="shared" si="54"/>
        <v>-74295959.209999993</v>
      </c>
      <c r="Q115" s="370">
        <f t="shared" si="55"/>
        <v>-342369288.39590001</v>
      </c>
      <c r="R115" s="67"/>
      <c r="S115" s="370">
        <f t="shared" si="56"/>
        <v>189116987.07999998</v>
      </c>
      <c r="T115" s="370">
        <f t="shared" si="56"/>
        <v>-10401434.289399996</v>
      </c>
      <c r="U115" s="370">
        <f t="shared" si="56"/>
        <v>0</v>
      </c>
      <c r="V115" s="370">
        <f t="shared" si="57"/>
        <v>178715552.7906</v>
      </c>
    </row>
    <row r="116" spans="1:22" s="39" customFormat="1" ht="14.1" customHeight="1" x14ac:dyDescent="0.2">
      <c r="A116" s="41">
        <v>1500</v>
      </c>
      <c r="B116" s="375">
        <v>283</v>
      </c>
      <c r="C116" s="445" t="s">
        <v>697</v>
      </c>
      <c r="D116" s="376">
        <v>5</v>
      </c>
      <c r="E116" s="14" t="s">
        <v>91</v>
      </c>
      <c r="F116" s="14" t="s">
        <v>277</v>
      </c>
      <c r="G116" s="370">
        <f>VLOOKUP(E116,'OTP FED Pre-Tax Balances'!$A:$K,6,FALSE)</f>
        <v>-1358477</v>
      </c>
      <c r="H116" s="2"/>
      <c r="I116" s="370">
        <f t="shared" si="48"/>
        <v>-475466.94999999995</v>
      </c>
      <c r="J116" s="370">
        <f t="shared" si="49"/>
        <v>26150.682249999998</v>
      </c>
      <c r="K116" s="370">
        <f t="shared" si="50"/>
        <v>-74716.235000000001</v>
      </c>
      <c r="L116" s="370">
        <f t="shared" si="51"/>
        <v>-524032.50274999993</v>
      </c>
      <c r="M116" s="67"/>
      <c r="N116" s="370">
        <f t="shared" si="52"/>
        <v>-285280.17</v>
      </c>
      <c r="O116" s="370">
        <f t="shared" si="53"/>
        <v>15690.40935</v>
      </c>
      <c r="P116" s="370">
        <f t="shared" si="54"/>
        <v>-74716.235000000001</v>
      </c>
      <c r="Q116" s="370">
        <f t="shared" si="55"/>
        <v>-344305.99565</v>
      </c>
      <c r="R116" s="67"/>
      <c r="S116" s="370">
        <f t="shared" si="56"/>
        <v>190186.77999999997</v>
      </c>
      <c r="T116" s="370">
        <f t="shared" si="56"/>
        <v>-10460.272899999998</v>
      </c>
      <c r="U116" s="370">
        <f t="shared" si="56"/>
        <v>0</v>
      </c>
      <c r="V116" s="370">
        <f t="shared" si="57"/>
        <v>179726.50709999996</v>
      </c>
    </row>
    <row r="117" spans="1:22" s="39" customFormat="1" ht="14.1" customHeight="1" x14ac:dyDescent="0.2">
      <c r="A117" s="41">
        <v>1500</v>
      </c>
      <c r="B117" s="375">
        <v>283</v>
      </c>
      <c r="C117" s="445" t="s">
        <v>700</v>
      </c>
      <c r="D117" s="376">
        <v>1</v>
      </c>
      <c r="E117" s="14" t="s">
        <v>94</v>
      </c>
      <c r="F117" s="14" t="s">
        <v>280</v>
      </c>
      <c r="G117" s="370">
        <f>VLOOKUP(E117,'OTP FED Pre-Tax Balances'!$A:$K,6,FALSE)</f>
        <v>-30351</v>
      </c>
      <c r="H117" s="2"/>
      <c r="I117" s="370">
        <f t="shared" si="48"/>
        <v>-10622.849999999999</v>
      </c>
      <c r="J117" s="370">
        <f t="shared" si="49"/>
        <v>584.25675000000001</v>
      </c>
      <c r="K117" s="370">
        <f t="shared" si="50"/>
        <v>-1669.3050000000001</v>
      </c>
      <c r="L117" s="370">
        <f t="shared" si="51"/>
        <v>-11707.898249999998</v>
      </c>
      <c r="M117" s="67"/>
      <c r="N117" s="370">
        <f t="shared" si="52"/>
        <v>-6373.71</v>
      </c>
      <c r="O117" s="370">
        <f t="shared" si="53"/>
        <v>350.55405000000002</v>
      </c>
      <c r="P117" s="370">
        <f t="shared" si="54"/>
        <v>-1669.3050000000001</v>
      </c>
      <c r="Q117" s="370">
        <f t="shared" si="55"/>
        <v>-7692.4609500000006</v>
      </c>
      <c r="R117" s="67"/>
      <c r="S117" s="370">
        <f t="shared" si="56"/>
        <v>4249.1399999999985</v>
      </c>
      <c r="T117" s="370">
        <f t="shared" si="56"/>
        <v>-233.70269999999999</v>
      </c>
      <c r="U117" s="370">
        <f t="shared" si="56"/>
        <v>0</v>
      </c>
      <c r="V117" s="370">
        <f t="shared" si="57"/>
        <v>4015.4372999999987</v>
      </c>
    </row>
    <row r="118" spans="1:22" s="39" customFormat="1" ht="14.1" customHeight="1" x14ac:dyDescent="0.2">
      <c r="A118" s="41">
        <v>1500</v>
      </c>
      <c r="B118" s="375">
        <v>283</v>
      </c>
      <c r="C118" s="445" t="s">
        <v>700</v>
      </c>
      <c r="D118" s="376">
        <v>1</v>
      </c>
      <c r="E118" s="14" t="s">
        <v>95</v>
      </c>
      <c r="F118" s="14" t="s">
        <v>281</v>
      </c>
      <c r="G118" s="370">
        <f>VLOOKUP(E118,'OTP FED Pre-Tax Balances'!$A:$K,6,FALSE)</f>
        <v>-6358244</v>
      </c>
      <c r="H118" s="2"/>
      <c r="I118" s="370">
        <f t="shared" si="48"/>
        <v>-2225385.4</v>
      </c>
      <c r="J118" s="370">
        <f t="shared" si="49"/>
        <v>122396.19699999999</v>
      </c>
      <c r="K118" s="370">
        <f t="shared" si="50"/>
        <v>-349703.42</v>
      </c>
      <c r="L118" s="370">
        <f t="shared" si="51"/>
        <v>-2452692.6229999997</v>
      </c>
      <c r="M118" s="67"/>
      <c r="N118" s="370">
        <f t="shared" si="52"/>
        <v>-1335231.24</v>
      </c>
      <c r="O118" s="370">
        <f t="shared" si="53"/>
        <v>73437.718199999988</v>
      </c>
      <c r="P118" s="370">
        <f t="shared" si="54"/>
        <v>-349703.42</v>
      </c>
      <c r="Q118" s="370">
        <f t="shared" si="55"/>
        <v>-1611496.9417999999</v>
      </c>
      <c r="R118" s="67"/>
      <c r="S118" s="370">
        <f t="shared" si="56"/>
        <v>890154.15999999992</v>
      </c>
      <c r="T118" s="370">
        <f t="shared" si="56"/>
        <v>-48958.478799999997</v>
      </c>
      <c r="U118" s="370">
        <f t="shared" si="56"/>
        <v>0</v>
      </c>
      <c r="V118" s="370">
        <f t="shared" si="57"/>
        <v>841195.68119999988</v>
      </c>
    </row>
    <row r="119" spans="1:22" s="39" customFormat="1" ht="14.1" customHeight="1" x14ac:dyDescent="0.2">
      <c r="A119" s="41">
        <v>1500</v>
      </c>
      <c r="B119" s="375">
        <v>283</v>
      </c>
      <c r="C119" s="445" t="s">
        <v>700</v>
      </c>
      <c r="D119" s="376">
        <v>1</v>
      </c>
      <c r="E119" s="14" t="s">
        <v>100</v>
      </c>
      <c r="F119" s="14" t="s">
        <v>286</v>
      </c>
      <c r="G119" s="370">
        <f>VLOOKUP(E119,'OTP FED Pre-Tax Balances'!$A:$K,6,FALSE)</f>
        <v>-1008527</v>
      </c>
      <c r="H119" s="2"/>
      <c r="I119" s="370">
        <f t="shared" si="48"/>
        <v>-352984.44999999995</v>
      </c>
      <c r="J119" s="370">
        <f t="shared" si="49"/>
        <v>19414.144749999999</v>
      </c>
      <c r="K119" s="370">
        <f t="shared" si="50"/>
        <v>-55468.985000000001</v>
      </c>
      <c r="L119" s="370">
        <f t="shared" si="51"/>
        <v>-389039.29024999996</v>
      </c>
      <c r="M119" s="67"/>
      <c r="N119" s="370">
        <f t="shared" si="52"/>
        <v>-211790.66999999998</v>
      </c>
      <c r="O119" s="370">
        <f t="shared" si="53"/>
        <v>11648.486849999999</v>
      </c>
      <c r="P119" s="370">
        <f t="shared" si="54"/>
        <v>-55468.985000000001</v>
      </c>
      <c r="Q119" s="370">
        <f t="shared" si="55"/>
        <v>-255611.16814999998</v>
      </c>
      <c r="R119" s="67"/>
      <c r="S119" s="370">
        <f t="shared" si="56"/>
        <v>141193.77999999997</v>
      </c>
      <c r="T119" s="370">
        <f t="shared" si="56"/>
        <v>-7765.6579000000002</v>
      </c>
      <c r="U119" s="370">
        <f t="shared" si="56"/>
        <v>0</v>
      </c>
      <c r="V119" s="370">
        <f t="shared" si="57"/>
        <v>133428.12209999998</v>
      </c>
    </row>
    <row r="120" spans="1:22" s="39" customFormat="1" ht="14.1" customHeight="1" x14ac:dyDescent="0.2">
      <c r="A120" s="41">
        <v>1500</v>
      </c>
      <c r="B120" s="375">
        <v>283</v>
      </c>
      <c r="C120" s="445" t="s">
        <v>700</v>
      </c>
      <c r="D120" s="376">
        <v>1</v>
      </c>
      <c r="E120" s="14" t="s">
        <v>102</v>
      </c>
      <c r="F120" s="14" t="s">
        <v>288</v>
      </c>
      <c r="G120" s="370">
        <f>VLOOKUP(E120,'OTP FED Pre-Tax Balances'!$A:$K,6,FALSE)</f>
        <v>-3389162</v>
      </c>
      <c r="H120" s="2"/>
      <c r="I120" s="370">
        <f t="shared" si="48"/>
        <v>-1186206.7</v>
      </c>
      <c r="J120" s="370">
        <f t="shared" si="49"/>
        <v>65241.368499999997</v>
      </c>
      <c r="K120" s="370">
        <f t="shared" si="50"/>
        <v>-186403.91</v>
      </c>
      <c r="L120" s="370">
        <f t="shared" si="51"/>
        <v>-1307369.2414999998</v>
      </c>
      <c r="M120" s="67"/>
      <c r="N120" s="370">
        <f t="shared" si="52"/>
        <v>-711724.02</v>
      </c>
      <c r="O120" s="370">
        <f t="shared" si="53"/>
        <v>39144.821100000001</v>
      </c>
      <c r="P120" s="370">
        <f t="shared" si="54"/>
        <v>-186403.91</v>
      </c>
      <c r="Q120" s="370">
        <f t="shared" si="55"/>
        <v>-858983.10889999999</v>
      </c>
      <c r="R120" s="67"/>
      <c r="S120" s="370">
        <f t="shared" si="56"/>
        <v>474482.67999999993</v>
      </c>
      <c r="T120" s="370">
        <f t="shared" si="56"/>
        <v>-26096.547399999996</v>
      </c>
      <c r="U120" s="370">
        <f t="shared" si="56"/>
        <v>0</v>
      </c>
      <c r="V120" s="370">
        <f t="shared" si="57"/>
        <v>448386.13259999995</v>
      </c>
    </row>
    <row r="121" spans="1:22" s="39" customFormat="1" ht="14.1" customHeight="1" x14ac:dyDescent="0.2">
      <c r="A121" s="41">
        <v>1500</v>
      </c>
      <c r="B121" s="375">
        <v>283</v>
      </c>
      <c r="C121" s="445" t="s">
        <v>700</v>
      </c>
      <c r="D121" s="376">
        <v>1</v>
      </c>
      <c r="E121" s="14" t="s">
        <v>106</v>
      </c>
      <c r="F121" s="14" t="s">
        <v>292</v>
      </c>
      <c r="G121" s="370">
        <f>VLOOKUP(E121,'OTP FED Pre-Tax Balances'!$A:$K,6,FALSE)</f>
        <v>-9656036</v>
      </c>
      <c r="H121" s="2"/>
      <c r="I121" s="370">
        <f t="shared" si="48"/>
        <v>-3379612.5999999996</v>
      </c>
      <c r="J121" s="370">
        <f t="shared" si="49"/>
        <v>185878.69299999997</v>
      </c>
      <c r="K121" s="370">
        <f t="shared" si="50"/>
        <v>-531081.98</v>
      </c>
      <c r="L121" s="370">
        <f t="shared" si="51"/>
        <v>-3724815.8869999996</v>
      </c>
      <c r="M121" s="67"/>
      <c r="N121" s="370">
        <f t="shared" si="52"/>
        <v>-2027767.5599999998</v>
      </c>
      <c r="O121" s="370">
        <f t="shared" si="53"/>
        <v>111527.21579999999</v>
      </c>
      <c r="P121" s="370">
        <f t="shared" si="54"/>
        <v>-531081.98</v>
      </c>
      <c r="Q121" s="370">
        <f t="shared" si="55"/>
        <v>-2447322.3241999997</v>
      </c>
      <c r="R121" s="67"/>
      <c r="S121" s="370">
        <f t="shared" si="56"/>
        <v>1351845.0399999998</v>
      </c>
      <c r="T121" s="370">
        <f t="shared" si="56"/>
        <v>-74351.477199999979</v>
      </c>
      <c r="U121" s="370">
        <f t="shared" si="56"/>
        <v>0</v>
      </c>
      <c r="V121" s="370">
        <f t="shared" si="57"/>
        <v>1277493.5627999997</v>
      </c>
    </row>
    <row r="122" spans="1:22" s="39" customFormat="1" ht="14.1" customHeight="1" x14ac:dyDescent="0.2">
      <c r="A122" s="41">
        <v>1500</v>
      </c>
      <c r="B122" s="375">
        <v>283</v>
      </c>
      <c r="C122" s="445" t="s">
        <v>700</v>
      </c>
      <c r="D122" s="376">
        <v>1</v>
      </c>
      <c r="E122" s="14" t="s">
        <v>107</v>
      </c>
      <c r="F122" s="14" t="s">
        <v>293</v>
      </c>
      <c r="G122" s="370">
        <f>VLOOKUP(E122,'OTP FED Pre-Tax Balances'!$A:$K,6,FALSE)</f>
        <v>-10101485</v>
      </c>
      <c r="H122" s="2"/>
      <c r="I122" s="370">
        <f t="shared" si="48"/>
        <v>-3535519.75</v>
      </c>
      <c r="J122" s="370">
        <f t="shared" si="49"/>
        <v>194453.58624999999</v>
      </c>
      <c r="K122" s="370">
        <f t="shared" si="50"/>
        <v>-555581.67500000005</v>
      </c>
      <c r="L122" s="370">
        <f t="shared" si="51"/>
        <v>-3896647.8387500001</v>
      </c>
      <c r="M122" s="67"/>
      <c r="N122" s="370">
        <f t="shared" si="52"/>
        <v>-2121311.85</v>
      </c>
      <c r="O122" s="370">
        <f t="shared" si="53"/>
        <v>116672.15175</v>
      </c>
      <c r="P122" s="370">
        <f t="shared" si="54"/>
        <v>-555581.67500000005</v>
      </c>
      <c r="Q122" s="370">
        <f t="shared" si="55"/>
        <v>-2560221.3732500002</v>
      </c>
      <c r="R122" s="67"/>
      <c r="S122" s="370">
        <f t="shared" si="56"/>
        <v>1414207.9</v>
      </c>
      <c r="T122" s="370">
        <f t="shared" si="56"/>
        <v>-77781.434499999988</v>
      </c>
      <c r="U122" s="370">
        <f t="shared" si="56"/>
        <v>0</v>
      </c>
      <c r="V122" s="370">
        <f t="shared" si="57"/>
        <v>1336426.4654999999</v>
      </c>
    </row>
    <row r="123" spans="1:22" s="39" customFormat="1" ht="14.1" customHeight="1" x14ac:dyDescent="0.2">
      <c r="A123" s="41">
        <v>1500</v>
      </c>
      <c r="B123" s="375">
        <v>283</v>
      </c>
      <c r="C123" s="445" t="s">
        <v>703</v>
      </c>
      <c r="D123" s="376">
        <v>21</v>
      </c>
      <c r="E123" s="14" t="s">
        <v>112</v>
      </c>
      <c r="F123" s="14" t="s">
        <v>298</v>
      </c>
      <c r="G123" s="370">
        <f>VLOOKUP(E123,'OTP FED Pre-Tax Balances'!$A:$K,6,FALSE)</f>
        <v>-26032853</v>
      </c>
      <c r="H123" s="2"/>
      <c r="I123" s="370">
        <f t="shared" si="48"/>
        <v>-9111498.5499999989</v>
      </c>
      <c r="J123" s="370">
        <f t="shared" si="49"/>
        <v>501132.42024999997</v>
      </c>
      <c r="K123" s="370">
        <f t="shared" si="50"/>
        <v>-1431806.915</v>
      </c>
      <c r="L123" s="370">
        <f t="shared" si="51"/>
        <v>-10042173.044749998</v>
      </c>
      <c r="M123" s="67"/>
      <c r="N123" s="370">
        <f t="shared" si="52"/>
        <v>-5466899.1299999999</v>
      </c>
      <c r="O123" s="370">
        <f t="shared" si="53"/>
        <v>300679.45214999997</v>
      </c>
      <c r="P123" s="370">
        <f t="shared" si="54"/>
        <v>-1431806.915</v>
      </c>
      <c r="Q123" s="370">
        <f t="shared" si="55"/>
        <v>-6598026.5928499997</v>
      </c>
      <c r="R123" s="67"/>
      <c r="S123" s="370">
        <f t="shared" si="56"/>
        <v>3644599.419999999</v>
      </c>
      <c r="T123" s="370">
        <f t="shared" si="56"/>
        <v>-200452.9681</v>
      </c>
      <c r="U123" s="370">
        <f t="shared" si="56"/>
        <v>0</v>
      </c>
      <c r="V123" s="370">
        <f t="shared" si="57"/>
        <v>3444146.4518999988</v>
      </c>
    </row>
    <row r="124" spans="1:22" s="39" customFormat="1" ht="14.1" customHeight="1" x14ac:dyDescent="0.2">
      <c r="A124" s="41">
        <v>1500</v>
      </c>
      <c r="B124" s="375">
        <v>283</v>
      </c>
      <c r="C124" s="445" t="s">
        <v>704</v>
      </c>
      <c r="D124" s="376">
        <v>22</v>
      </c>
      <c r="E124" s="14" t="s">
        <v>114</v>
      </c>
      <c r="F124" s="14" t="s">
        <v>300</v>
      </c>
      <c r="G124" s="370">
        <f>VLOOKUP(E124,'OTP FED Pre-Tax Balances'!$A:$K,6,FALSE)</f>
        <v>-11146139</v>
      </c>
      <c r="H124" s="2"/>
      <c r="I124" s="370">
        <f t="shared" si="48"/>
        <v>-3901148.65</v>
      </c>
      <c r="J124" s="370">
        <f t="shared" si="49"/>
        <v>214563.17574999999</v>
      </c>
      <c r="K124" s="370">
        <f t="shared" si="50"/>
        <v>-613037.64500000002</v>
      </c>
      <c r="L124" s="370">
        <f t="shared" si="51"/>
        <v>-4299623.1192499995</v>
      </c>
      <c r="M124" s="67"/>
      <c r="N124" s="370">
        <f t="shared" si="52"/>
        <v>-2340689.19</v>
      </c>
      <c r="O124" s="370">
        <f t="shared" si="53"/>
        <v>128737.90545000001</v>
      </c>
      <c r="P124" s="370">
        <f t="shared" si="54"/>
        <v>-613037.64500000002</v>
      </c>
      <c r="Q124" s="370">
        <f t="shared" si="55"/>
        <v>-2824988.92955</v>
      </c>
      <c r="R124" s="67"/>
      <c r="S124" s="370">
        <f t="shared" si="56"/>
        <v>1560459.46</v>
      </c>
      <c r="T124" s="370">
        <f t="shared" si="56"/>
        <v>-85825.270299999989</v>
      </c>
      <c r="U124" s="370">
        <f t="shared" si="56"/>
        <v>0</v>
      </c>
      <c r="V124" s="370">
        <f t="shared" si="57"/>
        <v>1474634.1897</v>
      </c>
    </row>
    <row r="125" spans="1:22" s="39" customFormat="1" ht="14.1" customHeight="1" x14ac:dyDescent="0.2">
      <c r="A125" s="41">
        <v>1500</v>
      </c>
      <c r="B125" s="375">
        <v>283</v>
      </c>
      <c r="C125" s="445" t="s">
        <v>703</v>
      </c>
      <c r="D125" s="376">
        <v>21</v>
      </c>
      <c r="E125" s="14" t="s">
        <v>116</v>
      </c>
      <c r="F125" s="14" t="s">
        <v>302</v>
      </c>
      <c r="G125" s="370">
        <f>VLOOKUP(E125,'OTP FED Pre-Tax Balances'!$A:$K,6,FALSE)</f>
        <v>-77040475</v>
      </c>
      <c r="H125" s="2"/>
      <c r="I125" s="370">
        <f t="shared" si="48"/>
        <v>-26964166.25</v>
      </c>
      <c r="J125" s="370">
        <f t="shared" si="49"/>
        <v>1483029.1437499998</v>
      </c>
      <c r="K125" s="370">
        <f t="shared" si="50"/>
        <v>-4237226.125</v>
      </c>
      <c r="L125" s="370">
        <f t="shared" si="51"/>
        <v>-29718363.231249999</v>
      </c>
      <c r="M125" s="67"/>
      <c r="N125" s="370">
        <f t="shared" si="52"/>
        <v>-16178499.75</v>
      </c>
      <c r="O125" s="370">
        <f t="shared" si="53"/>
        <v>889817.48624999996</v>
      </c>
      <c r="P125" s="370">
        <f t="shared" si="54"/>
        <v>-4237226.125</v>
      </c>
      <c r="Q125" s="370">
        <f t="shared" si="55"/>
        <v>-19525908.388750002</v>
      </c>
      <c r="R125" s="67"/>
      <c r="S125" s="370">
        <f t="shared" si="56"/>
        <v>10785666.5</v>
      </c>
      <c r="T125" s="370">
        <f t="shared" si="56"/>
        <v>-593211.65749999986</v>
      </c>
      <c r="U125" s="370">
        <f t="shared" si="56"/>
        <v>0</v>
      </c>
      <c r="V125" s="370">
        <f t="shared" si="57"/>
        <v>10192454.842499999</v>
      </c>
    </row>
    <row r="126" spans="1:22" s="39" customFormat="1" ht="14.1" customHeight="1" x14ac:dyDescent="0.2">
      <c r="A126" s="41">
        <v>1500</v>
      </c>
      <c r="B126" s="375">
        <v>283</v>
      </c>
      <c r="C126" s="445" t="s">
        <v>701</v>
      </c>
      <c r="D126" s="376">
        <v>30</v>
      </c>
      <c r="E126" s="14" t="s">
        <v>122</v>
      </c>
      <c r="F126" s="14" t="s">
        <v>308</v>
      </c>
      <c r="G126" s="370">
        <f>VLOOKUP(E126,'OTP FED Pre-Tax Balances'!$A:$K,6,FALSE)</f>
        <v>-29298885</v>
      </c>
      <c r="H126" s="2"/>
      <c r="I126" s="370">
        <f t="shared" si="48"/>
        <v>-10254609.75</v>
      </c>
      <c r="J126" s="370">
        <f t="shared" si="49"/>
        <v>564003.53625</v>
      </c>
      <c r="K126" s="370">
        <f t="shared" si="50"/>
        <v>-1611438.675</v>
      </c>
      <c r="L126" s="370">
        <f t="shared" si="51"/>
        <v>-11302044.88875</v>
      </c>
      <c r="M126" s="67"/>
      <c r="N126" s="370">
        <f t="shared" si="52"/>
        <v>-6152765.8499999996</v>
      </c>
      <c r="O126" s="370">
        <f t="shared" si="53"/>
        <v>338402.12174999999</v>
      </c>
      <c r="P126" s="370">
        <f t="shared" si="54"/>
        <v>-1611438.675</v>
      </c>
      <c r="Q126" s="370">
        <f t="shared" si="55"/>
        <v>-7425802.4032499995</v>
      </c>
      <c r="R126" s="67"/>
      <c r="S126" s="370">
        <f t="shared" si="56"/>
        <v>4101843.9000000004</v>
      </c>
      <c r="T126" s="370">
        <f t="shared" si="56"/>
        <v>-225601.41450000001</v>
      </c>
      <c r="U126" s="370">
        <f t="shared" si="56"/>
        <v>0</v>
      </c>
      <c r="V126" s="370">
        <f t="shared" si="57"/>
        <v>3876242.4855000004</v>
      </c>
    </row>
    <row r="127" spans="1:22" s="39" customFormat="1" ht="14.1" customHeight="1" x14ac:dyDescent="0.2">
      <c r="A127" s="41">
        <v>1500</v>
      </c>
      <c r="B127" s="375">
        <v>283</v>
      </c>
      <c r="C127" s="445" t="s">
        <v>700</v>
      </c>
      <c r="D127" s="376">
        <v>1</v>
      </c>
      <c r="E127" s="14" t="s">
        <v>125</v>
      </c>
      <c r="F127" s="14" t="s">
        <v>311</v>
      </c>
      <c r="G127" s="370">
        <f>VLOOKUP(E127,'OTP FED Pre-Tax Balances'!$A:$K,6,FALSE)</f>
        <v>-12825069</v>
      </c>
      <c r="H127" s="2"/>
      <c r="I127" s="370">
        <f t="shared" si="48"/>
        <v>-4488774.1499999994</v>
      </c>
      <c r="J127" s="370">
        <f t="shared" si="49"/>
        <v>246882.57824999999</v>
      </c>
      <c r="K127" s="370">
        <f t="shared" si="50"/>
        <v>-705378.79500000004</v>
      </c>
      <c r="L127" s="370">
        <f t="shared" si="51"/>
        <v>-4947270.3667499991</v>
      </c>
      <c r="M127" s="67"/>
      <c r="N127" s="370">
        <f t="shared" si="52"/>
        <v>-2693264.4899999998</v>
      </c>
      <c r="O127" s="370">
        <f t="shared" si="53"/>
        <v>148129.54694999999</v>
      </c>
      <c r="P127" s="370">
        <f t="shared" si="54"/>
        <v>-705378.79500000004</v>
      </c>
      <c r="Q127" s="370">
        <f t="shared" si="55"/>
        <v>-3250513.7380499998</v>
      </c>
      <c r="R127" s="67"/>
      <c r="S127" s="370">
        <f t="shared" si="56"/>
        <v>1795509.6599999997</v>
      </c>
      <c r="T127" s="370">
        <f t="shared" si="56"/>
        <v>-98753.031300000002</v>
      </c>
      <c r="U127" s="370">
        <f t="shared" si="56"/>
        <v>0</v>
      </c>
      <c r="V127" s="370">
        <f t="shared" si="57"/>
        <v>1696756.6286999998</v>
      </c>
    </row>
    <row r="128" spans="1:22" s="39" customFormat="1" ht="14.1" customHeight="1" x14ac:dyDescent="0.2">
      <c r="A128" s="41">
        <v>1500</v>
      </c>
      <c r="B128" s="375">
        <v>283</v>
      </c>
      <c r="C128" s="445" t="s">
        <v>700</v>
      </c>
      <c r="D128" s="376">
        <v>1</v>
      </c>
      <c r="E128" s="14" t="s">
        <v>127</v>
      </c>
      <c r="F128" s="14" t="s">
        <v>313</v>
      </c>
      <c r="G128" s="370">
        <f>VLOOKUP(E128,'OTP FED Pre-Tax Balances'!$A:$K,6,FALSE)</f>
        <v>-14597066</v>
      </c>
      <c r="H128" s="2"/>
      <c r="I128" s="370">
        <f t="shared" si="48"/>
        <v>-5108973.0999999996</v>
      </c>
      <c r="J128" s="370">
        <f t="shared" si="49"/>
        <v>280993.52049999998</v>
      </c>
      <c r="K128" s="370">
        <f t="shared" si="50"/>
        <v>-802838.63</v>
      </c>
      <c r="L128" s="370">
        <f t="shared" si="51"/>
        <v>-5630818.2094999999</v>
      </c>
      <c r="M128" s="67"/>
      <c r="N128" s="370">
        <f t="shared" si="52"/>
        <v>-3065383.86</v>
      </c>
      <c r="O128" s="370">
        <f t="shared" si="53"/>
        <v>168596.11230000001</v>
      </c>
      <c r="P128" s="370">
        <f t="shared" si="54"/>
        <v>-802838.63</v>
      </c>
      <c r="Q128" s="370">
        <f t="shared" si="55"/>
        <v>-3699626.3776999996</v>
      </c>
      <c r="R128" s="67"/>
      <c r="S128" s="370">
        <f t="shared" si="56"/>
        <v>2043589.2399999998</v>
      </c>
      <c r="T128" s="370">
        <f t="shared" si="56"/>
        <v>-112397.40819999998</v>
      </c>
      <c r="U128" s="370">
        <f t="shared" si="56"/>
        <v>0</v>
      </c>
      <c r="V128" s="370">
        <f t="shared" si="57"/>
        <v>1931191.8317999998</v>
      </c>
    </row>
    <row r="129" spans="1:22" s="39" customFormat="1" ht="14.1" customHeight="1" x14ac:dyDescent="0.2">
      <c r="A129" s="41">
        <v>1500</v>
      </c>
      <c r="B129" s="375">
        <v>283</v>
      </c>
      <c r="C129" s="445" t="s">
        <v>700</v>
      </c>
      <c r="D129" s="376">
        <v>1</v>
      </c>
      <c r="E129" s="14" t="s">
        <v>128</v>
      </c>
      <c r="F129" s="14" t="s">
        <v>314</v>
      </c>
      <c r="G129" s="370">
        <f>VLOOKUP(E129,'OTP FED Pre-Tax Balances'!$A:$K,6,FALSE)</f>
        <v>-742563</v>
      </c>
      <c r="H129" s="2"/>
      <c r="I129" s="370">
        <f t="shared" si="48"/>
        <v>-259897.05</v>
      </c>
      <c r="J129" s="370">
        <f t="shared" si="49"/>
        <v>14294.337750000001</v>
      </c>
      <c r="K129" s="370">
        <f t="shared" si="50"/>
        <v>-40840.965000000004</v>
      </c>
      <c r="L129" s="370">
        <f t="shared" si="51"/>
        <v>-286443.67725000001</v>
      </c>
      <c r="M129" s="67"/>
      <c r="N129" s="370">
        <f t="shared" si="52"/>
        <v>-155938.22999999998</v>
      </c>
      <c r="O129" s="370">
        <f t="shared" si="53"/>
        <v>8576.6026500000007</v>
      </c>
      <c r="P129" s="370">
        <f t="shared" si="54"/>
        <v>-40840.965000000004</v>
      </c>
      <c r="Q129" s="370">
        <f t="shared" si="55"/>
        <v>-188202.59234999996</v>
      </c>
      <c r="R129" s="67"/>
      <c r="S129" s="370">
        <f t="shared" si="56"/>
        <v>103958.82</v>
      </c>
      <c r="T129" s="370">
        <f t="shared" si="56"/>
        <v>-5717.7350999999999</v>
      </c>
      <c r="U129" s="370">
        <f t="shared" si="56"/>
        <v>0</v>
      </c>
      <c r="V129" s="370">
        <f t="shared" si="57"/>
        <v>98241.084900000002</v>
      </c>
    </row>
    <row r="130" spans="1:22" s="39" customFormat="1" ht="14.1" customHeight="1" x14ac:dyDescent="0.2">
      <c r="A130" s="41">
        <v>1500</v>
      </c>
      <c r="B130" s="375">
        <v>283</v>
      </c>
      <c r="C130" s="445" t="s">
        <v>701</v>
      </c>
      <c r="D130" s="376">
        <v>30</v>
      </c>
      <c r="E130" s="14" t="s">
        <v>163</v>
      </c>
      <c r="F130" s="14" t="s">
        <v>348</v>
      </c>
      <c r="G130" s="370">
        <f>VLOOKUP(E130,'OTP FED Pre-Tax Balances'!$A:$K,6,FALSE)</f>
        <v>-2804913</v>
      </c>
      <c r="H130" s="2"/>
      <c r="I130" s="370">
        <f t="shared" si="48"/>
        <v>-981719.54999999993</v>
      </c>
      <c r="J130" s="370">
        <f t="shared" si="49"/>
        <v>53994.575249999994</v>
      </c>
      <c r="K130" s="370">
        <f t="shared" si="50"/>
        <v>-154270.215</v>
      </c>
      <c r="L130" s="370">
        <f t="shared" si="51"/>
        <v>-1081995.1897499999</v>
      </c>
      <c r="M130" s="67"/>
      <c r="N130" s="370">
        <f t="shared" si="52"/>
        <v>-589031.73</v>
      </c>
      <c r="O130" s="370">
        <f t="shared" si="53"/>
        <v>32396.745149999999</v>
      </c>
      <c r="P130" s="370">
        <f t="shared" si="54"/>
        <v>-154270.215</v>
      </c>
      <c r="Q130" s="370">
        <f t="shared" si="55"/>
        <v>-710905.19984999998</v>
      </c>
      <c r="R130" s="67"/>
      <c r="S130" s="370">
        <f t="shared" si="56"/>
        <v>392687.81999999995</v>
      </c>
      <c r="T130" s="370">
        <f t="shared" si="56"/>
        <v>-21597.830099999996</v>
      </c>
      <c r="U130" s="370">
        <f t="shared" si="56"/>
        <v>0</v>
      </c>
      <c r="V130" s="370">
        <f t="shared" si="57"/>
        <v>371089.98989999993</v>
      </c>
    </row>
    <row r="131" spans="1:22" s="39" customFormat="1" ht="14.1" customHeight="1" x14ac:dyDescent="0.2">
      <c r="A131" s="41">
        <v>1500</v>
      </c>
      <c r="B131" s="375">
        <v>283</v>
      </c>
      <c r="C131" s="445" t="s">
        <v>700</v>
      </c>
      <c r="D131" s="376">
        <v>1</v>
      </c>
      <c r="E131" s="14" t="s">
        <v>176</v>
      </c>
      <c r="F131" s="14" t="s">
        <v>361</v>
      </c>
      <c r="G131" s="370">
        <f>VLOOKUP(E131,'OTP FED Pre-Tax Balances'!$A:$K,6,FALSE)</f>
        <v>-67547937</v>
      </c>
      <c r="H131" s="2"/>
      <c r="I131" s="370">
        <f t="shared" si="48"/>
        <v>-23641777.949999999</v>
      </c>
      <c r="J131" s="370">
        <f t="shared" si="49"/>
        <v>1300297.7872500001</v>
      </c>
      <c r="K131" s="370">
        <f t="shared" si="50"/>
        <v>-3715136.5350000001</v>
      </c>
      <c r="L131" s="370">
        <f t="shared" si="51"/>
        <v>-26056616.697749998</v>
      </c>
      <c r="M131" s="67"/>
      <c r="N131" s="370">
        <f t="shared" si="52"/>
        <v>-14185066.77</v>
      </c>
      <c r="O131" s="370">
        <f t="shared" si="53"/>
        <v>780178.67235000001</v>
      </c>
      <c r="P131" s="370">
        <f t="shared" si="54"/>
        <v>-3715136.5350000001</v>
      </c>
      <c r="Q131" s="370">
        <f t="shared" si="55"/>
        <v>-17120024.632649999</v>
      </c>
      <c r="R131" s="67"/>
      <c r="S131" s="370">
        <f t="shared" si="56"/>
        <v>9456711.1799999997</v>
      </c>
      <c r="T131" s="370">
        <f t="shared" si="56"/>
        <v>-520119.11490000004</v>
      </c>
      <c r="U131" s="370">
        <f t="shared" si="56"/>
        <v>0</v>
      </c>
      <c r="V131" s="370">
        <f t="shared" si="57"/>
        <v>8936592.0650999993</v>
      </c>
    </row>
    <row r="132" spans="1:22" s="39" customFormat="1" ht="14.1" customHeight="1" x14ac:dyDescent="0.2">
      <c r="A132" s="41">
        <v>1500</v>
      </c>
      <c r="B132" s="375">
        <v>283</v>
      </c>
      <c r="C132" s="445" t="s">
        <v>700</v>
      </c>
      <c r="D132" s="376">
        <v>1</v>
      </c>
      <c r="E132" s="14" t="s">
        <v>179</v>
      </c>
      <c r="F132" s="14" t="s">
        <v>364</v>
      </c>
      <c r="G132" s="370">
        <f>VLOOKUP(E132,'OTP FED Pre-Tax Balances'!$A:$K,6,FALSE)</f>
        <v>-115491986</v>
      </c>
      <c r="H132" s="2"/>
      <c r="I132" s="370">
        <f t="shared" si="48"/>
        <v>-40422195.099999994</v>
      </c>
      <c r="J132" s="370">
        <f t="shared" si="49"/>
        <v>2223220.7305000001</v>
      </c>
      <c r="K132" s="370">
        <f t="shared" si="50"/>
        <v>-6352059.2300000004</v>
      </c>
      <c r="L132" s="370">
        <f t="shared" si="51"/>
        <v>-44551033.5995</v>
      </c>
      <c r="M132" s="67"/>
      <c r="N132" s="370">
        <f t="shared" si="52"/>
        <v>-24253317.059999999</v>
      </c>
      <c r="O132" s="370">
        <f t="shared" si="53"/>
        <v>1333932.4383</v>
      </c>
      <c r="P132" s="370">
        <f t="shared" si="54"/>
        <v>-6352059.2300000004</v>
      </c>
      <c r="Q132" s="370">
        <f t="shared" si="55"/>
        <v>-29271443.8517</v>
      </c>
      <c r="R132" s="67"/>
      <c r="S132" s="370">
        <f t="shared" si="56"/>
        <v>16168878.039999995</v>
      </c>
      <c r="T132" s="370">
        <f t="shared" si="56"/>
        <v>-889288.29220000003</v>
      </c>
      <c r="U132" s="370">
        <f t="shared" si="56"/>
        <v>0</v>
      </c>
      <c r="V132" s="370">
        <f t="shared" si="57"/>
        <v>15279589.747799996</v>
      </c>
    </row>
    <row r="133" spans="1:22" s="39" customFormat="1" ht="14.1" customHeight="1" x14ac:dyDescent="0.2">
      <c r="A133" s="41">
        <v>1500</v>
      </c>
      <c r="B133" s="375">
        <v>283</v>
      </c>
      <c r="C133" s="445" t="s">
        <v>697</v>
      </c>
      <c r="D133" s="376">
        <v>5</v>
      </c>
      <c r="E133" s="14" t="s">
        <v>180</v>
      </c>
      <c r="F133" s="14" t="s">
        <v>365</v>
      </c>
      <c r="G133" s="370">
        <f>VLOOKUP(E133,'OTP FED Pre-Tax Balances'!$A:$K,6,FALSE)</f>
        <v>5224057</v>
      </c>
      <c r="H133" s="2"/>
      <c r="I133" s="370">
        <f t="shared" si="48"/>
        <v>1828419.95</v>
      </c>
      <c r="J133" s="370">
        <f t="shared" si="49"/>
        <v>-100563.09724999999</v>
      </c>
      <c r="K133" s="370">
        <f t="shared" si="50"/>
        <v>287323.13500000001</v>
      </c>
      <c r="L133" s="370">
        <f t="shared" si="51"/>
        <v>2015179.9877500001</v>
      </c>
      <c r="M133" s="67"/>
      <c r="N133" s="370">
        <f t="shared" si="52"/>
        <v>1097051.97</v>
      </c>
      <c r="O133" s="370">
        <f t="shared" si="53"/>
        <v>-60337.858350000002</v>
      </c>
      <c r="P133" s="370">
        <f t="shared" si="54"/>
        <v>287323.13500000001</v>
      </c>
      <c r="Q133" s="370">
        <f t="shared" si="55"/>
        <v>1324037.2466500001</v>
      </c>
      <c r="R133" s="67"/>
      <c r="S133" s="370">
        <f t="shared" si="56"/>
        <v>-731367.98</v>
      </c>
      <c r="T133" s="370">
        <f t="shared" si="56"/>
        <v>40225.238899999989</v>
      </c>
      <c r="U133" s="370">
        <f t="shared" si="56"/>
        <v>0</v>
      </c>
      <c r="V133" s="370">
        <f t="shared" si="57"/>
        <v>-691142.74109999998</v>
      </c>
    </row>
    <row r="134" spans="1:22" ht="14.1" customHeight="1" x14ac:dyDescent="0.2">
      <c r="A134" s="41"/>
      <c r="C134" s="374"/>
      <c r="D134" s="375"/>
      <c r="E134" s="14"/>
      <c r="F134" s="43" t="s">
        <v>460</v>
      </c>
      <c r="G134" s="42">
        <f>SUM(G97:G133)</f>
        <v>-5424897434</v>
      </c>
      <c r="I134" s="42">
        <f>SUM(I97:I133)</f>
        <v>-1898714101.8999999</v>
      </c>
      <c r="J134" s="42">
        <f>SUM(J97:J133)</f>
        <v>104429275.6045</v>
      </c>
      <c r="K134" s="42">
        <f>SUM(K97:K133)</f>
        <v>-298369358.87000012</v>
      </c>
      <c r="L134" s="42">
        <f>SUM(L97:L133)</f>
        <v>-2092654185.1654999</v>
      </c>
      <c r="N134" s="42">
        <f>SUM(N97:N133)</f>
        <v>-1139228461.1399996</v>
      </c>
      <c r="O134" s="42">
        <f>SUM(O97:O133)</f>
        <v>62657565.362699993</v>
      </c>
      <c r="P134" s="42">
        <f>SUM(P97:P133)</f>
        <v>-298369358.87000012</v>
      </c>
      <c r="Q134" s="42">
        <f>SUM(Q97:Q133)</f>
        <v>-1374940254.6473002</v>
      </c>
      <c r="S134" s="42">
        <f>SUM(S97:S133)</f>
        <v>759485640.75999975</v>
      </c>
      <c r="T134" s="42">
        <f>SUM(T97:T133)</f>
        <v>-41771710.241799988</v>
      </c>
      <c r="U134" s="42">
        <f>SUM(U97:U133)</f>
        <v>0</v>
      </c>
      <c r="V134" s="42">
        <f>SUM(V97:V133)</f>
        <v>717713930.51819992</v>
      </c>
    </row>
    <row r="135" spans="1:22" ht="14.1" customHeight="1" x14ac:dyDescent="0.2">
      <c r="A135" s="41"/>
      <c r="C135" s="374"/>
      <c r="D135" s="375"/>
      <c r="E135" s="14"/>
      <c r="F135" s="14"/>
      <c r="G135" s="370"/>
      <c r="V135" s="67"/>
    </row>
    <row r="136" spans="1:22" ht="14.1" customHeight="1" x14ac:dyDescent="0.2">
      <c r="C136" s="374"/>
      <c r="D136" s="375"/>
      <c r="V136" s="67"/>
    </row>
    <row r="137" spans="1:22" ht="14.1" customHeight="1" thickBot="1" x14ac:dyDescent="0.25">
      <c r="C137" s="374"/>
      <c r="D137" s="375"/>
      <c r="F137" s="372" t="s">
        <v>458</v>
      </c>
      <c r="G137" s="31">
        <f>G61+G95+G134</f>
        <v>-24156070517</v>
      </c>
      <c r="I137" s="31">
        <f>I61+I95+I134</f>
        <v>-8454624680.9499989</v>
      </c>
      <c r="J137" s="31">
        <f>J61+J95+J134</f>
        <v>465004357.45225</v>
      </c>
      <c r="K137" s="31">
        <f>K61+K95+K134</f>
        <v>-1328583878.4350007</v>
      </c>
      <c r="L137" s="31">
        <f>L61+L95+L134</f>
        <v>-9318204201.9327526</v>
      </c>
      <c r="N137" s="31">
        <f>N61+N95+N134</f>
        <v>-5072774808.5699968</v>
      </c>
      <c r="O137" s="31">
        <f>O61+O95+O134</f>
        <v>279002614.47135001</v>
      </c>
      <c r="P137" s="31">
        <f>P61+P95+P134</f>
        <v>-1328583878.4350007</v>
      </c>
      <c r="Q137" s="31">
        <f>Q61+Q95+Q134</f>
        <v>-6122356072.5336494</v>
      </c>
      <c r="S137" s="31">
        <f>S61+S95+S134</f>
        <v>3381849872.3799992</v>
      </c>
      <c r="T137" s="31">
        <f>T61+T95+T134</f>
        <v>-186001742.98090002</v>
      </c>
      <c r="U137" s="31">
        <f>U61+U95+U134</f>
        <v>0</v>
      </c>
      <c r="V137" s="31">
        <f>V61+V95+V134</f>
        <v>3195848129.3990998</v>
      </c>
    </row>
    <row r="138" spans="1:22" ht="14.1" customHeight="1" thickTop="1" x14ac:dyDescent="0.2">
      <c r="C138" s="374"/>
      <c r="D138" s="375"/>
      <c r="F138" s="66" t="s">
        <v>433</v>
      </c>
      <c r="G138" s="370">
        <f>'OTP FED Pre-Tax Balances'!C197-'Total Excess ADIT'!G137</f>
        <v>2</v>
      </c>
      <c r="I138" s="32"/>
      <c r="J138" s="32"/>
      <c r="K138" s="32"/>
      <c r="L138" s="32"/>
      <c r="N138" s="32"/>
      <c r="O138" s="32"/>
      <c r="P138" s="32"/>
      <c r="Q138" s="32"/>
      <c r="S138" s="32"/>
      <c r="T138" s="32"/>
      <c r="U138" s="32"/>
      <c r="V138" s="32"/>
    </row>
    <row r="139" spans="1:22" ht="14.1" customHeight="1" x14ac:dyDescent="0.2">
      <c r="A139" s="37" t="s">
        <v>457</v>
      </c>
      <c r="C139" s="374"/>
      <c r="D139" s="375"/>
      <c r="G139" s="32"/>
      <c r="I139" s="32"/>
      <c r="J139" s="32"/>
      <c r="K139" s="32"/>
      <c r="L139" s="32"/>
      <c r="N139" s="32"/>
      <c r="O139" s="32"/>
      <c r="P139" s="32"/>
      <c r="Q139" s="32"/>
      <c r="S139" s="32"/>
      <c r="T139" s="32"/>
      <c r="U139" s="32"/>
      <c r="V139" s="32"/>
    </row>
    <row r="140" spans="1:22" ht="14.1" customHeight="1" x14ac:dyDescent="0.2">
      <c r="A140" s="36" t="s">
        <v>444</v>
      </c>
      <c r="B140" s="375">
        <v>282</v>
      </c>
      <c r="C140" s="445" t="s">
        <v>695</v>
      </c>
      <c r="D140" s="376">
        <v>30</v>
      </c>
      <c r="E140" s="14" t="s">
        <v>45</v>
      </c>
      <c r="F140" s="14" t="s">
        <v>231</v>
      </c>
      <c r="G140" s="370">
        <f>VLOOKUP(E140,'OTP State Pre-Tax'!$A:$M,13,FALSE)</f>
        <v>-204526</v>
      </c>
      <c r="I140" s="370"/>
      <c r="J140" s="370">
        <f t="shared" ref="J140:J145" si="58">-K140*$I$7</f>
        <v>3937.1254999999996</v>
      </c>
      <c r="K140" s="370">
        <f t="shared" ref="K140:K145" si="59">G140*$K$7</f>
        <v>-11248.93</v>
      </c>
      <c r="L140" s="370">
        <f t="shared" ref="L140:L145" si="60">SUM(I140:K140)</f>
        <v>-7311.8045000000002</v>
      </c>
      <c r="N140" s="370"/>
      <c r="O140" s="370">
        <f t="shared" ref="O140:O145" si="61">-P140*$N$7</f>
        <v>2362.2752999999998</v>
      </c>
      <c r="P140" s="370">
        <f t="shared" ref="P140:P145" si="62">G140*$P$7</f>
        <v>-11248.93</v>
      </c>
      <c r="Q140" s="370">
        <f t="shared" ref="Q140:Q145" si="63">SUM(N140:P140)</f>
        <v>-8886.654700000001</v>
      </c>
      <c r="S140" s="370">
        <f t="shared" ref="S140:U145" si="64">N140-I140</f>
        <v>0</v>
      </c>
      <c r="T140" s="370">
        <f t="shared" si="64"/>
        <v>-1574.8501999999999</v>
      </c>
      <c r="U140" s="370">
        <f t="shared" si="64"/>
        <v>0</v>
      </c>
      <c r="V140" s="17">
        <f t="shared" ref="V140:V145" si="65">SUM(S140:U140)</f>
        <v>-1574.8501999999999</v>
      </c>
    </row>
    <row r="141" spans="1:22" ht="14.1" customHeight="1" x14ac:dyDescent="0.2">
      <c r="A141" s="36" t="s">
        <v>444</v>
      </c>
      <c r="B141" s="375">
        <v>282</v>
      </c>
      <c r="C141" s="445" t="s">
        <v>695</v>
      </c>
      <c r="D141" s="376">
        <v>30</v>
      </c>
      <c r="E141" s="14" t="s">
        <v>456</v>
      </c>
      <c r="F141" s="14" t="s">
        <v>455</v>
      </c>
      <c r="G141" s="370">
        <f>VLOOKUP(E141,'OTP State Pre-Tax'!$A:$M,13,FALSE)</f>
        <v>16312165</v>
      </c>
      <c r="I141" s="370"/>
      <c r="J141" s="370">
        <f t="shared" si="58"/>
        <v>-314009.17624999996</v>
      </c>
      <c r="K141" s="370">
        <f t="shared" si="59"/>
        <v>897169.07499999995</v>
      </c>
      <c r="L141" s="370">
        <f t="shared" si="60"/>
        <v>583159.89874999993</v>
      </c>
      <c r="N141" s="370"/>
      <c r="O141" s="370">
        <f t="shared" si="61"/>
        <v>-188405.50574999998</v>
      </c>
      <c r="P141" s="370">
        <f t="shared" si="62"/>
        <v>897169.07499999995</v>
      </c>
      <c r="Q141" s="370">
        <f t="shared" si="63"/>
        <v>708763.56924999994</v>
      </c>
      <c r="S141" s="370">
        <f t="shared" si="64"/>
        <v>0</v>
      </c>
      <c r="T141" s="370">
        <f t="shared" si="64"/>
        <v>125603.67049999998</v>
      </c>
      <c r="U141" s="370">
        <f t="shared" si="64"/>
        <v>0</v>
      </c>
      <c r="V141" s="17">
        <f t="shared" si="65"/>
        <v>125603.67049999998</v>
      </c>
    </row>
    <row r="142" spans="1:22" ht="14.1" customHeight="1" x14ac:dyDescent="0.2">
      <c r="A142" s="36" t="s">
        <v>444</v>
      </c>
      <c r="B142" s="375">
        <v>282</v>
      </c>
      <c r="C142" s="445" t="s">
        <v>454</v>
      </c>
      <c r="D142" s="376">
        <v>6</v>
      </c>
      <c r="E142" s="14" t="s">
        <v>424</v>
      </c>
      <c r="F142" s="14" t="s">
        <v>453</v>
      </c>
      <c r="G142" s="370">
        <f>VLOOKUP(E142,'OTP State Pre-Tax'!$A:$M,13,FALSE)</f>
        <v>4674495003</v>
      </c>
      <c r="I142" s="370"/>
      <c r="J142" s="370">
        <f t="shared" si="58"/>
        <v>-89984028.807749987</v>
      </c>
      <c r="K142" s="370">
        <f t="shared" si="59"/>
        <v>257097225.16499999</v>
      </c>
      <c r="L142" s="370">
        <f t="shared" si="60"/>
        <v>167113196.35725001</v>
      </c>
      <c r="N142" s="370"/>
      <c r="O142" s="370">
        <f t="shared" si="61"/>
        <v>-53990417.284649998</v>
      </c>
      <c r="P142" s="370">
        <f t="shared" si="62"/>
        <v>257097225.16499999</v>
      </c>
      <c r="Q142" s="370">
        <f t="shared" si="63"/>
        <v>203106807.88034999</v>
      </c>
      <c r="S142" s="370">
        <f t="shared" si="64"/>
        <v>0</v>
      </c>
      <c r="T142" s="370">
        <f t="shared" si="64"/>
        <v>35993611.523099989</v>
      </c>
      <c r="U142" s="370">
        <f t="shared" si="64"/>
        <v>0</v>
      </c>
      <c r="V142" s="17">
        <f t="shared" si="65"/>
        <v>35993611.523099989</v>
      </c>
    </row>
    <row r="143" spans="1:22" ht="14.1" customHeight="1" x14ac:dyDescent="0.2">
      <c r="A143" s="36" t="s">
        <v>444</v>
      </c>
      <c r="B143" s="375">
        <v>282</v>
      </c>
      <c r="C143" s="445" t="s">
        <v>452</v>
      </c>
      <c r="D143" s="376">
        <v>2</v>
      </c>
      <c r="E143" s="14" t="s">
        <v>412</v>
      </c>
      <c r="F143" s="14" t="s">
        <v>411</v>
      </c>
      <c r="G143" s="370">
        <f>VLOOKUP(E143,'OTP State Pre-Tax'!$A:$M,13,FALSE)</f>
        <v>23579500</v>
      </c>
      <c r="I143" s="370"/>
      <c r="J143" s="370">
        <f t="shared" si="58"/>
        <v>-453905.375</v>
      </c>
      <c r="K143" s="370">
        <f t="shared" si="59"/>
        <v>1296872.5</v>
      </c>
      <c r="L143" s="370">
        <f t="shared" si="60"/>
        <v>842967.125</v>
      </c>
      <c r="N143" s="370"/>
      <c r="O143" s="370">
        <f t="shared" si="61"/>
        <v>-272343.22499999998</v>
      </c>
      <c r="P143" s="370">
        <f t="shared" si="62"/>
        <v>1296872.5</v>
      </c>
      <c r="Q143" s="370">
        <f t="shared" si="63"/>
        <v>1024529.275</v>
      </c>
      <c r="S143" s="370">
        <f t="shared" si="64"/>
        <v>0</v>
      </c>
      <c r="T143" s="370">
        <f t="shared" si="64"/>
        <v>181562.15000000002</v>
      </c>
      <c r="U143" s="370">
        <f t="shared" si="64"/>
        <v>0</v>
      </c>
      <c r="V143" s="17">
        <f t="shared" si="65"/>
        <v>181562.15000000002</v>
      </c>
    </row>
    <row r="144" spans="1:22" ht="14.1" customHeight="1" x14ac:dyDescent="0.2">
      <c r="A144" s="36" t="s">
        <v>444</v>
      </c>
      <c r="B144" s="375">
        <v>282</v>
      </c>
      <c r="C144" s="445" t="s">
        <v>451</v>
      </c>
      <c r="D144" s="376">
        <v>3</v>
      </c>
      <c r="E144" s="14" t="s">
        <v>410</v>
      </c>
      <c r="F144" s="14" t="s">
        <v>409</v>
      </c>
      <c r="G144" s="370">
        <f>VLOOKUP(E144,'OTP State Pre-Tax'!$A:$M,13,FALSE)</f>
        <v>-3929917</v>
      </c>
      <c r="I144" s="370"/>
      <c r="J144" s="370">
        <f t="shared" si="58"/>
        <v>75650.902249999999</v>
      </c>
      <c r="K144" s="370">
        <f t="shared" si="59"/>
        <v>-216145.435</v>
      </c>
      <c r="L144" s="370">
        <f t="shared" si="60"/>
        <v>-140494.53275000001</v>
      </c>
      <c r="N144" s="370"/>
      <c r="O144" s="370">
        <f t="shared" si="61"/>
        <v>45390.54135</v>
      </c>
      <c r="P144" s="370">
        <f t="shared" si="62"/>
        <v>-216145.435</v>
      </c>
      <c r="Q144" s="370">
        <f t="shared" si="63"/>
        <v>-170754.89364999998</v>
      </c>
      <c r="S144" s="370">
        <f t="shared" si="64"/>
        <v>0</v>
      </c>
      <c r="T144" s="370">
        <f t="shared" si="64"/>
        <v>-30260.3609</v>
      </c>
      <c r="U144" s="370">
        <f t="shared" si="64"/>
        <v>0</v>
      </c>
      <c r="V144" s="17">
        <f t="shared" si="65"/>
        <v>-30260.3609</v>
      </c>
    </row>
    <row r="145" spans="1:22" ht="14.1" customHeight="1" x14ac:dyDescent="0.2">
      <c r="A145" s="36" t="s">
        <v>444</v>
      </c>
      <c r="B145" s="375">
        <v>282</v>
      </c>
      <c r="C145" s="445" t="s">
        <v>695</v>
      </c>
      <c r="D145" s="376">
        <v>30</v>
      </c>
      <c r="E145" s="14" t="s">
        <v>166</v>
      </c>
      <c r="F145" s="14" t="s">
        <v>351</v>
      </c>
      <c r="G145" s="370">
        <f>VLOOKUP(E145,'OTP State Pre-Tax'!$A:$M,13,FALSE)</f>
        <v>23504</v>
      </c>
      <c r="I145" s="370"/>
      <c r="J145" s="370">
        <f t="shared" si="58"/>
        <v>-452.452</v>
      </c>
      <c r="K145" s="370">
        <f t="shared" si="59"/>
        <v>1292.72</v>
      </c>
      <c r="L145" s="370">
        <f t="shared" si="60"/>
        <v>840.26800000000003</v>
      </c>
      <c r="N145" s="370"/>
      <c r="O145" s="370">
        <f t="shared" si="61"/>
        <v>-271.47120000000001</v>
      </c>
      <c r="P145" s="370">
        <f t="shared" si="62"/>
        <v>1292.72</v>
      </c>
      <c r="Q145" s="370">
        <f t="shared" si="63"/>
        <v>1021.2488000000001</v>
      </c>
      <c r="S145" s="370">
        <f t="shared" si="64"/>
        <v>0</v>
      </c>
      <c r="T145" s="370">
        <f t="shared" si="64"/>
        <v>180.98079999999999</v>
      </c>
      <c r="U145" s="370">
        <f t="shared" si="64"/>
        <v>0</v>
      </c>
      <c r="V145" s="370">
        <f t="shared" si="65"/>
        <v>180.98079999999999</v>
      </c>
    </row>
    <row r="146" spans="1:22" ht="14.1" customHeight="1" thickBot="1" x14ac:dyDescent="0.25">
      <c r="C146" s="374"/>
      <c r="D146" s="375"/>
      <c r="F146" s="372" t="s">
        <v>449</v>
      </c>
      <c r="G146" s="38">
        <f>SUM(G140:G145)</f>
        <v>4710275729</v>
      </c>
      <c r="I146" s="38">
        <f>SUM(I140:I145)</f>
        <v>0</v>
      </c>
      <c r="J146" s="38">
        <f>SUM(J140:J145)</f>
        <v>-90672807.783249989</v>
      </c>
      <c r="K146" s="38">
        <f>SUM(K140:K145)</f>
        <v>259065165.095</v>
      </c>
      <c r="L146" s="38">
        <f>SUM(L140:L145)</f>
        <v>168392357.31174999</v>
      </c>
      <c r="N146" s="38">
        <f>SUM(N140:N145)</f>
        <v>0</v>
      </c>
      <c r="O146" s="38">
        <f>SUM(O140:O145)</f>
        <v>-54403684.669949993</v>
      </c>
      <c r="P146" s="38">
        <f>SUM(P140:P145)</f>
        <v>259065165.095</v>
      </c>
      <c r="Q146" s="38">
        <f>SUM(Q140:Q145)</f>
        <v>204661480.42505002</v>
      </c>
      <c r="S146" s="38">
        <f>SUM(S140:S145)</f>
        <v>0</v>
      </c>
      <c r="T146" s="38">
        <f>SUM(T140:T145)</f>
        <v>36269123.113299988</v>
      </c>
      <c r="U146" s="38">
        <f>SUM(U140:U145)</f>
        <v>0</v>
      </c>
      <c r="V146" s="38">
        <f>SUM(V140:V145)</f>
        <v>36269123.113299988</v>
      </c>
    </row>
    <row r="147" spans="1:22" s="39" customFormat="1" ht="14.1" customHeight="1" thickTop="1" x14ac:dyDescent="0.2">
      <c r="A147" s="67"/>
      <c r="B147" s="67"/>
      <c r="C147" s="374"/>
      <c r="D147" s="375"/>
      <c r="E147" s="67"/>
      <c r="F147" s="67"/>
      <c r="G147" s="32"/>
      <c r="H147" s="2"/>
      <c r="I147" s="32"/>
      <c r="J147" s="32"/>
      <c r="K147" s="32"/>
      <c r="L147" s="32"/>
      <c r="M147" s="67"/>
      <c r="N147" s="32"/>
      <c r="O147" s="32"/>
      <c r="P147" s="32"/>
      <c r="Q147" s="32"/>
      <c r="R147" s="67"/>
      <c r="S147" s="32"/>
      <c r="T147" s="32"/>
      <c r="U147" s="32"/>
      <c r="V147" s="32"/>
    </row>
    <row r="148" spans="1:22" s="39" customFormat="1" ht="14.1" customHeight="1" thickBot="1" x14ac:dyDescent="0.25">
      <c r="A148" s="67"/>
      <c r="B148" s="67"/>
      <c r="C148" s="374"/>
      <c r="D148" s="375"/>
      <c r="E148" s="67"/>
      <c r="F148" s="372" t="s">
        <v>448</v>
      </c>
      <c r="G148" s="31">
        <f>G137+G146</f>
        <v>-19445794788</v>
      </c>
      <c r="H148" s="2"/>
      <c r="I148" s="31">
        <f>I137+I146</f>
        <v>-8454624680.9499989</v>
      </c>
      <c r="J148" s="31">
        <f>J137+J146</f>
        <v>374331549.66900003</v>
      </c>
      <c r="K148" s="31">
        <f>K137+K146</f>
        <v>-1069518713.3400006</v>
      </c>
      <c r="L148" s="31">
        <f>L137+L146</f>
        <v>-9149811844.6210022</v>
      </c>
      <c r="M148" s="67"/>
      <c r="N148" s="31">
        <f>N137+N146</f>
        <v>-5072774808.5699968</v>
      </c>
      <c r="O148" s="31">
        <f>O137+O146</f>
        <v>224598929.80140001</v>
      </c>
      <c r="P148" s="31">
        <f>P137+P146</f>
        <v>-1069518713.3400006</v>
      </c>
      <c r="Q148" s="31">
        <f>Q137+Q146</f>
        <v>-5917694592.1085997</v>
      </c>
      <c r="R148" s="67"/>
      <c r="S148" s="31">
        <f>S137+S146</f>
        <v>3381849872.3799992</v>
      </c>
      <c r="T148" s="31">
        <f>T137+T146</f>
        <v>-149732619.86760002</v>
      </c>
      <c r="U148" s="31">
        <f>U137+U146</f>
        <v>0</v>
      </c>
      <c r="V148" s="31">
        <f>V137+V146</f>
        <v>3232117252.5123997</v>
      </c>
    </row>
    <row r="149" spans="1:22" s="39" customFormat="1" ht="14.1" customHeight="1" thickTop="1" x14ac:dyDescent="0.2">
      <c r="A149" s="67"/>
      <c r="B149" s="67"/>
      <c r="C149" s="374"/>
      <c r="D149" s="375"/>
      <c r="E149" s="67"/>
      <c r="F149" s="66" t="s">
        <v>433</v>
      </c>
      <c r="G149" s="32">
        <f>'OTP State Pre-Tax'!C203-'Total Excess ADIT'!G148</f>
        <v>2</v>
      </c>
      <c r="H149" s="2"/>
      <c r="I149" s="32"/>
      <c r="J149" s="32"/>
      <c r="K149" s="32"/>
      <c r="L149" s="32"/>
      <c r="M149" s="67"/>
      <c r="N149" s="32"/>
      <c r="O149" s="32"/>
      <c r="P149" s="32"/>
      <c r="Q149" s="32"/>
      <c r="R149" s="67"/>
      <c r="S149" s="32"/>
      <c r="T149" s="32"/>
      <c r="U149" s="32"/>
      <c r="V149" s="32"/>
    </row>
    <row r="150" spans="1:22" s="39" customFormat="1" ht="14.1" customHeight="1" x14ac:dyDescent="0.2">
      <c r="A150" s="37" t="s">
        <v>446</v>
      </c>
      <c r="B150" s="67"/>
      <c r="C150" s="374"/>
      <c r="D150" s="375"/>
      <c r="E150" s="14"/>
      <c r="F150" s="14"/>
      <c r="G150" s="34"/>
      <c r="H150" s="2"/>
      <c r="I150" s="34"/>
      <c r="J150" s="34"/>
      <c r="K150" s="34"/>
      <c r="L150" s="34"/>
      <c r="M150" s="67"/>
      <c r="N150" s="34"/>
      <c r="O150" s="34"/>
      <c r="P150" s="34"/>
      <c r="Q150" s="34"/>
      <c r="R150" s="67"/>
      <c r="S150" s="34"/>
      <c r="T150" s="34"/>
      <c r="U150" s="34"/>
      <c r="V150" s="34"/>
    </row>
    <row r="151" spans="1:22" s="39" customFormat="1" ht="14.1" customHeight="1" x14ac:dyDescent="0.2">
      <c r="A151" s="36" t="s">
        <v>444</v>
      </c>
      <c r="B151" s="375">
        <v>282</v>
      </c>
      <c r="C151" s="389" t="s">
        <v>701</v>
      </c>
      <c r="D151" s="376">
        <v>30</v>
      </c>
      <c r="E151" s="14" t="s">
        <v>406</v>
      </c>
      <c r="F151" s="14" t="s">
        <v>405</v>
      </c>
      <c r="G151" s="34"/>
      <c r="H151" s="2" t="s">
        <v>447</v>
      </c>
      <c r="I151" s="34"/>
      <c r="J151" s="34">
        <f>-K151*0.35</f>
        <v>1656711.7</v>
      </c>
      <c r="K151" s="34">
        <v>-4733462</v>
      </c>
      <c r="L151" s="370">
        <f>SUM(I151:K151)</f>
        <v>-3076750.3</v>
      </c>
      <c r="M151" s="67"/>
      <c r="N151" s="34"/>
      <c r="O151" s="34">
        <f>-P151*$N$7</f>
        <v>994027.02</v>
      </c>
      <c r="P151" s="34">
        <f>K151</f>
        <v>-4733462</v>
      </c>
      <c r="Q151" s="370">
        <f>SUM(N151:P151)</f>
        <v>-3739434.98</v>
      </c>
      <c r="R151" s="67"/>
      <c r="S151" s="370">
        <f>N151-I151</f>
        <v>0</v>
      </c>
      <c r="T151" s="370">
        <f>O151-J151</f>
        <v>-662684.67999999993</v>
      </c>
      <c r="U151" s="370">
        <f>P151-K151</f>
        <v>0</v>
      </c>
      <c r="V151" s="370">
        <f>SUM(S151:U151)</f>
        <v>-662684.67999999993</v>
      </c>
    </row>
    <row r="152" spans="1:22" s="39" customFormat="1" ht="14.1" customHeight="1" thickBot="1" x14ac:dyDescent="0.25">
      <c r="A152" s="36"/>
      <c r="B152" s="67"/>
      <c r="C152" s="375"/>
      <c r="D152" s="375"/>
      <c r="E152" s="14"/>
      <c r="F152" s="372" t="s">
        <v>445</v>
      </c>
      <c r="G152" s="34"/>
      <c r="H152" s="2"/>
      <c r="I152" s="35">
        <f>SUM(I151:I151)</f>
        <v>0</v>
      </c>
      <c r="J152" s="35">
        <f>SUM(J151:J151)</f>
        <v>1656711.7</v>
      </c>
      <c r="K152" s="35">
        <f>SUM(K151:K151)</f>
        <v>-4733462</v>
      </c>
      <c r="L152" s="35">
        <f>SUM(L151:L151)</f>
        <v>-3076750.3</v>
      </c>
      <c r="M152" s="67"/>
      <c r="N152" s="35">
        <f>SUM(N151:N151)</f>
        <v>0</v>
      </c>
      <c r="O152" s="35">
        <f>SUM(O151:O151)</f>
        <v>994027.02</v>
      </c>
      <c r="P152" s="35">
        <f>SUM(P151:P151)</f>
        <v>-4733462</v>
      </c>
      <c r="Q152" s="35">
        <f>SUM(Q151:Q151)</f>
        <v>-3739434.98</v>
      </c>
      <c r="R152" s="67"/>
      <c r="S152" s="35">
        <f>SUM(S151:S151)</f>
        <v>0</v>
      </c>
      <c r="T152" s="35">
        <f>SUM(T151:T151)</f>
        <v>-662684.67999999993</v>
      </c>
      <c r="U152" s="35">
        <f>SUM(U151:U151)</f>
        <v>0</v>
      </c>
      <c r="V152" s="35">
        <f>SUM(V151:V151)</f>
        <v>-662684.67999999993</v>
      </c>
    </row>
    <row r="153" spans="1:22" s="39" customFormat="1" ht="14.1" customHeight="1" thickTop="1" x14ac:dyDescent="0.2">
      <c r="A153" s="36"/>
      <c r="B153" s="67"/>
      <c r="C153" s="375"/>
      <c r="D153" s="375"/>
      <c r="E153" s="14"/>
      <c r="F153" s="372"/>
      <c r="G153" s="34"/>
      <c r="H153" s="2"/>
      <c r="I153" s="34"/>
      <c r="J153" s="34"/>
      <c r="K153" s="34"/>
      <c r="L153" s="34"/>
      <c r="M153" s="67"/>
      <c r="N153" s="34"/>
      <c r="O153" s="34"/>
      <c r="P153" s="34"/>
      <c r="Q153" s="34"/>
      <c r="R153" s="67"/>
      <c r="S153" s="34"/>
      <c r="T153" s="34"/>
      <c r="U153" s="34"/>
      <c r="V153" s="34"/>
    </row>
    <row r="154" spans="1:22" s="39" customFormat="1" ht="14.1" customHeight="1" thickBot="1" x14ac:dyDescent="0.25">
      <c r="A154" s="67"/>
      <c r="B154" s="67"/>
      <c r="C154" s="375"/>
      <c r="D154" s="375"/>
      <c r="E154" s="14"/>
      <c r="F154" s="372" t="s">
        <v>629</v>
      </c>
      <c r="G154" s="34"/>
      <c r="H154" s="2"/>
      <c r="I154" s="31">
        <f>I148+I152</f>
        <v>-8454624680.9499989</v>
      </c>
      <c r="J154" s="31">
        <f>J148+J152</f>
        <v>375988261.36900002</v>
      </c>
      <c r="K154" s="31">
        <f>K148+K152</f>
        <v>-1074252175.3400006</v>
      </c>
      <c r="L154" s="390">
        <f>L148+L152</f>
        <v>-9152888594.9210014</v>
      </c>
      <c r="M154" s="67"/>
      <c r="N154" s="31">
        <f>N148+N152</f>
        <v>-5072774808.5699968</v>
      </c>
      <c r="O154" s="31">
        <f>O148+O152</f>
        <v>225592956.82140002</v>
      </c>
      <c r="P154" s="31">
        <f>P148+P152</f>
        <v>-1074252175.3400006</v>
      </c>
      <c r="Q154" s="31">
        <f>Q148+Q152</f>
        <v>-5921434027.0885992</v>
      </c>
      <c r="R154" s="67"/>
      <c r="S154" s="31">
        <f>S148+S152</f>
        <v>3381849872.3799992</v>
      </c>
      <c r="T154" s="31">
        <f>T148+T152</f>
        <v>-150395304.54760003</v>
      </c>
      <c r="U154" s="31">
        <f>U148+U152</f>
        <v>0</v>
      </c>
      <c r="V154" s="31">
        <f>V148+V152</f>
        <v>3231454567.8323998</v>
      </c>
    </row>
    <row r="155" spans="1:22" s="39" customFormat="1" ht="14.1" customHeight="1" thickTop="1" x14ac:dyDescent="0.2">
      <c r="A155" s="67"/>
      <c r="B155" s="67"/>
      <c r="C155" s="375"/>
      <c r="D155" s="375"/>
      <c r="E155" s="14"/>
      <c r="F155" s="372"/>
      <c r="G155" s="34"/>
      <c r="H155" s="2"/>
      <c r="I155" s="32"/>
      <c r="J155" s="32"/>
      <c r="K155" s="32"/>
      <c r="L155" s="32"/>
      <c r="M155" s="67"/>
      <c r="N155" s="32"/>
      <c r="O155" s="32"/>
      <c r="P155" s="32"/>
      <c r="Q155" s="32"/>
      <c r="R155" s="67"/>
      <c r="S155" s="32"/>
      <c r="T155" s="32"/>
      <c r="U155" s="32"/>
      <c r="V155" s="32"/>
    </row>
    <row r="156" spans="1:22" s="375" customFormat="1" ht="14.1" customHeight="1" x14ac:dyDescent="0.2">
      <c r="D156" s="67"/>
      <c r="E156" s="67"/>
      <c r="F156" s="67"/>
      <c r="G156" s="67"/>
      <c r="H156" s="2"/>
      <c r="I156" s="67"/>
      <c r="J156" s="67"/>
      <c r="K156" s="67"/>
      <c r="L156" s="370"/>
      <c r="M156" s="67"/>
      <c r="N156" s="67"/>
      <c r="O156" s="67"/>
      <c r="P156" s="67"/>
      <c r="Q156" s="370"/>
      <c r="R156" s="67"/>
      <c r="S156" s="67"/>
      <c r="T156" s="67"/>
      <c r="U156" s="67"/>
      <c r="V156" s="14"/>
    </row>
    <row r="157" spans="1:22" s="375" customFormat="1" ht="14.1" customHeight="1" thickBot="1" x14ac:dyDescent="0.25">
      <c r="C157" s="67"/>
      <c r="D157" s="67"/>
      <c r="E157" s="67"/>
      <c r="F157" s="67"/>
      <c r="G157" s="67"/>
      <c r="H157" s="2"/>
      <c r="I157" s="67"/>
      <c r="J157" s="67"/>
      <c r="K157" s="67"/>
      <c r="L157" s="67"/>
      <c r="M157" s="67"/>
      <c r="N157" s="67"/>
      <c r="O157" s="67"/>
      <c r="P157" s="67"/>
      <c r="Q157" s="60"/>
      <c r="R157" s="67"/>
      <c r="S157" s="370"/>
      <c r="T157" s="370"/>
      <c r="U157" s="67"/>
      <c r="V157" s="17"/>
    </row>
    <row r="158" spans="1:22" s="375" customFormat="1" ht="14.1" customHeight="1" thickTop="1" x14ac:dyDescent="0.2">
      <c r="C158" s="67"/>
      <c r="D158" s="67"/>
      <c r="E158" s="67"/>
      <c r="F158" s="349" t="s">
        <v>440</v>
      </c>
      <c r="G158" s="29"/>
      <c r="H158" s="3"/>
      <c r="I158" s="28"/>
      <c r="J158" s="67"/>
      <c r="K158" s="67"/>
      <c r="L158" s="67"/>
      <c r="M158" s="67"/>
      <c r="N158" s="67"/>
      <c r="O158" s="67"/>
      <c r="P158" s="67"/>
      <c r="Q158" s="370"/>
      <c r="R158" s="67"/>
      <c r="S158" s="370"/>
      <c r="T158" s="370"/>
      <c r="U158" s="67"/>
      <c r="V158" s="17"/>
    </row>
    <row r="159" spans="1:22" s="375" customFormat="1" ht="14.1" customHeight="1" x14ac:dyDescent="0.2">
      <c r="C159" s="67"/>
      <c r="D159" s="67"/>
      <c r="F159" s="281" t="s">
        <v>439</v>
      </c>
      <c r="G159" s="39"/>
      <c r="H159" s="4"/>
      <c r="I159" s="26"/>
      <c r="J159" s="67"/>
      <c r="K159" s="67"/>
      <c r="L159" s="67"/>
      <c r="M159" s="67"/>
      <c r="N159" s="67"/>
      <c r="O159" s="67"/>
      <c r="P159" s="67"/>
      <c r="Q159" s="67"/>
      <c r="R159" s="67"/>
      <c r="U159" s="67"/>
      <c r="V159" s="17"/>
    </row>
    <row r="160" spans="1:22" s="375" customFormat="1" ht="14.1" customHeight="1" x14ac:dyDescent="0.2">
      <c r="C160" s="67"/>
      <c r="D160" s="67"/>
      <c r="E160" s="375" t="s">
        <v>438</v>
      </c>
      <c r="F160" s="284" t="s">
        <v>436</v>
      </c>
      <c r="G160" s="39"/>
      <c r="H160" s="4"/>
      <c r="I160" s="22">
        <f>-S61-T61</f>
        <v>331721849.34000009</v>
      </c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17"/>
    </row>
    <row r="161" spans="3:22" s="375" customFormat="1" ht="14.1" customHeight="1" x14ac:dyDescent="0.2">
      <c r="C161" s="67"/>
      <c r="D161" s="67"/>
      <c r="E161" s="375" t="s">
        <v>438</v>
      </c>
      <c r="F161" s="284" t="s">
        <v>435</v>
      </c>
      <c r="G161" s="39"/>
      <c r="H161" s="4"/>
      <c r="I161" s="22">
        <f>-S95-T95-T146-T152</f>
        <v>-2845462486.6541996</v>
      </c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14"/>
    </row>
    <row r="162" spans="3:22" s="375" customFormat="1" ht="14.1" customHeight="1" x14ac:dyDescent="0.2">
      <c r="C162" s="67"/>
      <c r="D162" s="67"/>
      <c r="E162" s="375" t="s">
        <v>438</v>
      </c>
      <c r="F162" s="284" t="s">
        <v>434</v>
      </c>
      <c r="G162" s="39"/>
      <c r="H162" s="4"/>
      <c r="I162" s="22">
        <f>-S134-T134</f>
        <v>-717713930.5181998</v>
      </c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17"/>
    </row>
    <row r="163" spans="3:22" s="375" customFormat="1" ht="14.1" customHeight="1" thickBot="1" x14ac:dyDescent="0.25">
      <c r="C163" s="67"/>
      <c r="D163" s="67"/>
      <c r="F163" s="24" t="s">
        <v>437</v>
      </c>
      <c r="G163" s="39"/>
      <c r="H163" s="4"/>
      <c r="I163" s="23">
        <f>SUM(I160:I162)</f>
        <v>-3231454567.8323994</v>
      </c>
      <c r="J163" s="67"/>
      <c r="K163" s="67"/>
      <c r="L163" s="370"/>
      <c r="M163" s="67"/>
      <c r="N163" s="67"/>
      <c r="O163" s="67"/>
      <c r="P163" s="67"/>
      <c r="Q163" s="67"/>
      <c r="R163" s="67"/>
      <c r="S163" s="67"/>
      <c r="T163" s="67"/>
      <c r="U163" s="67"/>
      <c r="V163" s="17"/>
    </row>
    <row r="164" spans="3:22" s="375" customFormat="1" ht="14.1" customHeight="1" thickTop="1" x14ac:dyDescent="0.2">
      <c r="C164" s="67"/>
      <c r="D164" s="67"/>
      <c r="F164" s="284"/>
      <c r="G164" s="39"/>
      <c r="H164" s="4"/>
      <c r="I164" s="25"/>
      <c r="J164" s="67"/>
      <c r="K164" s="370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17"/>
    </row>
    <row r="165" spans="3:22" s="39" customFormat="1" ht="14.1" customHeight="1" thickBot="1" x14ac:dyDescent="0.25">
      <c r="E165" s="67"/>
      <c r="F165" s="20"/>
      <c r="G165" s="19" t="s">
        <v>433</v>
      </c>
      <c r="H165" s="5"/>
      <c r="I165" s="6">
        <f>I163+V154</f>
        <v>0</v>
      </c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17"/>
    </row>
    <row r="166" spans="3:22" s="39" customFormat="1" ht="14.1" customHeight="1" thickTop="1" x14ac:dyDescent="0.2">
      <c r="E166" s="67"/>
      <c r="F166" s="67"/>
      <c r="G166" s="67"/>
      <c r="H166" s="2"/>
      <c r="I166" s="370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14"/>
    </row>
    <row r="171" spans="3:22" ht="14.1" customHeight="1" x14ac:dyDescent="0.2">
      <c r="C171" s="370"/>
      <c r="D171" s="370"/>
    </row>
    <row r="172" spans="3:22" ht="14.1" customHeight="1" x14ac:dyDescent="0.2">
      <c r="C172" s="370"/>
      <c r="D172" s="370"/>
    </row>
  </sheetData>
  <autoFilter ref="A9:V155"/>
  <sortState ref="A62:V93">
    <sortCondition ref="E62:E93"/>
    <sortCondition ref="A62:A93"/>
  </sortState>
  <mergeCells count="3">
    <mergeCell ref="I5:L5"/>
    <mergeCell ref="N5:Q5"/>
    <mergeCell ref="S5:V5"/>
  </mergeCells>
  <pageMargins left="0.25" right="0" top="0.25" bottom="0.25" header="0.3" footer="0"/>
  <pageSetup paperSize="5" scale="76" orientation="landscape" r:id="rId1"/>
  <headerFooter>
    <oddFooter>&amp;L&amp;"Calibri,Regular"&amp;9&amp;Z&amp;F&amp;R&amp;"Calibri,Regular"&amp;9&amp;A</oddFooter>
  </headerFooter>
  <ignoredErrors>
    <ignoredError sqref="A13:A14 A68:A71" numberStoredAsText="1"/>
    <ignoredError sqref="G48 G54 G71" 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92"/>
  <sheetViews>
    <sheetView zoomScaleNormal="100" workbookViewId="0">
      <pane xSplit="7" ySplit="9" topLeftCell="H137" activePane="bottomRight" state="frozen"/>
      <selection pane="topRight" activeCell="J1" sqref="J1"/>
      <selection pane="bottomLeft" activeCell="A9" sqref="A9"/>
      <selection pane="bottomRight" activeCell="E1" sqref="E1:F2"/>
    </sheetView>
  </sheetViews>
  <sheetFormatPr defaultColWidth="9" defaultRowHeight="14.1" customHeight="1" x14ac:dyDescent="0.2"/>
  <cols>
    <col min="1" max="1" width="5.140625" style="11" customWidth="1"/>
    <col min="2" max="2" width="6.140625" style="11" customWidth="1"/>
    <col min="3" max="3" width="19.5703125" style="11" customWidth="1"/>
    <col min="4" max="4" width="7.5703125" style="11" customWidth="1"/>
    <col min="5" max="5" width="12.140625" style="11" customWidth="1"/>
    <col min="6" max="6" width="28.42578125" style="11" customWidth="1"/>
    <col min="7" max="7" width="14.140625" style="11" bestFit="1" customWidth="1"/>
    <col min="8" max="8" width="2.42578125" style="2" customWidth="1"/>
    <col min="9" max="9" width="12.140625" style="11" bestFit="1" customWidth="1"/>
    <col min="10" max="10" width="10.28515625" style="11" bestFit="1" customWidth="1"/>
    <col min="11" max="12" width="12.140625" style="11" bestFit="1" customWidth="1"/>
    <col min="13" max="13" width="2.42578125" style="11" customWidth="1"/>
    <col min="14" max="14" width="12.140625" style="11" bestFit="1" customWidth="1"/>
    <col min="15" max="15" width="10.7109375" style="11" customWidth="1"/>
    <col min="16" max="17" width="12.140625" style="11" bestFit="1" customWidth="1"/>
    <col min="18" max="18" width="2.42578125" style="11" customWidth="1"/>
    <col min="19" max="19" width="11.5703125" style="11" bestFit="1" customWidth="1"/>
    <col min="20" max="20" width="10.7109375" style="11" bestFit="1" customWidth="1"/>
    <col min="21" max="21" width="10.28515625" style="11" bestFit="1" customWidth="1"/>
    <col min="22" max="22" width="11.5703125" style="14" bestFit="1" customWidth="1"/>
    <col min="23" max="16384" width="9" style="11"/>
  </cols>
  <sheetData>
    <row r="1" spans="1:22" s="12" customFormat="1" ht="14.1" customHeight="1" x14ac:dyDescent="0.2">
      <c r="A1" s="33" t="s">
        <v>630</v>
      </c>
      <c r="B1" s="11"/>
      <c r="C1" s="11"/>
      <c r="D1" s="11"/>
      <c r="E1" s="455" t="s">
        <v>714</v>
      </c>
      <c r="F1" s="455"/>
      <c r="G1" s="11"/>
      <c r="H1" s="2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4"/>
    </row>
    <row r="2" spans="1:22" s="39" customFormat="1" ht="14.1" customHeight="1" x14ac:dyDescent="0.2">
      <c r="A2" s="372" t="s">
        <v>631</v>
      </c>
      <c r="B2" s="67"/>
      <c r="C2" s="67"/>
      <c r="D2" s="67"/>
      <c r="E2" s="455" t="s">
        <v>710</v>
      </c>
      <c r="F2" s="455"/>
      <c r="G2" s="67"/>
      <c r="H2" s="2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14"/>
    </row>
    <row r="3" spans="1:22" s="12" customFormat="1" ht="14.1" customHeight="1" x14ac:dyDescent="0.2">
      <c r="A3" s="33" t="s">
        <v>478</v>
      </c>
      <c r="B3" s="11"/>
      <c r="C3" s="11"/>
      <c r="D3" s="11"/>
      <c r="E3" s="14"/>
      <c r="F3" s="53"/>
      <c r="G3" s="11"/>
      <c r="H3" s="2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4"/>
    </row>
    <row r="4" spans="1:22" s="12" customFormat="1" ht="14.1" customHeight="1" x14ac:dyDescent="0.2">
      <c r="A4" s="52" t="s">
        <v>477</v>
      </c>
      <c r="B4" s="11"/>
      <c r="C4" s="11"/>
      <c r="D4" s="11"/>
      <c r="E4" s="14"/>
      <c r="F4" s="53"/>
      <c r="G4" s="11"/>
      <c r="H4" s="2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4"/>
    </row>
    <row r="5" spans="1:22" s="12" customFormat="1" ht="14.1" customHeight="1" x14ac:dyDescent="0.2">
      <c r="A5" s="11"/>
      <c r="B5" s="11"/>
      <c r="C5" s="11"/>
      <c r="D5" s="11"/>
      <c r="E5" s="14"/>
      <c r="F5" s="53"/>
      <c r="G5" s="11"/>
      <c r="H5" s="2"/>
      <c r="I5" s="450" t="s">
        <v>476</v>
      </c>
      <c r="J5" s="450"/>
      <c r="K5" s="450"/>
      <c r="L5" s="450"/>
      <c r="M5" s="11"/>
      <c r="N5" s="450" t="s">
        <v>475</v>
      </c>
      <c r="O5" s="450"/>
      <c r="P5" s="450"/>
      <c r="Q5" s="450"/>
      <c r="R5" s="11"/>
      <c r="S5" s="450" t="s">
        <v>474</v>
      </c>
      <c r="T5" s="450"/>
      <c r="U5" s="450"/>
      <c r="V5" s="451"/>
    </row>
    <row r="6" spans="1:22" s="12" customFormat="1" ht="14.1" customHeight="1" x14ac:dyDescent="0.2">
      <c r="A6" s="52"/>
      <c r="B6" s="11"/>
      <c r="C6" s="11"/>
      <c r="D6" s="11"/>
      <c r="E6" s="51"/>
      <c r="F6" s="14"/>
      <c r="G6" s="11"/>
      <c r="H6" s="2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4"/>
    </row>
    <row r="7" spans="1:22" s="12" customFormat="1" ht="14.1" customHeight="1" x14ac:dyDescent="0.2">
      <c r="A7" s="11"/>
      <c r="B7" s="11"/>
      <c r="C7" s="11"/>
      <c r="D7" s="11"/>
      <c r="E7" s="14"/>
      <c r="F7" s="435" t="s">
        <v>512</v>
      </c>
      <c r="G7" s="11"/>
      <c r="H7" s="2"/>
      <c r="I7" s="65">
        <v>0.35</v>
      </c>
      <c r="J7" s="388">
        <f>K7*-I7</f>
        <v>-1.925E-2</v>
      </c>
      <c r="K7" s="65">
        <v>5.5E-2</v>
      </c>
      <c r="L7" s="388">
        <f>I7+K7+(K7*-I7)</f>
        <v>0.38574999999999998</v>
      </c>
      <c r="M7" s="67"/>
      <c r="N7" s="65">
        <v>0.21</v>
      </c>
      <c r="O7" s="388">
        <f>P7*-N7</f>
        <v>-1.155E-2</v>
      </c>
      <c r="P7" s="65">
        <v>5.5E-2</v>
      </c>
      <c r="Q7" s="388">
        <f>N7+P7+(P7*-N7)</f>
        <v>0.25345000000000001</v>
      </c>
      <c r="R7" s="11"/>
      <c r="S7" s="65">
        <f>N7-I7</f>
        <v>-0.13999999999999999</v>
      </c>
      <c r="T7" s="388">
        <f>O7-J7</f>
        <v>7.7000000000000002E-3</v>
      </c>
      <c r="U7" s="65">
        <f>P7-K7</f>
        <v>0</v>
      </c>
      <c r="V7" s="447">
        <f>Q7-L7</f>
        <v>-0.13229999999999997</v>
      </c>
    </row>
    <row r="8" spans="1:22" s="12" customFormat="1" ht="14.1" customHeight="1" x14ac:dyDescent="0.2">
      <c r="A8" s="11"/>
      <c r="B8" s="11"/>
      <c r="C8" s="11"/>
      <c r="D8" s="11"/>
      <c r="E8" s="14"/>
      <c r="F8" s="14"/>
      <c r="G8" s="11"/>
      <c r="H8" s="2"/>
      <c r="I8" s="11"/>
      <c r="J8" s="50"/>
      <c r="K8" s="49"/>
      <c r="L8" s="11"/>
      <c r="M8" s="11"/>
      <c r="N8" s="11"/>
      <c r="O8" s="50"/>
      <c r="P8" s="49"/>
      <c r="Q8" s="11"/>
      <c r="R8" s="11"/>
      <c r="S8" s="11"/>
      <c r="T8" s="11"/>
      <c r="U8" s="11"/>
      <c r="V8" s="14"/>
    </row>
    <row r="9" spans="1:22" s="12" customFormat="1" ht="36" customHeight="1" x14ac:dyDescent="0.2">
      <c r="A9" s="48" t="s">
        <v>473</v>
      </c>
      <c r="B9" s="48" t="s">
        <v>497</v>
      </c>
      <c r="C9" s="44" t="s">
        <v>472</v>
      </c>
      <c r="D9" s="377" t="s">
        <v>694</v>
      </c>
      <c r="E9" s="45" t="s">
        <v>2</v>
      </c>
      <c r="F9" s="45" t="s">
        <v>188</v>
      </c>
      <c r="G9" s="47" t="s">
        <v>471</v>
      </c>
      <c r="H9" s="46" t="s">
        <v>470</v>
      </c>
      <c r="I9" s="45" t="s">
        <v>467</v>
      </c>
      <c r="J9" s="45" t="s">
        <v>466</v>
      </c>
      <c r="K9" s="45" t="s">
        <v>465</v>
      </c>
      <c r="L9" s="45" t="s">
        <v>187</v>
      </c>
      <c r="M9" s="46" t="s">
        <v>469</v>
      </c>
      <c r="N9" s="45" t="s">
        <v>467</v>
      </c>
      <c r="O9" s="45" t="s">
        <v>466</v>
      </c>
      <c r="P9" s="45" t="s">
        <v>465</v>
      </c>
      <c r="Q9" s="45" t="s">
        <v>187</v>
      </c>
      <c r="R9" s="46" t="s">
        <v>468</v>
      </c>
      <c r="S9" s="45" t="s">
        <v>467</v>
      </c>
      <c r="T9" s="45" t="s">
        <v>466</v>
      </c>
      <c r="U9" s="45" t="s">
        <v>465</v>
      </c>
      <c r="V9" s="45" t="s">
        <v>187</v>
      </c>
    </row>
    <row r="10" spans="1:22" ht="14.1" customHeight="1" x14ac:dyDescent="0.2">
      <c r="A10" s="41">
        <v>1500</v>
      </c>
      <c r="B10" s="13">
        <v>190</v>
      </c>
      <c r="C10" s="389" t="s">
        <v>697</v>
      </c>
      <c r="D10" s="16">
        <v>5</v>
      </c>
      <c r="E10" s="14" t="s">
        <v>11</v>
      </c>
      <c r="F10" s="14" t="s">
        <v>197</v>
      </c>
      <c r="G10" s="370">
        <f>VLOOKUP(E10,'OTP FED Pre-Tax Balances'!$A:$K,6,FALSE)</f>
        <v>49560</v>
      </c>
      <c r="H10" s="2" t="s">
        <v>447</v>
      </c>
      <c r="I10" s="15">
        <f t="shared" ref="I10:I40" si="0">G10*$I$7</f>
        <v>17346</v>
      </c>
      <c r="J10" s="15">
        <f t="shared" ref="J10:J40" si="1">-K10*$I$7</f>
        <v>-954.03</v>
      </c>
      <c r="K10" s="15">
        <f t="shared" ref="K10:K40" si="2">G10*$K$7</f>
        <v>2725.8</v>
      </c>
      <c r="L10" s="15">
        <f t="shared" ref="L10:L40" si="3">SUM(I10:K10)</f>
        <v>19117.77</v>
      </c>
      <c r="N10" s="15">
        <f t="shared" ref="N10:N40" si="4">G10*$N$7</f>
        <v>10407.6</v>
      </c>
      <c r="O10" s="15">
        <f t="shared" ref="O10:O40" si="5">-P10*$N$7</f>
        <v>-572.41800000000001</v>
      </c>
      <c r="P10" s="15">
        <f t="shared" ref="P10:P40" si="6">G10*$P$7</f>
        <v>2725.8</v>
      </c>
      <c r="Q10" s="15">
        <f t="shared" ref="Q10:Q40" si="7">SUM(N10:P10)</f>
        <v>12560.982</v>
      </c>
      <c r="S10" s="15">
        <f t="shared" ref="S10:S40" si="8">N10-I10</f>
        <v>-6938.4</v>
      </c>
      <c r="T10" s="15">
        <f t="shared" ref="T10:T40" si="9">O10-J10</f>
        <v>381.61199999999997</v>
      </c>
      <c r="U10" s="15">
        <f t="shared" ref="U10:U40" si="10">P10-K10</f>
        <v>0</v>
      </c>
      <c r="V10" s="15">
        <f t="shared" ref="V10:V40" si="11">SUM(S10:U10)</f>
        <v>-6556.7879999999996</v>
      </c>
    </row>
    <row r="11" spans="1:22" s="12" customFormat="1" ht="14.1" customHeight="1" x14ac:dyDescent="0.2">
      <c r="A11" s="41">
        <v>1500</v>
      </c>
      <c r="B11" s="13">
        <v>190</v>
      </c>
      <c r="C11" s="389" t="s">
        <v>697</v>
      </c>
      <c r="D11" s="16">
        <v>5</v>
      </c>
      <c r="E11" s="14" t="s">
        <v>13</v>
      </c>
      <c r="F11" s="14" t="s">
        <v>199</v>
      </c>
      <c r="G11" s="370">
        <f>VLOOKUP(E11,'OTP FED Pre-Tax Balances'!$A:$K,6,FALSE)</f>
        <v>33013660</v>
      </c>
      <c r="H11" s="2"/>
      <c r="I11" s="15">
        <f t="shared" si="0"/>
        <v>11554781</v>
      </c>
      <c r="J11" s="15">
        <f t="shared" si="1"/>
        <v>-635512.95499999996</v>
      </c>
      <c r="K11" s="15">
        <f t="shared" si="2"/>
        <v>1815751.3</v>
      </c>
      <c r="L11" s="15">
        <f t="shared" si="3"/>
        <v>12735019.345000001</v>
      </c>
      <c r="M11" s="11"/>
      <c r="N11" s="15">
        <f t="shared" si="4"/>
        <v>6932868.5999999996</v>
      </c>
      <c r="O11" s="15">
        <f t="shared" si="5"/>
        <v>-381307.77299999999</v>
      </c>
      <c r="P11" s="15">
        <f t="shared" si="6"/>
        <v>1815751.3</v>
      </c>
      <c r="Q11" s="15">
        <f t="shared" si="7"/>
        <v>8367312.1269999994</v>
      </c>
      <c r="R11" s="11"/>
      <c r="S11" s="15">
        <f t="shared" si="8"/>
        <v>-4621912.4000000004</v>
      </c>
      <c r="T11" s="15">
        <f t="shared" si="9"/>
        <v>254205.18199999997</v>
      </c>
      <c r="U11" s="15">
        <f t="shared" si="10"/>
        <v>0</v>
      </c>
      <c r="V11" s="15">
        <f t="shared" si="11"/>
        <v>-4367707.2180000003</v>
      </c>
    </row>
    <row r="12" spans="1:22" s="12" customFormat="1" ht="14.1" customHeight="1" x14ac:dyDescent="0.2">
      <c r="A12" s="41">
        <v>1500</v>
      </c>
      <c r="B12" s="13">
        <v>190</v>
      </c>
      <c r="C12" s="389" t="s">
        <v>698</v>
      </c>
      <c r="D12" s="16">
        <v>15</v>
      </c>
      <c r="E12" s="14" t="s">
        <v>21</v>
      </c>
      <c r="F12" s="14" t="s">
        <v>207</v>
      </c>
      <c r="G12" s="370">
        <f>VLOOKUP(E12,'OTP FED Pre-Tax Balances'!$A:$K,6,FALSE)</f>
        <v>46801764</v>
      </c>
      <c r="H12" s="2"/>
      <c r="I12" s="15">
        <f t="shared" si="0"/>
        <v>16380617.399999999</v>
      </c>
      <c r="J12" s="15">
        <f t="shared" si="1"/>
        <v>-900933.95699999994</v>
      </c>
      <c r="K12" s="15">
        <f t="shared" si="2"/>
        <v>2574097.02</v>
      </c>
      <c r="L12" s="15">
        <f t="shared" si="3"/>
        <v>18053780.463</v>
      </c>
      <c r="M12" s="11"/>
      <c r="N12" s="15">
        <f t="shared" si="4"/>
        <v>9828370.4399999995</v>
      </c>
      <c r="O12" s="15">
        <f t="shared" si="5"/>
        <v>-540560.37419999996</v>
      </c>
      <c r="P12" s="15">
        <f t="shared" si="6"/>
        <v>2574097.02</v>
      </c>
      <c r="Q12" s="15">
        <f t="shared" si="7"/>
        <v>11861907.0858</v>
      </c>
      <c r="R12" s="11"/>
      <c r="S12" s="15">
        <f t="shared" si="8"/>
        <v>-6552246.959999999</v>
      </c>
      <c r="T12" s="15">
        <f t="shared" si="9"/>
        <v>360373.58279999997</v>
      </c>
      <c r="U12" s="15">
        <f t="shared" si="10"/>
        <v>0</v>
      </c>
      <c r="V12" s="15">
        <f t="shared" si="11"/>
        <v>-6191873.3771999991</v>
      </c>
    </row>
    <row r="13" spans="1:22" s="12" customFormat="1" ht="14.1" customHeight="1" x14ac:dyDescent="0.2">
      <c r="A13" s="41">
        <v>1500</v>
      </c>
      <c r="B13" s="13">
        <v>190</v>
      </c>
      <c r="C13" s="389" t="s">
        <v>700</v>
      </c>
      <c r="D13" s="16">
        <v>1</v>
      </c>
      <c r="E13" s="14" t="s">
        <v>33</v>
      </c>
      <c r="F13" s="14" t="s">
        <v>219</v>
      </c>
      <c r="G13" s="370">
        <f>VLOOKUP(E13,'OTP FED Pre-Tax Balances'!$A:$K,6,FALSE)</f>
        <v>2533098</v>
      </c>
      <c r="H13" s="2"/>
      <c r="I13" s="15">
        <f t="shared" si="0"/>
        <v>886584.29999999993</v>
      </c>
      <c r="J13" s="15">
        <f t="shared" si="1"/>
        <v>-48762.136500000001</v>
      </c>
      <c r="K13" s="15">
        <f t="shared" si="2"/>
        <v>139320.39000000001</v>
      </c>
      <c r="L13" s="15">
        <f t="shared" si="3"/>
        <v>977142.55349999992</v>
      </c>
      <c r="M13" s="11"/>
      <c r="N13" s="15">
        <f t="shared" si="4"/>
        <v>531950.57999999996</v>
      </c>
      <c r="O13" s="15">
        <f t="shared" si="5"/>
        <v>-29257.281900000002</v>
      </c>
      <c r="P13" s="15">
        <f t="shared" si="6"/>
        <v>139320.39000000001</v>
      </c>
      <c r="Q13" s="15">
        <f t="shared" si="7"/>
        <v>642013.68809999991</v>
      </c>
      <c r="R13" s="11"/>
      <c r="S13" s="15">
        <f t="shared" si="8"/>
        <v>-354633.72</v>
      </c>
      <c r="T13" s="15">
        <f t="shared" si="9"/>
        <v>19504.854599999999</v>
      </c>
      <c r="U13" s="15">
        <f t="shared" si="10"/>
        <v>0</v>
      </c>
      <c r="V13" s="15">
        <f t="shared" si="11"/>
        <v>-335128.86539999995</v>
      </c>
    </row>
    <row r="14" spans="1:22" s="12" customFormat="1" ht="14.1" customHeight="1" x14ac:dyDescent="0.2">
      <c r="A14" s="41">
        <v>1500</v>
      </c>
      <c r="B14" s="13">
        <v>190</v>
      </c>
      <c r="C14" s="389" t="s">
        <v>697</v>
      </c>
      <c r="D14" s="16">
        <v>5</v>
      </c>
      <c r="E14" s="14" t="s">
        <v>41</v>
      </c>
      <c r="F14" s="14" t="s">
        <v>227</v>
      </c>
      <c r="G14" s="370">
        <f>VLOOKUP(E14,'OTP FED Pre-Tax Balances'!$A:$K,6,FALSE)</f>
        <v>1620377</v>
      </c>
      <c r="H14" s="2"/>
      <c r="I14" s="15">
        <f t="shared" si="0"/>
        <v>567131.94999999995</v>
      </c>
      <c r="J14" s="15">
        <f t="shared" si="1"/>
        <v>-31192.257249999999</v>
      </c>
      <c r="K14" s="15">
        <f t="shared" si="2"/>
        <v>89120.735000000001</v>
      </c>
      <c r="L14" s="15">
        <f t="shared" si="3"/>
        <v>625060.42774999992</v>
      </c>
      <c r="M14" s="11"/>
      <c r="N14" s="15">
        <f t="shared" si="4"/>
        <v>340279.17</v>
      </c>
      <c r="O14" s="15">
        <f t="shared" si="5"/>
        <v>-18715.354349999998</v>
      </c>
      <c r="P14" s="15">
        <f t="shared" si="6"/>
        <v>89120.735000000001</v>
      </c>
      <c r="Q14" s="15">
        <f t="shared" si="7"/>
        <v>410684.55064999999</v>
      </c>
      <c r="R14" s="11"/>
      <c r="S14" s="15">
        <f t="shared" si="8"/>
        <v>-226852.77999999997</v>
      </c>
      <c r="T14" s="15">
        <f t="shared" si="9"/>
        <v>12476.902900000001</v>
      </c>
      <c r="U14" s="15">
        <f t="shared" si="10"/>
        <v>0</v>
      </c>
      <c r="V14" s="15">
        <f t="shared" si="11"/>
        <v>-214375.87709999998</v>
      </c>
    </row>
    <row r="15" spans="1:22" s="12" customFormat="1" ht="14.1" customHeight="1" x14ac:dyDescent="0.2">
      <c r="A15" s="41">
        <v>1500</v>
      </c>
      <c r="B15" s="13">
        <v>190</v>
      </c>
      <c r="C15" s="389" t="s">
        <v>701</v>
      </c>
      <c r="D15" s="16">
        <v>30</v>
      </c>
      <c r="E15" s="14" t="s">
        <v>42</v>
      </c>
      <c r="F15" s="14" t="s">
        <v>228</v>
      </c>
      <c r="G15" s="370">
        <f>VLOOKUP(E15,'OTP FED Pre-Tax Balances'!$A:$K,6,FALSE)</f>
        <v>356332180</v>
      </c>
      <c r="H15" s="2"/>
      <c r="I15" s="15">
        <f t="shared" si="0"/>
        <v>124716262.99999999</v>
      </c>
      <c r="J15" s="15">
        <f t="shared" si="1"/>
        <v>-6859394.4649999989</v>
      </c>
      <c r="K15" s="15">
        <f t="shared" si="2"/>
        <v>19598269.899999999</v>
      </c>
      <c r="L15" s="15">
        <f t="shared" si="3"/>
        <v>137455138.43499997</v>
      </c>
      <c r="M15" s="11"/>
      <c r="N15" s="15">
        <f t="shared" si="4"/>
        <v>74829757.799999997</v>
      </c>
      <c r="O15" s="15">
        <f t="shared" si="5"/>
        <v>-4115636.6789999995</v>
      </c>
      <c r="P15" s="15">
        <f t="shared" si="6"/>
        <v>19598269.899999999</v>
      </c>
      <c r="Q15" s="15">
        <f t="shared" si="7"/>
        <v>90312391.020999998</v>
      </c>
      <c r="R15" s="11"/>
      <c r="S15" s="15">
        <f t="shared" si="8"/>
        <v>-49886505.199999988</v>
      </c>
      <c r="T15" s="15">
        <f t="shared" si="9"/>
        <v>2743757.7859999994</v>
      </c>
      <c r="U15" s="15">
        <f t="shared" si="10"/>
        <v>0</v>
      </c>
      <c r="V15" s="15">
        <f t="shared" si="11"/>
        <v>-47142747.41399999</v>
      </c>
    </row>
    <row r="16" spans="1:22" ht="14.1" customHeight="1" x14ac:dyDescent="0.2">
      <c r="A16" s="41">
        <v>1500</v>
      </c>
      <c r="B16" s="13">
        <v>190</v>
      </c>
      <c r="C16" s="389" t="s">
        <v>701</v>
      </c>
      <c r="D16" s="16">
        <v>30</v>
      </c>
      <c r="E16" s="14" t="s">
        <v>43</v>
      </c>
      <c r="F16" s="14" t="s">
        <v>229</v>
      </c>
      <c r="G16" s="370">
        <f>VLOOKUP(E16,'OTP FED Pre-Tax Balances'!$A:$K,6,FALSE)</f>
        <v>711184357</v>
      </c>
      <c r="H16" s="2" t="s">
        <v>447</v>
      </c>
      <c r="I16" s="15">
        <f t="shared" si="0"/>
        <v>248914524.94999999</v>
      </c>
      <c r="J16" s="15">
        <f t="shared" si="1"/>
        <v>-13690298.872249998</v>
      </c>
      <c r="K16" s="15">
        <f t="shared" si="2"/>
        <v>39115139.634999998</v>
      </c>
      <c r="L16" s="15">
        <f t="shared" si="3"/>
        <v>274339365.71275002</v>
      </c>
      <c r="N16" s="15">
        <f t="shared" si="4"/>
        <v>149348714.97</v>
      </c>
      <c r="O16" s="15">
        <f t="shared" si="5"/>
        <v>-8214179.3233499993</v>
      </c>
      <c r="P16" s="15">
        <f t="shared" si="6"/>
        <v>39115139.634999998</v>
      </c>
      <c r="Q16" s="15">
        <f t="shared" si="7"/>
        <v>180249675.28164998</v>
      </c>
      <c r="S16" s="15">
        <f t="shared" si="8"/>
        <v>-99565809.979999989</v>
      </c>
      <c r="T16" s="15">
        <f t="shared" si="9"/>
        <v>5476119.5488999989</v>
      </c>
      <c r="U16" s="15">
        <f t="shared" si="10"/>
        <v>0</v>
      </c>
      <c r="V16" s="15">
        <f t="shared" si="11"/>
        <v>-94089690.431099996</v>
      </c>
    </row>
    <row r="17" spans="1:22" s="12" customFormat="1" ht="14.1" customHeight="1" x14ac:dyDescent="0.2">
      <c r="A17" s="41">
        <v>1500</v>
      </c>
      <c r="B17" s="13">
        <v>190</v>
      </c>
      <c r="C17" s="389" t="s">
        <v>700</v>
      </c>
      <c r="D17" s="16">
        <v>1</v>
      </c>
      <c r="E17" s="14" t="s">
        <v>76</v>
      </c>
      <c r="F17" s="14" t="s">
        <v>262</v>
      </c>
      <c r="G17" s="370">
        <f>VLOOKUP(E17,'OTP FED Pre-Tax Balances'!$A:$K,6,FALSE)</f>
        <v>2700883</v>
      </c>
      <c r="H17" s="2"/>
      <c r="I17" s="15">
        <f t="shared" si="0"/>
        <v>945309.04999999993</v>
      </c>
      <c r="J17" s="15">
        <f t="shared" si="1"/>
        <v>-51991.997749999995</v>
      </c>
      <c r="K17" s="15">
        <f t="shared" si="2"/>
        <v>148548.565</v>
      </c>
      <c r="L17" s="15">
        <f t="shared" si="3"/>
        <v>1041865.6172499999</v>
      </c>
      <c r="M17" s="11"/>
      <c r="N17" s="15">
        <f t="shared" si="4"/>
        <v>567185.42999999993</v>
      </c>
      <c r="O17" s="15">
        <f t="shared" si="5"/>
        <v>-31195.198649999998</v>
      </c>
      <c r="P17" s="15">
        <f t="shared" si="6"/>
        <v>148548.565</v>
      </c>
      <c r="Q17" s="15">
        <f t="shared" si="7"/>
        <v>684538.79634999996</v>
      </c>
      <c r="R17" s="11"/>
      <c r="S17" s="15">
        <f t="shared" si="8"/>
        <v>-378123.62</v>
      </c>
      <c r="T17" s="15">
        <f t="shared" si="9"/>
        <v>20796.799099999997</v>
      </c>
      <c r="U17" s="15">
        <f t="shared" si="10"/>
        <v>0</v>
      </c>
      <c r="V17" s="15">
        <f t="shared" si="11"/>
        <v>-357326.82089999999</v>
      </c>
    </row>
    <row r="18" spans="1:22" s="12" customFormat="1" ht="14.1" customHeight="1" x14ac:dyDescent="0.2">
      <c r="A18" s="41">
        <v>1500</v>
      </c>
      <c r="B18" s="13">
        <v>190</v>
      </c>
      <c r="C18" s="389" t="s">
        <v>700</v>
      </c>
      <c r="D18" s="16">
        <v>1</v>
      </c>
      <c r="E18" s="14" t="s">
        <v>77</v>
      </c>
      <c r="F18" s="14" t="s">
        <v>263</v>
      </c>
      <c r="G18" s="370">
        <f>VLOOKUP(E18,'OTP FED Pre-Tax Balances'!$A:$K,6,FALSE)</f>
        <v>112726470</v>
      </c>
      <c r="H18" s="2"/>
      <c r="I18" s="15">
        <f t="shared" si="0"/>
        <v>39454264.5</v>
      </c>
      <c r="J18" s="15">
        <f t="shared" si="1"/>
        <v>-2169984.5474999999</v>
      </c>
      <c r="K18" s="15">
        <f t="shared" si="2"/>
        <v>6199955.8499999996</v>
      </c>
      <c r="L18" s="15">
        <f t="shared" si="3"/>
        <v>43484235.802500002</v>
      </c>
      <c r="M18" s="11"/>
      <c r="N18" s="15">
        <f t="shared" si="4"/>
        <v>23672558.699999999</v>
      </c>
      <c r="O18" s="15">
        <f t="shared" si="5"/>
        <v>-1301990.7285</v>
      </c>
      <c r="P18" s="15">
        <f t="shared" si="6"/>
        <v>6199955.8499999996</v>
      </c>
      <c r="Q18" s="15">
        <f t="shared" si="7"/>
        <v>28570523.821499996</v>
      </c>
      <c r="R18" s="11"/>
      <c r="S18" s="15">
        <f t="shared" si="8"/>
        <v>-15781705.800000001</v>
      </c>
      <c r="T18" s="15">
        <f t="shared" si="9"/>
        <v>867993.8189999999</v>
      </c>
      <c r="U18" s="15">
        <f t="shared" si="10"/>
        <v>0</v>
      </c>
      <c r="V18" s="15">
        <f t="shared" si="11"/>
        <v>-14913711.981000001</v>
      </c>
    </row>
    <row r="19" spans="1:22" s="12" customFormat="1" ht="14.1" customHeight="1" x14ac:dyDescent="0.2">
      <c r="A19" s="41">
        <v>1500</v>
      </c>
      <c r="B19" s="13">
        <v>190</v>
      </c>
      <c r="C19" s="389" t="s">
        <v>700</v>
      </c>
      <c r="D19" s="16">
        <v>1</v>
      </c>
      <c r="E19" s="14" t="s">
        <v>78</v>
      </c>
      <c r="F19" s="14" t="s">
        <v>264</v>
      </c>
      <c r="G19" s="370">
        <f>VLOOKUP(E19,'OTP FED Pre-Tax Balances'!$A:$K,6,FALSE)</f>
        <v>9163181</v>
      </c>
      <c r="H19" s="2"/>
      <c r="I19" s="15">
        <f t="shared" si="0"/>
        <v>3207113.3499999996</v>
      </c>
      <c r="J19" s="15">
        <f t="shared" si="1"/>
        <v>-176391.23425000001</v>
      </c>
      <c r="K19" s="15">
        <f t="shared" si="2"/>
        <v>503974.95500000002</v>
      </c>
      <c r="L19" s="15">
        <f t="shared" si="3"/>
        <v>3534697.0707499995</v>
      </c>
      <c r="M19" s="11"/>
      <c r="N19" s="15">
        <f t="shared" si="4"/>
        <v>1924268.01</v>
      </c>
      <c r="O19" s="15">
        <f t="shared" si="5"/>
        <v>-105834.74055</v>
      </c>
      <c r="P19" s="15">
        <f t="shared" si="6"/>
        <v>503974.95500000002</v>
      </c>
      <c r="Q19" s="15">
        <f t="shared" si="7"/>
        <v>2322408.2244500001</v>
      </c>
      <c r="R19" s="11"/>
      <c r="S19" s="15">
        <f t="shared" si="8"/>
        <v>-1282845.3399999996</v>
      </c>
      <c r="T19" s="15">
        <f t="shared" si="9"/>
        <v>70556.493700000006</v>
      </c>
      <c r="U19" s="15">
        <f t="shared" si="10"/>
        <v>0</v>
      </c>
      <c r="V19" s="15">
        <f t="shared" si="11"/>
        <v>-1212288.8462999996</v>
      </c>
    </row>
    <row r="20" spans="1:22" s="12" customFormat="1" ht="14.1" customHeight="1" x14ac:dyDescent="0.2">
      <c r="A20" s="41">
        <v>1500</v>
      </c>
      <c r="B20" s="13">
        <v>190</v>
      </c>
      <c r="C20" s="389" t="s">
        <v>702</v>
      </c>
      <c r="D20" s="16">
        <v>10</v>
      </c>
      <c r="E20" s="14" t="s">
        <v>79</v>
      </c>
      <c r="F20" s="14" t="s">
        <v>265</v>
      </c>
      <c r="G20" s="370">
        <f>VLOOKUP(E20,'OTP FED Pre-Tax Balances'!$A:$K,6,FALSE)</f>
        <v>19068000</v>
      </c>
      <c r="H20" s="2"/>
      <c r="I20" s="15">
        <f t="shared" si="0"/>
        <v>6673800</v>
      </c>
      <c r="J20" s="15">
        <f t="shared" si="1"/>
        <v>-367059</v>
      </c>
      <c r="K20" s="15">
        <f t="shared" si="2"/>
        <v>1048740</v>
      </c>
      <c r="L20" s="15">
        <f t="shared" si="3"/>
        <v>7355481</v>
      </c>
      <c r="M20" s="11"/>
      <c r="N20" s="15">
        <f t="shared" si="4"/>
        <v>4004280</v>
      </c>
      <c r="O20" s="15">
        <f t="shared" si="5"/>
        <v>-220235.4</v>
      </c>
      <c r="P20" s="15">
        <f t="shared" si="6"/>
        <v>1048740</v>
      </c>
      <c r="Q20" s="15">
        <f t="shared" si="7"/>
        <v>4832784.5999999996</v>
      </c>
      <c r="R20" s="11"/>
      <c r="S20" s="15">
        <f t="shared" si="8"/>
        <v>-2669520</v>
      </c>
      <c r="T20" s="15">
        <f t="shared" si="9"/>
        <v>146823.6</v>
      </c>
      <c r="U20" s="15">
        <f t="shared" si="10"/>
        <v>0</v>
      </c>
      <c r="V20" s="15">
        <f t="shared" si="11"/>
        <v>-2522696.4</v>
      </c>
    </row>
    <row r="21" spans="1:22" s="12" customFormat="1" ht="14.1" customHeight="1" x14ac:dyDescent="0.2">
      <c r="A21" s="41">
        <v>1500</v>
      </c>
      <c r="B21" s="13">
        <v>190</v>
      </c>
      <c r="C21" s="389" t="s">
        <v>700</v>
      </c>
      <c r="D21" s="16">
        <v>1</v>
      </c>
      <c r="E21" s="14" t="s">
        <v>81</v>
      </c>
      <c r="F21" s="14" t="s">
        <v>267</v>
      </c>
      <c r="G21" s="370">
        <f>VLOOKUP(E21,'OTP FED Pre-Tax Balances'!$A:$K,6,FALSE)</f>
        <v>15845690</v>
      </c>
      <c r="H21" s="2"/>
      <c r="I21" s="15">
        <f t="shared" si="0"/>
        <v>5545991.5</v>
      </c>
      <c r="J21" s="15">
        <f t="shared" si="1"/>
        <v>-305029.53249999997</v>
      </c>
      <c r="K21" s="15">
        <f t="shared" si="2"/>
        <v>871512.95</v>
      </c>
      <c r="L21" s="15">
        <f t="shared" si="3"/>
        <v>6112474.9175000004</v>
      </c>
      <c r="M21" s="11"/>
      <c r="N21" s="15">
        <f t="shared" si="4"/>
        <v>3327594.9</v>
      </c>
      <c r="O21" s="15">
        <f t="shared" si="5"/>
        <v>-183017.71949999998</v>
      </c>
      <c r="P21" s="15">
        <f t="shared" si="6"/>
        <v>871512.95</v>
      </c>
      <c r="Q21" s="15">
        <f t="shared" si="7"/>
        <v>4016090.1305</v>
      </c>
      <c r="R21" s="11"/>
      <c r="S21" s="15">
        <f t="shared" si="8"/>
        <v>-2218396.6</v>
      </c>
      <c r="T21" s="15">
        <f t="shared" si="9"/>
        <v>122011.81299999999</v>
      </c>
      <c r="U21" s="15">
        <f t="shared" si="10"/>
        <v>0</v>
      </c>
      <c r="V21" s="15">
        <f t="shared" si="11"/>
        <v>-2096384.787</v>
      </c>
    </row>
    <row r="22" spans="1:22" s="12" customFormat="1" ht="14.1" customHeight="1" x14ac:dyDescent="0.2">
      <c r="A22" s="41">
        <v>1500</v>
      </c>
      <c r="B22" s="13">
        <v>190</v>
      </c>
      <c r="C22" s="389" t="s">
        <v>702</v>
      </c>
      <c r="D22" s="16">
        <v>10</v>
      </c>
      <c r="E22" s="14" t="s">
        <v>82</v>
      </c>
      <c r="F22" s="14" t="s">
        <v>268</v>
      </c>
      <c r="G22" s="370">
        <f>VLOOKUP(E22,'OTP FED Pre-Tax Balances'!$A:$K,6,FALSE)</f>
        <v>188314186</v>
      </c>
      <c r="H22" s="2"/>
      <c r="I22" s="15">
        <f t="shared" si="0"/>
        <v>65909965.099999994</v>
      </c>
      <c r="J22" s="15">
        <f t="shared" si="1"/>
        <v>-3625048.0805000002</v>
      </c>
      <c r="K22" s="15">
        <f t="shared" si="2"/>
        <v>10357280.23</v>
      </c>
      <c r="L22" s="15">
        <f t="shared" si="3"/>
        <v>72642197.249499992</v>
      </c>
      <c r="M22" s="11"/>
      <c r="N22" s="15">
        <f t="shared" si="4"/>
        <v>39545979.059999995</v>
      </c>
      <c r="O22" s="15">
        <f t="shared" si="5"/>
        <v>-2175028.8483000002</v>
      </c>
      <c r="P22" s="15">
        <f t="shared" si="6"/>
        <v>10357280.23</v>
      </c>
      <c r="Q22" s="15">
        <f t="shared" si="7"/>
        <v>47728230.441699997</v>
      </c>
      <c r="R22" s="11"/>
      <c r="S22" s="15">
        <f t="shared" si="8"/>
        <v>-26363986.039999999</v>
      </c>
      <c r="T22" s="15">
        <f t="shared" si="9"/>
        <v>1450019.2322</v>
      </c>
      <c r="U22" s="15">
        <f t="shared" si="10"/>
        <v>0</v>
      </c>
      <c r="V22" s="15">
        <f t="shared" si="11"/>
        <v>-24913966.807799999</v>
      </c>
    </row>
    <row r="23" spans="1:22" s="12" customFormat="1" ht="14.1" customHeight="1" x14ac:dyDescent="0.2">
      <c r="A23" s="41">
        <v>1500</v>
      </c>
      <c r="B23" s="13">
        <v>190</v>
      </c>
      <c r="C23" s="389" t="s">
        <v>702</v>
      </c>
      <c r="D23" s="16">
        <v>10</v>
      </c>
      <c r="E23" s="14" t="s">
        <v>83</v>
      </c>
      <c r="F23" s="14" t="s">
        <v>269</v>
      </c>
      <c r="G23" s="370">
        <f>VLOOKUP(E23,'OTP FED Pre-Tax Balances'!$A:$K,6,FALSE)</f>
        <v>-4656347</v>
      </c>
      <c r="H23" s="2"/>
      <c r="I23" s="15">
        <f t="shared" si="0"/>
        <v>-1629721.45</v>
      </c>
      <c r="J23" s="15">
        <f t="shared" si="1"/>
        <v>89634.679749999996</v>
      </c>
      <c r="K23" s="15">
        <f t="shared" si="2"/>
        <v>-256099.08499999999</v>
      </c>
      <c r="L23" s="15">
        <f t="shared" si="3"/>
        <v>-1796185.85525</v>
      </c>
      <c r="M23" s="11"/>
      <c r="N23" s="15">
        <f t="shared" si="4"/>
        <v>-977832.87</v>
      </c>
      <c r="O23" s="15">
        <f t="shared" si="5"/>
        <v>53780.807849999997</v>
      </c>
      <c r="P23" s="15">
        <f t="shared" si="6"/>
        <v>-256099.08499999999</v>
      </c>
      <c r="Q23" s="15">
        <f t="shared" si="7"/>
        <v>-1180151.1471500001</v>
      </c>
      <c r="R23" s="11"/>
      <c r="S23" s="15">
        <f t="shared" si="8"/>
        <v>651888.57999999996</v>
      </c>
      <c r="T23" s="15">
        <f t="shared" si="9"/>
        <v>-35853.871899999998</v>
      </c>
      <c r="U23" s="15">
        <f t="shared" si="10"/>
        <v>0</v>
      </c>
      <c r="V23" s="15">
        <f t="shared" si="11"/>
        <v>616034.70809999993</v>
      </c>
    </row>
    <row r="24" spans="1:22" s="12" customFormat="1" ht="14.1" customHeight="1" x14ac:dyDescent="0.2">
      <c r="A24" s="41">
        <v>1500</v>
      </c>
      <c r="B24" s="13">
        <v>190</v>
      </c>
      <c r="C24" s="389" t="s">
        <v>702</v>
      </c>
      <c r="D24" s="16">
        <v>10</v>
      </c>
      <c r="E24" s="14" t="s">
        <v>84</v>
      </c>
      <c r="F24" s="14" t="s">
        <v>270</v>
      </c>
      <c r="G24" s="370">
        <f>VLOOKUP(E24,'OTP FED Pre-Tax Balances'!$A:$K,6,FALSE)</f>
        <v>3387857</v>
      </c>
      <c r="H24" s="2"/>
      <c r="I24" s="15">
        <f t="shared" si="0"/>
        <v>1185749.95</v>
      </c>
      <c r="J24" s="15">
        <f t="shared" si="1"/>
        <v>-65216.24725</v>
      </c>
      <c r="K24" s="15">
        <f t="shared" si="2"/>
        <v>186332.13500000001</v>
      </c>
      <c r="L24" s="15">
        <f t="shared" si="3"/>
        <v>1306865.8377499999</v>
      </c>
      <c r="M24" s="11"/>
      <c r="N24" s="15">
        <f t="shared" si="4"/>
        <v>711449.97</v>
      </c>
      <c r="O24" s="15">
        <f t="shared" si="5"/>
        <v>-39129.748350000002</v>
      </c>
      <c r="P24" s="15">
        <f t="shared" si="6"/>
        <v>186332.13500000001</v>
      </c>
      <c r="Q24" s="15">
        <f t="shared" si="7"/>
        <v>858652.35664999997</v>
      </c>
      <c r="R24" s="11"/>
      <c r="S24" s="15">
        <f t="shared" si="8"/>
        <v>-474299.98</v>
      </c>
      <c r="T24" s="15">
        <f t="shared" si="9"/>
        <v>26086.498899999999</v>
      </c>
      <c r="U24" s="15">
        <f t="shared" si="10"/>
        <v>0</v>
      </c>
      <c r="V24" s="15">
        <f t="shared" si="11"/>
        <v>-448213.48109999998</v>
      </c>
    </row>
    <row r="25" spans="1:22" s="12" customFormat="1" ht="14.1" customHeight="1" x14ac:dyDescent="0.2">
      <c r="A25" s="41">
        <v>1500</v>
      </c>
      <c r="B25" s="13">
        <v>190</v>
      </c>
      <c r="C25" s="389" t="s">
        <v>700</v>
      </c>
      <c r="D25" s="16">
        <v>1</v>
      </c>
      <c r="E25" s="14" t="s">
        <v>85</v>
      </c>
      <c r="F25" s="14" t="s">
        <v>271</v>
      </c>
      <c r="G25" s="370">
        <f>VLOOKUP(E25,'OTP FED Pre-Tax Balances'!$A:$K,6,FALSE)</f>
        <v>360882</v>
      </c>
      <c r="H25" s="2"/>
      <c r="I25" s="15">
        <f t="shared" si="0"/>
        <v>126308.7</v>
      </c>
      <c r="J25" s="15">
        <f t="shared" si="1"/>
        <v>-6946.9784999999993</v>
      </c>
      <c r="K25" s="15">
        <f t="shared" si="2"/>
        <v>19848.509999999998</v>
      </c>
      <c r="L25" s="15">
        <f t="shared" si="3"/>
        <v>139210.23149999999</v>
      </c>
      <c r="M25" s="11"/>
      <c r="N25" s="15">
        <f t="shared" si="4"/>
        <v>75785.22</v>
      </c>
      <c r="O25" s="15">
        <f t="shared" si="5"/>
        <v>-4168.1870999999992</v>
      </c>
      <c r="P25" s="15">
        <f t="shared" si="6"/>
        <v>19848.509999999998</v>
      </c>
      <c r="Q25" s="15">
        <f t="shared" si="7"/>
        <v>91465.5429</v>
      </c>
      <c r="R25" s="11"/>
      <c r="S25" s="15">
        <f t="shared" si="8"/>
        <v>-50523.479999999996</v>
      </c>
      <c r="T25" s="15">
        <f t="shared" si="9"/>
        <v>2778.7914000000001</v>
      </c>
      <c r="U25" s="15">
        <f t="shared" si="10"/>
        <v>0</v>
      </c>
      <c r="V25" s="15">
        <f t="shared" si="11"/>
        <v>-47744.688599999994</v>
      </c>
    </row>
    <row r="26" spans="1:22" s="12" customFormat="1" ht="14.1" customHeight="1" x14ac:dyDescent="0.2">
      <c r="A26" s="41">
        <v>1500</v>
      </c>
      <c r="B26" s="13">
        <v>190</v>
      </c>
      <c r="C26" s="389" t="s">
        <v>702</v>
      </c>
      <c r="D26" s="16">
        <v>10</v>
      </c>
      <c r="E26" s="14" t="s">
        <v>86</v>
      </c>
      <c r="F26" s="14" t="s">
        <v>272</v>
      </c>
      <c r="G26" s="370">
        <f>VLOOKUP(E26,'OTP FED Pre-Tax Balances'!$A:$K,6,FALSE)</f>
        <v>7124177</v>
      </c>
      <c r="H26" s="2"/>
      <c r="I26" s="15">
        <f t="shared" si="0"/>
        <v>2493461.9499999997</v>
      </c>
      <c r="J26" s="15">
        <f t="shared" si="1"/>
        <v>-137140.40724999999</v>
      </c>
      <c r="K26" s="15">
        <f t="shared" si="2"/>
        <v>391829.73499999999</v>
      </c>
      <c r="L26" s="15">
        <f t="shared" si="3"/>
        <v>2748151.2777499994</v>
      </c>
      <c r="M26" s="11"/>
      <c r="N26" s="15">
        <f t="shared" si="4"/>
        <v>1496077.17</v>
      </c>
      <c r="O26" s="15">
        <f t="shared" si="5"/>
        <v>-82284.244349999994</v>
      </c>
      <c r="P26" s="15">
        <f t="shared" si="6"/>
        <v>391829.73499999999</v>
      </c>
      <c r="Q26" s="15">
        <f t="shared" si="7"/>
        <v>1805622.66065</v>
      </c>
      <c r="R26" s="11"/>
      <c r="S26" s="15">
        <f t="shared" si="8"/>
        <v>-997384.7799999998</v>
      </c>
      <c r="T26" s="15">
        <f t="shared" si="9"/>
        <v>54856.162899999996</v>
      </c>
      <c r="U26" s="15">
        <f t="shared" si="10"/>
        <v>0</v>
      </c>
      <c r="V26" s="15">
        <f t="shared" si="11"/>
        <v>-942528.6170999998</v>
      </c>
    </row>
    <row r="27" spans="1:22" s="12" customFormat="1" ht="14.1" customHeight="1" x14ac:dyDescent="0.2">
      <c r="A27" s="41">
        <v>1500</v>
      </c>
      <c r="B27" s="13">
        <v>190</v>
      </c>
      <c r="C27" s="389" t="s">
        <v>697</v>
      </c>
      <c r="D27" s="16">
        <v>5</v>
      </c>
      <c r="E27" s="14" t="s">
        <v>90</v>
      </c>
      <c r="F27" s="14" t="s">
        <v>276</v>
      </c>
      <c r="G27" s="370">
        <f>VLOOKUP(E27,'OTP FED Pre-Tax Balances'!$A:$K,6,FALSE)</f>
        <v>964905</v>
      </c>
      <c r="H27" s="2"/>
      <c r="I27" s="15">
        <f t="shared" si="0"/>
        <v>337716.75</v>
      </c>
      <c r="J27" s="15">
        <f t="shared" si="1"/>
        <v>-18574.421249999999</v>
      </c>
      <c r="K27" s="15">
        <f t="shared" si="2"/>
        <v>53069.775000000001</v>
      </c>
      <c r="L27" s="15">
        <f t="shared" si="3"/>
        <v>372212.10375000001</v>
      </c>
      <c r="M27" s="11"/>
      <c r="N27" s="15">
        <f t="shared" si="4"/>
        <v>202630.05</v>
      </c>
      <c r="O27" s="15">
        <f t="shared" si="5"/>
        <v>-11144.652749999999</v>
      </c>
      <c r="P27" s="15">
        <f t="shared" si="6"/>
        <v>53069.775000000001</v>
      </c>
      <c r="Q27" s="15">
        <f t="shared" si="7"/>
        <v>244555.17224999997</v>
      </c>
      <c r="R27" s="11"/>
      <c r="S27" s="15">
        <f t="shared" si="8"/>
        <v>-135086.70000000001</v>
      </c>
      <c r="T27" s="15">
        <f t="shared" si="9"/>
        <v>7429.7685000000001</v>
      </c>
      <c r="U27" s="15">
        <f t="shared" si="10"/>
        <v>0</v>
      </c>
      <c r="V27" s="15">
        <f t="shared" si="11"/>
        <v>-127656.93150000001</v>
      </c>
    </row>
    <row r="28" spans="1:22" s="12" customFormat="1" ht="14.1" customHeight="1" x14ac:dyDescent="0.2">
      <c r="A28" s="41">
        <v>1500</v>
      </c>
      <c r="B28" s="13">
        <v>190</v>
      </c>
      <c r="C28" s="389" t="s">
        <v>697</v>
      </c>
      <c r="D28" s="16">
        <v>5</v>
      </c>
      <c r="E28" s="14" t="s">
        <v>92</v>
      </c>
      <c r="F28" s="14" t="s">
        <v>278</v>
      </c>
      <c r="G28" s="370">
        <f>VLOOKUP(E28,'OTP FED Pre-Tax Balances'!$A:$K,6,FALSE)</f>
        <v>393572</v>
      </c>
      <c r="H28" s="2"/>
      <c r="I28" s="15">
        <f t="shared" si="0"/>
        <v>137750.19999999998</v>
      </c>
      <c r="J28" s="15">
        <f t="shared" si="1"/>
        <v>-7576.2609999999995</v>
      </c>
      <c r="K28" s="15">
        <f t="shared" si="2"/>
        <v>21646.46</v>
      </c>
      <c r="L28" s="15">
        <f t="shared" si="3"/>
        <v>151820.39899999998</v>
      </c>
      <c r="M28" s="11"/>
      <c r="N28" s="15">
        <f t="shared" si="4"/>
        <v>82650.12</v>
      </c>
      <c r="O28" s="15">
        <f t="shared" si="5"/>
        <v>-4545.7565999999997</v>
      </c>
      <c r="P28" s="15">
        <f t="shared" si="6"/>
        <v>21646.46</v>
      </c>
      <c r="Q28" s="15">
        <f t="shared" si="7"/>
        <v>99750.823399999994</v>
      </c>
      <c r="R28" s="11"/>
      <c r="S28" s="15">
        <f t="shared" si="8"/>
        <v>-55100.079999999987</v>
      </c>
      <c r="T28" s="15">
        <f t="shared" si="9"/>
        <v>3030.5043999999998</v>
      </c>
      <c r="U28" s="15">
        <f t="shared" si="10"/>
        <v>0</v>
      </c>
      <c r="V28" s="15">
        <f t="shared" si="11"/>
        <v>-52069.575599999989</v>
      </c>
    </row>
    <row r="29" spans="1:22" s="12" customFormat="1" ht="14.1" customHeight="1" x14ac:dyDescent="0.2">
      <c r="A29" s="41">
        <v>1500</v>
      </c>
      <c r="B29" s="13">
        <v>190</v>
      </c>
      <c r="C29" s="389" t="s">
        <v>700</v>
      </c>
      <c r="D29" s="16">
        <v>1</v>
      </c>
      <c r="E29" s="14" t="s">
        <v>101</v>
      </c>
      <c r="F29" s="14" t="s">
        <v>287</v>
      </c>
      <c r="G29" s="370">
        <f>VLOOKUP(E29,'OTP FED Pre-Tax Balances'!$A:$K,6,FALSE)</f>
        <v>7731068</v>
      </c>
      <c r="H29" s="2"/>
      <c r="I29" s="15">
        <f t="shared" si="0"/>
        <v>2705873.8</v>
      </c>
      <c r="J29" s="15">
        <f t="shared" si="1"/>
        <v>-148823.05899999998</v>
      </c>
      <c r="K29" s="15">
        <f t="shared" si="2"/>
        <v>425208.74</v>
      </c>
      <c r="L29" s="15">
        <f t="shared" si="3"/>
        <v>2982259.4809999997</v>
      </c>
      <c r="M29" s="11"/>
      <c r="N29" s="15">
        <f t="shared" si="4"/>
        <v>1623524.28</v>
      </c>
      <c r="O29" s="15">
        <f t="shared" si="5"/>
        <v>-89293.835399999996</v>
      </c>
      <c r="P29" s="15">
        <f t="shared" si="6"/>
        <v>425208.74</v>
      </c>
      <c r="Q29" s="15">
        <f t="shared" si="7"/>
        <v>1959439.1846</v>
      </c>
      <c r="R29" s="11"/>
      <c r="S29" s="15">
        <f t="shared" si="8"/>
        <v>-1082349.5199999998</v>
      </c>
      <c r="T29" s="15">
        <f t="shared" si="9"/>
        <v>59529.223599999983</v>
      </c>
      <c r="U29" s="15">
        <f t="shared" si="10"/>
        <v>0</v>
      </c>
      <c r="V29" s="15">
        <f t="shared" si="11"/>
        <v>-1022820.2963999998</v>
      </c>
    </row>
    <row r="30" spans="1:22" s="12" customFormat="1" ht="14.1" customHeight="1" x14ac:dyDescent="0.2">
      <c r="A30" s="41">
        <v>1500</v>
      </c>
      <c r="B30" s="13">
        <v>190</v>
      </c>
      <c r="C30" s="389" t="s">
        <v>697</v>
      </c>
      <c r="D30" s="16">
        <v>5</v>
      </c>
      <c r="E30" s="14" t="s">
        <v>104</v>
      </c>
      <c r="F30" s="14" t="s">
        <v>290</v>
      </c>
      <c r="G30" s="370">
        <f>VLOOKUP(E30,'OTP FED Pre-Tax Balances'!$A:$K,6,FALSE)</f>
        <v>6198290</v>
      </c>
      <c r="H30" s="2"/>
      <c r="I30" s="15">
        <f t="shared" si="0"/>
        <v>2169401.5</v>
      </c>
      <c r="J30" s="15">
        <f t="shared" si="1"/>
        <v>-119317.08249999999</v>
      </c>
      <c r="K30" s="15">
        <f t="shared" si="2"/>
        <v>340905.95</v>
      </c>
      <c r="L30" s="15">
        <f t="shared" si="3"/>
        <v>2390990.3675000002</v>
      </c>
      <c r="M30" s="11"/>
      <c r="N30" s="15">
        <f t="shared" si="4"/>
        <v>1301640.8999999999</v>
      </c>
      <c r="O30" s="15">
        <f t="shared" si="5"/>
        <v>-71590.249500000005</v>
      </c>
      <c r="P30" s="15">
        <f t="shared" si="6"/>
        <v>340905.95</v>
      </c>
      <c r="Q30" s="15">
        <f t="shared" si="7"/>
        <v>1570956.6004999999</v>
      </c>
      <c r="R30" s="11"/>
      <c r="S30" s="15">
        <f t="shared" si="8"/>
        <v>-867760.60000000009</v>
      </c>
      <c r="T30" s="15">
        <f t="shared" si="9"/>
        <v>47726.832999999984</v>
      </c>
      <c r="U30" s="15">
        <f t="shared" si="10"/>
        <v>0</v>
      </c>
      <c r="V30" s="15">
        <f t="shared" si="11"/>
        <v>-820033.76700000011</v>
      </c>
    </row>
    <row r="31" spans="1:22" s="12" customFormat="1" ht="14.1" customHeight="1" x14ac:dyDescent="0.2">
      <c r="A31" s="41">
        <v>1500</v>
      </c>
      <c r="B31" s="13">
        <v>190</v>
      </c>
      <c r="C31" s="389" t="s">
        <v>702</v>
      </c>
      <c r="D31" s="16">
        <v>10</v>
      </c>
      <c r="E31" s="14" t="s">
        <v>105</v>
      </c>
      <c r="F31" s="14" t="s">
        <v>291</v>
      </c>
      <c r="G31" s="370">
        <f>VLOOKUP(E31,'OTP FED Pre-Tax Balances'!$A:$K,6,FALSE)</f>
        <v>386594</v>
      </c>
      <c r="H31" s="2"/>
      <c r="I31" s="15">
        <f t="shared" si="0"/>
        <v>135307.9</v>
      </c>
      <c r="J31" s="15">
        <f t="shared" si="1"/>
        <v>-7441.9345000000003</v>
      </c>
      <c r="K31" s="15">
        <f t="shared" si="2"/>
        <v>21262.670000000002</v>
      </c>
      <c r="L31" s="15">
        <f t="shared" si="3"/>
        <v>149128.6355</v>
      </c>
      <c r="M31" s="11"/>
      <c r="N31" s="15">
        <f t="shared" si="4"/>
        <v>81184.739999999991</v>
      </c>
      <c r="O31" s="15">
        <f t="shared" si="5"/>
        <v>-4465.1607000000004</v>
      </c>
      <c r="P31" s="15">
        <f t="shared" si="6"/>
        <v>21262.670000000002</v>
      </c>
      <c r="Q31" s="15">
        <f t="shared" si="7"/>
        <v>97982.249299999981</v>
      </c>
      <c r="R31" s="11"/>
      <c r="S31" s="15">
        <f t="shared" si="8"/>
        <v>-54123.16</v>
      </c>
      <c r="T31" s="15">
        <f t="shared" si="9"/>
        <v>2976.7737999999999</v>
      </c>
      <c r="U31" s="15">
        <f t="shared" si="10"/>
        <v>0</v>
      </c>
      <c r="V31" s="15">
        <f t="shared" si="11"/>
        <v>-51146.386200000001</v>
      </c>
    </row>
    <row r="32" spans="1:22" s="12" customFormat="1" ht="14.1" customHeight="1" x14ac:dyDescent="0.2">
      <c r="A32" s="41">
        <v>1500</v>
      </c>
      <c r="B32" s="13">
        <v>190</v>
      </c>
      <c r="C32" s="389" t="s">
        <v>697</v>
      </c>
      <c r="D32" s="16">
        <v>5</v>
      </c>
      <c r="E32" s="14" t="s">
        <v>109</v>
      </c>
      <c r="F32" s="14" t="s">
        <v>295</v>
      </c>
      <c r="G32" s="370">
        <f>VLOOKUP(E32,'OTP FED Pre-Tax Balances'!$A:$K,6,FALSE)</f>
        <v>17972160</v>
      </c>
      <c r="H32" s="2"/>
      <c r="I32" s="15">
        <f t="shared" si="0"/>
        <v>6290256</v>
      </c>
      <c r="J32" s="15">
        <f t="shared" si="1"/>
        <v>-345964.08</v>
      </c>
      <c r="K32" s="15">
        <f t="shared" si="2"/>
        <v>988468.8</v>
      </c>
      <c r="L32" s="15">
        <f t="shared" si="3"/>
        <v>6932760.7199999997</v>
      </c>
      <c r="M32" s="11"/>
      <c r="N32" s="15">
        <f t="shared" si="4"/>
        <v>3774153.5999999996</v>
      </c>
      <c r="O32" s="15">
        <f t="shared" si="5"/>
        <v>-207578.448</v>
      </c>
      <c r="P32" s="15">
        <f t="shared" si="6"/>
        <v>988468.8</v>
      </c>
      <c r="Q32" s="15">
        <f t="shared" si="7"/>
        <v>4555043.9519999996</v>
      </c>
      <c r="R32" s="11"/>
      <c r="S32" s="15">
        <f t="shared" si="8"/>
        <v>-2516102.4000000004</v>
      </c>
      <c r="T32" s="15">
        <f t="shared" si="9"/>
        <v>138385.63200000001</v>
      </c>
      <c r="U32" s="15">
        <f t="shared" si="10"/>
        <v>0</v>
      </c>
      <c r="V32" s="15">
        <f t="shared" si="11"/>
        <v>-2377716.7680000002</v>
      </c>
    </row>
    <row r="33" spans="1:22" s="12" customFormat="1" ht="14.1" customHeight="1" x14ac:dyDescent="0.2">
      <c r="A33" s="41">
        <v>1500</v>
      </c>
      <c r="B33" s="13">
        <v>190</v>
      </c>
      <c r="C33" s="389" t="s">
        <v>703</v>
      </c>
      <c r="D33" s="16">
        <v>21</v>
      </c>
      <c r="E33" s="14" t="s">
        <v>111</v>
      </c>
      <c r="F33" s="14" t="s">
        <v>297</v>
      </c>
      <c r="G33" s="370">
        <f>VLOOKUP(E33,'OTP FED Pre-Tax Balances'!$A:$K,6,FALSE)</f>
        <v>52065738</v>
      </c>
      <c r="H33" s="2"/>
      <c r="I33" s="15">
        <f t="shared" si="0"/>
        <v>18223008.299999997</v>
      </c>
      <c r="J33" s="15">
        <f t="shared" si="1"/>
        <v>-1002265.4564999999</v>
      </c>
      <c r="K33" s="15">
        <f t="shared" si="2"/>
        <v>2863615.59</v>
      </c>
      <c r="L33" s="15">
        <f t="shared" si="3"/>
        <v>20084358.433499996</v>
      </c>
      <c r="M33" s="11"/>
      <c r="N33" s="15">
        <f t="shared" si="4"/>
        <v>10933804.98</v>
      </c>
      <c r="O33" s="15">
        <f t="shared" si="5"/>
        <v>-601359.27389999991</v>
      </c>
      <c r="P33" s="15">
        <f t="shared" si="6"/>
        <v>2863615.59</v>
      </c>
      <c r="Q33" s="15">
        <f t="shared" si="7"/>
        <v>13196061.2961</v>
      </c>
      <c r="R33" s="11"/>
      <c r="S33" s="15">
        <f t="shared" si="8"/>
        <v>-7289203.3199999966</v>
      </c>
      <c r="T33" s="15">
        <f t="shared" si="9"/>
        <v>400906.18259999994</v>
      </c>
      <c r="U33" s="15">
        <f t="shared" si="10"/>
        <v>0</v>
      </c>
      <c r="V33" s="15">
        <f t="shared" si="11"/>
        <v>-6888297.1373999966</v>
      </c>
    </row>
    <row r="34" spans="1:22" s="12" customFormat="1" ht="14.1" customHeight="1" x14ac:dyDescent="0.2">
      <c r="A34" s="41">
        <v>1500</v>
      </c>
      <c r="B34" s="13">
        <v>190</v>
      </c>
      <c r="C34" s="389" t="s">
        <v>704</v>
      </c>
      <c r="D34" s="16">
        <v>22</v>
      </c>
      <c r="E34" s="14" t="s">
        <v>113</v>
      </c>
      <c r="F34" s="14" t="s">
        <v>299</v>
      </c>
      <c r="G34" s="370">
        <f>VLOOKUP(E34,'OTP FED Pre-Tax Balances'!$A:$K,6,FALSE)</f>
        <v>22292084</v>
      </c>
      <c r="H34" s="2"/>
      <c r="I34" s="15">
        <f t="shared" si="0"/>
        <v>7802229.3999999994</v>
      </c>
      <c r="J34" s="15">
        <f t="shared" si="1"/>
        <v>-429122.61700000003</v>
      </c>
      <c r="K34" s="15">
        <f t="shared" si="2"/>
        <v>1226064.6200000001</v>
      </c>
      <c r="L34" s="15">
        <f t="shared" si="3"/>
        <v>8599171.4030000009</v>
      </c>
      <c r="M34" s="11"/>
      <c r="N34" s="15">
        <f t="shared" si="4"/>
        <v>4681337.6399999997</v>
      </c>
      <c r="O34" s="15">
        <f t="shared" si="5"/>
        <v>-257473.57020000002</v>
      </c>
      <c r="P34" s="15">
        <f t="shared" si="6"/>
        <v>1226064.6200000001</v>
      </c>
      <c r="Q34" s="15">
        <f t="shared" si="7"/>
        <v>5649928.6897999998</v>
      </c>
      <c r="R34" s="11"/>
      <c r="S34" s="15">
        <f t="shared" si="8"/>
        <v>-3120891.76</v>
      </c>
      <c r="T34" s="15">
        <f t="shared" si="9"/>
        <v>171649.04680000001</v>
      </c>
      <c r="U34" s="15">
        <f t="shared" si="10"/>
        <v>0</v>
      </c>
      <c r="V34" s="15">
        <f t="shared" si="11"/>
        <v>-2949242.7131999996</v>
      </c>
    </row>
    <row r="35" spans="1:22" s="12" customFormat="1" ht="14.1" customHeight="1" x14ac:dyDescent="0.2">
      <c r="A35" s="41">
        <v>1500</v>
      </c>
      <c r="B35" s="13">
        <v>190</v>
      </c>
      <c r="C35" s="389" t="s">
        <v>703</v>
      </c>
      <c r="D35" s="16">
        <v>21</v>
      </c>
      <c r="E35" s="14" t="s">
        <v>115</v>
      </c>
      <c r="F35" s="14" t="s">
        <v>301</v>
      </c>
      <c r="G35" s="370">
        <f>VLOOKUP(E35,'OTP FED Pre-Tax Balances'!$A:$K,6,FALSE)</f>
        <v>154080973</v>
      </c>
      <c r="H35" s="2"/>
      <c r="I35" s="15">
        <f t="shared" si="0"/>
        <v>53928340.549999997</v>
      </c>
      <c r="J35" s="15">
        <f t="shared" si="1"/>
        <v>-2966058.73025</v>
      </c>
      <c r="K35" s="15">
        <f t="shared" si="2"/>
        <v>8474453.5150000006</v>
      </c>
      <c r="L35" s="15">
        <f t="shared" si="3"/>
        <v>59436735.334749997</v>
      </c>
      <c r="M35" s="11"/>
      <c r="N35" s="15">
        <f t="shared" si="4"/>
        <v>32357004.329999998</v>
      </c>
      <c r="O35" s="15">
        <f t="shared" si="5"/>
        <v>-1779635.2381500001</v>
      </c>
      <c r="P35" s="15">
        <f t="shared" si="6"/>
        <v>8474453.5150000006</v>
      </c>
      <c r="Q35" s="15">
        <f t="shared" si="7"/>
        <v>39051822.606849998</v>
      </c>
      <c r="R35" s="11"/>
      <c r="S35" s="15">
        <f t="shared" si="8"/>
        <v>-21571336.219999999</v>
      </c>
      <c r="T35" s="15">
        <f t="shared" si="9"/>
        <v>1186423.4920999999</v>
      </c>
      <c r="U35" s="15">
        <f t="shared" si="10"/>
        <v>0</v>
      </c>
      <c r="V35" s="15">
        <f t="shared" si="11"/>
        <v>-20384912.727899998</v>
      </c>
    </row>
    <row r="36" spans="1:22" ht="14.1" customHeight="1" x14ac:dyDescent="0.2">
      <c r="A36" s="41">
        <v>1500</v>
      </c>
      <c r="B36" s="13">
        <v>190</v>
      </c>
      <c r="C36" s="389" t="s">
        <v>701</v>
      </c>
      <c r="D36" s="16">
        <v>30</v>
      </c>
      <c r="E36" s="14" t="s">
        <v>123</v>
      </c>
      <c r="F36" s="14" t="s">
        <v>309</v>
      </c>
      <c r="G36" s="370">
        <f>VLOOKUP(E36,'OTP FED Pre-Tax Balances'!$A:$K,6,FALSE)</f>
        <v>250215443</v>
      </c>
      <c r="I36" s="15">
        <f t="shared" si="0"/>
        <v>87575405.049999997</v>
      </c>
      <c r="J36" s="15">
        <f t="shared" si="1"/>
        <v>-4816647.2777499994</v>
      </c>
      <c r="K36" s="15">
        <f t="shared" si="2"/>
        <v>13761849.365</v>
      </c>
      <c r="L36" s="15">
        <f t="shared" si="3"/>
        <v>96520607.137249991</v>
      </c>
      <c r="N36" s="15">
        <f t="shared" si="4"/>
        <v>52545243.030000001</v>
      </c>
      <c r="O36" s="15">
        <f t="shared" si="5"/>
        <v>-2889988.3666499997</v>
      </c>
      <c r="P36" s="15">
        <f t="shared" si="6"/>
        <v>13761849.365</v>
      </c>
      <c r="Q36" s="15">
        <f t="shared" si="7"/>
        <v>63417104.028350003</v>
      </c>
      <c r="S36" s="15">
        <f t="shared" si="8"/>
        <v>-35030162.019999996</v>
      </c>
      <c r="T36" s="15">
        <f t="shared" si="9"/>
        <v>1926658.9110999997</v>
      </c>
      <c r="U36" s="15">
        <f t="shared" si="10"/>
        <v>0</v>
      </c>
      <c r="V36" s="15">
        <f t="shared" si="11"/>
        <v>-33103503.108899996</v>
      </c>
    </row>
    <row r="37" spans="1:22" ht="14.1" customHeight="1" x14ac:dyDescent="0.2">
      <c r="A37" s="41">
        <v>1500</v>
      </c>
      <c r="B37" s="13">
        <v>190</v>
      </c>
      <c r="C37" s="389" t="s">
        <v>701</v>
      </c>
      <c r="D37" s="16">
        <v>30</v>
      </c>
      <c r="E37" s="14" t="s">
        <v>130</v>
      </c>
      <c r="F37" s="14" t="s">
        <v>316</v>
      </c>
      <c r="G37" s="370">
        <f>VLOOKUP(E37,'OTP FED Pre-Tax Balances'!$A:$K,6,FALSE)</f>
        <v>-8294334</v>
      </c>
      <c r="I37" s="15">
        <f t="shared" si="0"/>
        <v>-2903016.9</v>
      </c>
      <c r="J37" s="15">
        <f t="shared" si="1"/>
        <v>159665.9295</v>
      </c>
      <c r="K37" s="15">
        <f t="shared" si="2"/>
        <v>-456188.37</v>
      </c>
      <c r="L37" s="15">
        <f t="shared" si="3"/>
        <v>-3199539.3404999999</v>
      </c>
      <c r="N37" s="15">
        <f t="shared" si="4"/>
        <v>-1741810.14</v>
      </c>
      <c r="O37" s="15">
        <f t="shared" si="5"/>
        <v>95799.55769999999</v>
      </c>
      <c r="P37" s="15">
        <f t="shared" si="6"/>
        <v>-456188.37</v>
      </c>
      <c r="Q37" s="15">
        <f t="shared" si="7"/>
        <v>-2102198.9523</v>
      </c>
      <c r="S37" s="15">
        <f t="shared" si="8"/>
        <v>1161206.76</v>
      </c>
      <c r="T37" s="15">
        <f t="shared" si="9"/>
        <v>-63866.371800000008</v>
      </c>
      <c r="U37" s="15">
        <f t="shared" si="10"/>
        <v>0</v>
      </c>
      <c r="V37" s="15">
        <f t="shared" si="11"/>
        <v>1097340.3881999999</v>
      </c>
    </row>
    <row r="38" spans="1:22" ht="14.1" customHeight="1" x14ac:dyDescent="0.2">
      <c r="A38" s="41">
        <v>1500</v>
      </c>
      <c r="B38" s="13">
        <v>190</v>
      </c>
      <c r="C38" s="389" t="s">
        <v>697</v>
      </c>
      <c r="D38" s="16">
        <v>5</v>
      </c>
      <c r="E38" s="14" t="s">
        <v>131</v>
      </c>
      <c r="F38" s="14" t="s">
        <v>317</v>
      </c>
      <c r="G38" s="370">
        <f>VLOOKUP(E38,'OTP FED Pre-Tax Balances'!$A:$K,6,FALSE)</f>
        <v>44414</v>
      </c>
      <c r="I38" s="15">
        <f t="shared" si="0"/>
        <v>15544.9</v>
      </c>
      <c r="J38" s="15">
        <f t="shared" si="1"/>
        <v>-854.96949999999993</v>
      </c>
      <c r="K38" s="15">
        <f t="shared" si="2"/>
        <v>2442.77</v>
      </c>
      <c r="L38" s="15">
        <f t="shared" si="3"/>
        <v>17132.700499999999</v>
      </c>
      <c r="N38" s="15">
        <f t="shared" si="4"/>
        <v>9326.94</v>
      </c>
      <c r="O38" s="15">
        <f t="shared" si="5"/>
        <v>-512.98169999999993</v>
      </c>
      <c r="P38" s="15">
        <f t="shared" si="6"/>
        <v>2442.77</v>
      </c>
      <c r="Q38" s="15">
        <f t="shared" si="7"/>
        <v>11256.728300000001</v>
      </c>
      <c r="S38" s="15">
        <f t="shared" si="8"/>
        <v>-6217.9599999999991</v>
      </c>
      <c r="T38" s="15">
        <f t="shared" si="9"/>
        <v>341.98779999999999</v>
      </c>
      <c r="U38" s="15">
        <f t="shared" si="10"/>
        <v>0</v>
      </c>
      <c r="V38" s="15">
        <f t="shared" si="11"/>
        <v>-5875.9721999999992</v>
      </c>
    </row>
    <row r="39" spans="1:22" ht="14.1" customHeight="1" x14ac:dyDescent="0.2">
      <c r="A39" s="41">
        <v>1500</v>
      </c>
      <c r="B39" s="13">
        <v>190</v>
      </c>
      <c r="C39" s="389" t="s">
        <v>705</v>
      </c>
      <c r="D39" s="16">
        <v>2</v>
      </c>
      <c r="E39" s="14" t="s">
        <v>136</v>
      </c>
      <c r="F39" s="14" t="s">
        <v>322</v>
      </c>
      <c r="G39" s="370">
        <f>VLOOKUP(E39,'OTP FED Pre-Tax Balances'!$A:$K,6,FALSE)</f>
        <v>16580661</v>
      </c>
      <c r="I39" s="15">
        <f t="shared" si="0"/>
        <v>5803231.3499999996</v>
      </c>
      <c r="J39" s="15">
        <f t="shared" si="1"/>
        <v>-319177.72424999997</v>
      </c>
      <c r="K39" s="15">
        <f t="shared" si="2"/>
        <v>911936.35499999998</v>
      </c>
      <c r="L39" s="15">
        <f t="shared" si="3"/>
        <v>6395989.9807500001</v>
      </c>
      <c r="N39" s="15">
        <f t="shared" si="4"/>
        <v>3481938.81</v>
      </c>
      <c r="O39" s="15">
        <f t="shared" si="5"/>
        <v>-191506.63454999999</v>
      </c>
      <c r="P39" s="15">
        <f t="shared" si="6"/>
        <v>911936.35499999998</v>
      </c>
      <c r="Q39" s="15">
        <f t="shared" si="7"/>
        <v>4202368.5304499995</v>
      </c>
      <c r="S39" s="15">
        <f t="shared" si="8"/>
        <v>-2321292.5399999996</v>
      </c>
      <c r="T39" s="15">
        <f t="shared" si="9"/>
        <v>127671.08969999998</v>
      </c>
      <c r="U39" s="15">
        <f t="shared" si="10"/>
        <v>0</v>
      </c>
      <c r="V39" s="15">
        <f t="shared" si="11"/>
        <v>-2193621.4502999997</v>
      </c>
    </row>
    <row r="40" spans="1:22" ht="14.1" customHeight="1" x14ac:dyDescent="0.2">
      <c r="A40" s="41">
        <v>1500</v>
      </c>
      <c r="B40" s="13">
        <v>190</v>
      </c>
      <c r="C40" s="389" t="s">
        <v>697</v>
      </c>
      <c r="D40" s="16">
        <v>5</v>
      </c>
      <c r="E40" s="14" t="s">
        <v>141</v>
      </c>
      <c r="F40" s="14" t="s">
        <v>327</v>
      </c>
      <c r="G40" s="370">
        <f>VLOOKUP(E40,'OTP FED Pre-Tax Balances'!$A:$K,6,FALSE)</f>
        <v>5447994</v>
      </c>
      <c r="I40" s="15">
        <f t="shared" si="0"/>
        <v>1906797.9</v>
      </c>
      <c r="J40" s="15">
        <f t="shared" si="1"/>
        <v>-104873.88449999999</v>
      </c>
      <c r="K40" s="15">
        <f t="shared" si="2"/>
        <v>299639.67</v>
      </c>
      <c r="L40" s="15">
        <f t="shared" si="3"/>
        <v>2101563.6855000001</v>
      </c>
      <c r="N40" s="15">
        <f t="shared" si="4"/>
        <v>1144078.74</v>
      </c>
      <c r="O40" s="15">
        <f t="shared" si="5"/>
        <v>-62924.330699999991</v>
      </c>
      <c r="P40" s="15">
        <f t="shared" si="6"/>
        <v>299639.67</v>
      </c>
      <c r="Q40" s="15">
        <f t="shared" si="7"/>
        <v>1380794.0792999999</v>
      </c>
      <c r="S40" s="15">
        <f t="shared" si="8"/>
        <v>-762719.15999999992</v>
      </c>
      <c r="T40" s="15">
        <f t="shared" si="9"/>
        <v>41949.553799999994</v>
      </c>
      <c r="U40" s="15">
        <f t="shared" si="10"/>
        <v>0</v>
      </c>
      <c r="V40" s="15">
        <f t="shared" si="11"/>
        <v>-720769.60619999992</v>
      </c>
    </row>
    <row r="41" spans="1:22" ht="14.1" customHeight="1" x14ac:dyDescent="0.2">
      <c r="A41" s="41">
        <v>1500</v>
      </c>
      <c r="B41" s="13">
        <v>190</v>
      </c>
      <c r="C41" s="389" t="s">
        <v>701</v>
      </c>
      <c r="D41" s="16">
        <v>30</v>
      </c>
      <c r="E41" s="14" t="s">
        <v>142</v>
      </c>
      <c r="F41" s="14" t="s">
        <v>328</v>
      </c>
      <c r="G41" s="370">
        <f>VLOOKUP(E41,'OTP FED Pre-Tax Balances'!$A:$K,6,FALSE)</f>
        <v>111722086</v>
      </c>
      <c r="I41" s="15">
        <f t="shared" ref="I41:I56" si="12">G41*$I$7</f>
        <v>39102730.099999994</v>
      </c>
      <c r="J41" s="15">
        <f t="shared" ref="J41:J56" si="13">-K41*$I$7</f>
        <v>-2150650.1554999999</v>
      </c>
      <c r="K41" s="15">
        <f t="shared" ref="K41:K56" si="14">G41*$K$7</f>
        <v>6144714.7300000004</v>
      </c>
      <c r="L41" s="15">
        <f t="shared" ref="L41:L56" si="15">SUM(I41:K41)</f>
        <v>43096794.674499989</v>
      </c>
      <c r="N41" s="15">
        <f t="shared" ref="N41:N56" si="16">G41*$N$7</f>
        <v>23461638.059999999</v>
      </c>
      <c r="O41" s="15">
        <f t="shared" ref="O41:O56" si="17">-P41*$N$7</f>
        <v>-1290390.0933000001</v>
      </c>
      <c r="P41" s="15">
        <f t="shared" ref="P41:P56" si="18">G41*$P$7</f>
        <v>6144714.7300000004</v>
      </c>
      <c r="Q41" s="15">
        <f t="shared" ref="Q41:Q56" si="19">SUM(N41:P41)</f>
        <v>28315962.696699999</v>
      </c>
      <c r="S41" s="15">
        <f t="shared" ref="S41:S56" si="20">N41-I41</f>
        <v>-15641092.039999995</v>
      </c>
      <c r="T41" s="15">
        <f t="shared" ref="T41:T56" si="21">O41-J41</f>
        <v>860260.06219999981</v>
      </c>
      <c r="U41" s="15">
        <f t="shared" ref="U41:U56" si="22">P41-K41</f>
        <v>0</v>
      </c>
      <c r="V41" s="15">
        <f t="shared" ref="V41:V56" si="23">SUM(S41:U41)</f>
        <v>-14780831.977799995</v>
      </c>
    </row>
    <row r="42" spans="1:22" ht="14.1" customHeight="1" x14ac:dyDescent="0.2">
      <c r="A42" s="41">
        <v>1500</v>
      </c>
      <c r="B42" s="13">
        <v>190</v>
      </c>
      <c r="C42" s="389" t="s">
        <v>701</v>
      </c>
      <c r="D42" s="16">
        <v>30</v>
      </c>
      <c r="E42" s="14" t="s">
        <v>143</v>
      </c>
      <c r="F42" s="14" t="s">
        <v>329</v>
      </c>
      <c r="G42" s="370">
        <f>VLOOKUP(E42,'OTP FED Pre-Tax Balances'!$A:$K,6,FALSE)</f>
        <v>24065820</v>
      </c>
      <c r="I42" s="15">
        <f t="shared" si="12"/>
        <v>8423037</v>
      </c>
      <c r="J42" s="15">
        <f t="shared" si="13"/>
        <v>-463267.03499999997</v>
      </c>
      <c r="K42" s="15">
        <f t="shared" si="14"/>
        <v>1323620.1000000001</v>
      </c>
      <c r="L42" s="15">
        <f t="shared" si="15"/>
        <v>9283390.0649999995</v>
      </c>
      <c r="N42" s="15">
        <f t="shared" si="16"/>
        <v>5053822.2</v>
      </c>
      <c r="O42" s="15">
        <f t="shared" si="17"/>
        <v>-277960.22100000002</v>
      </c>
      <c r="P42" s="15">
        <f t="shared" si="18"/>
        <v>1323620.1000000001</v>
      </c>
      <c r="Q42" s="15">
        <f t="shared" si="19"/>
        <v>6099482.0789999999</v>
      </c>
      <c r="S42" s="15">
        <f t="shared" si="20"/>
        <v>-3369214.8</v>
      </c>
      <c r="T42" s="15">
        <f t="shared" si="21"/>
        <v>185306.81399999995</v>
      </c>
      <c r="U42" s="15">
        <f t="shared" si="22"/>
        <v>0</v>
      </c>
      <c r="V42" s="15">
        <f t="shared" si="23"/>
        <v>-3183907.986</v>
      </c>
    </row>
    <row r="43" spans="1:22" ht="14.1" customHeight="1" x14ac:dyDescent="0.2">
      <c r="A43" s="41">
        <v>1500</v>
      </c>
      <c r="B43" s="13">
        <v>190</v>
      </c>
      <c r="C43" s="389" t="s">
        <v>700</v>
      </c>
      <c r="D43" s="16">
        <v>1</v>
      </c>
      <c r="E43" s="14" t="s">
        <v>145</v>
      </c>
      <c r="F43" s="14" t="s">
        <v>331</v>
      </c>
      <c r="G43" s="370">
        <f>VLOOKUP(E43,'OTP FED Pre-Tax Balances'!$A:$K,6,FALSE)</f>
        <v>9273516</v>
      </c>
      <c r="I43" s="15">
        <f t="shared" si="12"/>
        <v>3245730.5999999996</v>
      </c>
      <c r="J43" s="15">
        <f t="shared" si="13"/>
        <v>-178515.18299999999</v>
      </c>
      <c r="K43" s="15">
        <f t="shared" si="14"/>
        <v>510043.38</v>
      </c>
      <c r="L43" s="15">
        <f t="shared" si="15"/>
        <v>3577258.7969999993</v>
      </c>
      <c r="N43" s="15">
        <f t="shared" si="16"/>
        <v>1947438.3599999999</v>
      </c>
      <c r="O43" s="15">
        <f t="shared" si="17"/>
        <v>-107109.10979999999</v>
      </c>
      <c r="P43" s="15">
        <f t="shared" si="18"/>
        <v>510043.38</v>
      </c>
      <c r="Q43" s="15">
        <f t="shared" si="19"/>
        <v>2350372.6302</v>
      </c>
      <c r="S43" s="15">
        <f t="shared" si="20"/>
        <v>-1298292.2399999998</v>
      </c>
      <c r="T43" s="15">
        <f t="shared" si="21"/>
        <v>71406.073199999999</v>
      </c>
      <c r="U43" s="15">
        <f t="shared" si="22"/>
        <v>0</v>
      </c>
      <c r="V43" s="15">
        <f t="shared" si="23"/>
        <v>-1226886.1667999998</v>
      </c>
    </row>
    <row r="44" spans="1:22" ht="14.1" customHeight="1" x14ac:dyDescent="0.2">
      <c r="A44" s="41">
        <v>1500</v>
      </c>
      <c r="B44" s="13">
        <v>190</v>
      </c>
      <c r="C44" s="389" t="s">
        <v>702</v>
      </c>
      <c r="D44" s="16">
        <v>10</v>
      </c>
      <c r="E44" s="14" t="s">
        <v>151</v>
      </c>
      <c r="F44" s="14" t="s">
        <v>337</v>
      </c>
      <c r="G44" s="370">
        <f>VLOOKUP(E44,'OTP FED Pre-Tax Balances'!$A:$K,6,FALSE)</f>
        <v>42712</v>
      </c>
      <c r="I44" s="15">
        <f t="shared" si="12"/>
        <v>14949.199999999999</v>
      </c>
      <c r="J44" s="15">
        <f t="shared" si="13"/>
        <v>-822.2059999999999</v>
      </c>
      <c r="K44" s="15">
        <f t="shared" si="14"/>
        <v>2349.16</v>
      </c>
      <c r="L44" s="15">
        <f t="shared" si="15"/>
        <v>16476.153999999999</v>
      </c>
      <c r="N44" s="15">
        <f t="shared" si="16"/>
        <v>8969.52</v>
      </c>
      <c r="O44" s="15">
        <f t="shared" si="17"/>
        <v>-493.32359999999994</v>
      </c>
      <c r="P44" s="15">
        <f t="shared" si="18"/>
        <v>2349.16</v>
      </c>
      <c r="Q44" s="15">
        <f t="shared" si="19"/>
        <v>10825.356400000001</v>
      </c>
      <c r="S44" s="15">
        <f t="shared" si="20"/>
        <v>-5979.6799999999985</v>
      </c>
      <c r="T44" s="15">
        <f t="shared" si="21"/>
        <v>328.88239999999996</v>
      </c>
      <c r="U44" s="15">
        <f t="shared" si="22"/>
        <v>0</v>
      </c>
      <c r="V44" s="15">
        <f t="shared" si="23"/>
        <v>-5650.7975999999981</v>
      </c>
    </row>
    <row r="45" spans="1:22" ht="14.1" customHeight="1" x14ac:dyDescent="0.2">
      <c r="A45" s="41">
        <v>1500</v>
      </c>
      <c r="B45" s="13">
        <v>190</v>
      </c>
      <c r="C45" s="389" t="s">
        <v>700</v>
      </c>
      <c r="D45" s="16">
        <v>1</v>
      </c>
      <c r="E45" s="14" t="s">
        <v>153</v>
      </c>
      <c r="F45" s="14" t="s">
        <v>339</v>
      </c>
      <c r="G45" s="370">
        <f>VLOOKUP(E45,'OTP FED Pre-Tax Balances'!$A:$K,6,FALSE)</f>
        <v>6131708</v>
      </c>
      <c r="I45" s="15">
        <f t="shared" si="12"/>
        <v>2146097.7999999998</v>
      </c>
      <c r="J45" s="15">
        <f t="shared" si="13"/>
        <v>-118035.37899999999</v>
      </c>
      <c r="K45" s="15">
        <f t="shared" si="14"/>
        <v>337243.94</v>
      </c>
      <c r="L45" s="15">
        <f t="shared" si="15"/>
        <v>2365306.361</v>
      </c>
      <c r="N45" s="15">
        <f t="shared" si="16"/>
        <v>1287658.68</v>
      </c>
      <c r="O45" s="15">
        <f t="shared" si="17"/>
        <v>-70821.227400000003</v>
      </c>
      <c r="P45" s="15">
        <f t="shared" si="18"/>
        <v>337243.94</v>
      </c>
      <c r="Q45" s="15">
        <f t="shared" si="19"/>
        <v>1554081.3925999999</v>
      </c>
      <c r="S45" s="15">
        <f t="shared" si="20"/>
        <v>-858439.11999999988</v>
      </c>
      <c r="T45" s="15">
        <f t="shared" si="21"/>
        <v>47214.151599999983</v>
      </c>
      <c r="U45" s="15">
        <f t="shared" si="22"/>
        <v>0</v>
      </c>
      <c r="V45" s="15">
        <f t="shared" si="23"/>
        <v>-811224.9683999999</v>
      </c>
    </row>
    <row r="46" spans="1:22" ht="14.1" customHeight="1" x14ac:dyDescent="0.2">
      <c r="A46" s="41">
        <v>1500</v>
      </c>
      <c r="B46" s="13">
        <v>190</v>
      </c>
      <c r="C46" s="389" t="s">
        <v>702</v>
      </c>
      <c r="D46" s="16">
        <v>10</v>
      </c>
      <c r="E46" s="14" t="s">
        <v>155</v>
      </c>
      <c r="F46" s="14" t="s">
        <v>340</v>
      </c>
      <c r="G46" s="370">
        <f>VLOOKUP(E46,'OTP FED Pre-Tax Balances'!$A:$K,6,FALSE)-G47</f>
        <v>135891407</v>
      </c>
      <c r="I46" s="15">
        <f t="shared" si="12"/>
        <v>47561992.449999996</v>
      </c>
      <c r="J46" s="15">
        <f t="shared" si="13"/>
        <v>-2615909.5847499999</v>
      </c>
      <c r="K46" s="15">
        <f t="shared" si="14"/>
        <v>7474027.3849999998</v>
      </c>
      <c r="L46" s="15">
        <f t="shared" si="15"/>
        <v>52420110.250249997</v>
      </c>
      <c r="N46" s="15">
        <f t="shared" si="16"/>
        <v>28537195.469999999</v>
      </c>
      <c r="O46" s="15">
        <f t="shared" si="17"/>
        <v>-1569545.75085</v>
      </c>
      <c r="P46" s="15">
        <f t="shared" si="18"/>
        <v>7474027.3849999998</v>
      </c>
      <c r="Q46" s="15">
        <f t="shared" si="19"/>
        <v>34441677.104149997</v>
      </c>
      <c r="S46" s="15">
        <f t="shared" si="20"/>
        <v>-19024796.979999997</v>
      </c>
      <c r="T46" s="15">
        <f t="shared" si="21"/>
        <v>1046363.8339</v>
      </c>
      <c r="U46" s="15">
        <f t="shared" si="22"/>
        <v>0</v>
      </c>
      <c r="V46" s="15">
        <f t="shared" si="23"/>
        <v>-17978433.146099996</v>
      </c>
    </row>
    <row r="47" spans="1:22" s="67" customFormat="1" ht="14.1" customHeight="1" x14ac:dyDescent="0.2">
      <c r="A47" s="41">
        <v>1500</v>
      </c>
      <c r="B47" s="375">
        <v>190</v>
      </c>
      <c r="C47" s="389" t="s">
        <v>695</v>
      </c>
      <c r="D47" s="376">
        <v>10</v>
      </c>
      <c r="E47" s="14" t="s">
        <v>155</v>
      </c>
      <c r="F47" s="14" t="s">
        <v>340</v>
      </c>
      <c r="G47" s="370">
        <v>4567546</v>
      </c>
      <c r="H47" s="2"/>
      <c r="I47" s="370">
        <f t="shared" ref="I47" si="24">G47*$I$7</f>
        <v>1598641.0999999999</v>
      </c>
      <c r="J47" s="370">
        <f t="shared" ref="J47" si="25">-K47*$I$7</f>
        <v>-87925.260499999989</v>
      </c>
      <c r="K47" s="370">
        <f t="shared" ref="K47" si="26">G47*$K$7</f>
        <v>251215.03</v>
      </c>
      <c r="L47" s="370">
        <f t="shared" ref="L47" si="27">SUM(I47:K47)</f>
        <v>1761930.8694999998</v>
      </c>
      <c r="N47" s="370">
        <f t="shared" ref="N47" si="28">G47*$N$7</f>
        <v>959184.65999999992</v>
      </c>
      <c r="O47" s="370">
        <f t="shared" ref="O47" si="29">-P47*$N$7</f>
        <v>-52755.156299999995</v>
      </c>
      <c r="P47" s="370">
        <f t="shared" ref="P47" si="30">G47*$P$7</f>
        <v>251215.03</v>
      </c>
      <c r="Q47" s="370">
        <f t="shared" ref="Q47" si="31">SUM(N47:P47)</f>
        <v>1157644.5336999998</v>
      </c>
      <c r="S47" s="370">
        <f t="shared" ref="S47" si="32">N47-I47</f>
        <v>-639456.43999999994</v>
      </c>
      <c r="T47" s="370">
        <f t="shared" ref="T47" si="33">O47-J47</f>
        <v>35170.104199999994</v>
      </c>
      <c r="U47" s="370">
        <f t="shared" ref="U47" si="34">P47-K47</f>
        <v>0</v>
      </c>
      <c r="V47" s="370">
        <f t="shared" ref="V47" si="35">SUM(S47:U47)</f>
        <v>-604286.3358</v>
      </c>
    </row>
    <row r="48" spans="1:22" ht="14.1" customHeight="1" x14ac:dyDescent="0.2">
      <c r="A48" s="41">
        <v>1500</v>
      </c>
      <c r="B48" s="13">
        <v>190</v>
      </c>
      <c r="C48" s="389" t="s">
        <v>700</v>
      </c>
      <c r="D48" s="16">
        <v>1</v>
      </c>
      <c r="E48" s="14" t="s">
        <v>156</v>
      </c>
      <c r="F48" s="14" t="s">
        <v>341</v>
      </c>
      <c r="G48" s="370">
        <f>VLOOKUP(E48,'OTP FED Pre-Tax Balances'!$A:$K,6,FALSE)</f>
        <v>5457391</v>
      </c>
      <c r="I48" s="15">
        <f t="shared" si="12"/>
        <v>1910086.8499999999</v>
      </c>
      <c r="J48" s="15">
        <f t="shared" si="13"/>
        <v>-105054.77674999999</v>
      </c>
      <c r="K48" s="15">
        <f t="shared" si="14"/>
        <v>300156.505</v>
      </c>
      <c r="L48" s="15">
        <f t="shared" si="15"/>
        <v>2105188.5782499998</v>
      </c>
      <c r="N48" s="15">
        <f t="shared" si="16"/>
        <v>1146052.1099999999</v>
      </c>
      <c r="O48" s="15">
        <f t="shared" si="17"/>
        <v>-63032.866049999997</v>
      </c>
      <c r="P48" s="15">
        <f t="shared" si="18"/>
        <v>300156.505</v>
      </c>
      <c r="Q48" s="15">
        <f t="shared" si="19"/>
        <v>1383175.7489499999</v>
      </c>
      <c r="S48" s="15">
        <f t="shared" si="20"/>
        <v>-764034.74</v>
      </c>
      <c r="T48" s="15">
        <f t="shared" si="21"/>
        <v>42021.910699999993</v>
      </c>
      <c r="U48" s="15">
        <f t="shared" si="22"/>
        <v>0</v>
      </c>
      <c r="V48" s="15">
        <f t="shared" si="23"/>
        <v>-722012.82929999998</v>
      </c>
    </row>
    <row r="49" spans="1:22" ht="14.1" customHeight="1" x14ac:dyDescent="0.2">
      <c r="A49" s="41">
        <v>1500</v>
      </c>
      <c r="B49" s="13">
        <v>190</v>
      </c>
      <c r="C49" s="389" t="s">
        <v>697</v>
      </c>
      <c r="D49" s="16">
        <v>5</v>
      </c>
      <c r="E49" s="14" t="s">
        <v>157</v>
      </c>
      <c r="F49" s="14" t="s">
        <v>342</v>
      </c>
      <c r="G49" s="370">
        <f>VLOOKUP(E49,'OTP FED Pre-Tax Balances'!$A:$K,6,FALSE)</f>
        <v>63554</v>
      </c>
      <c r="I49" s="15">
        <f t="shared" si="12"/>
        <v>22243.899999999998</v>
      </c>
      <c r="J49" s="15">
        <f t="shared" si="13"/>
        <v>-1223.4144999999999</v>
      </c>
      <c r="K49" s="15">
        <f t="shared" si="14"/>
        <v>3495.47</v>
      </c>
      <c r="L49" s="15">
        <f t="shared" si="15"/>
        <v>24515.9555</v>
      </c>
      <c r="N49" s="15">
        <f t="shared" si="16"/>
        <v>13346.34</v>
      </c>
      <c r="O49" s="15">
        <f t="shared" si="17"/>
        <v>-734.04869999999994</v>
      </c>
      <c r="P49" s="15">
        <f t="shared" si="18"/>
        <v>3495.47</v>
      </c>
      <c r="Q49" s="15">
        <f t="shared" si="19"/>
        <v>16107.7613</v>
      </c>
      <c r="S49" s="15">
        <f t="shared" si="20"/>
        <v>-8897.5599999999977</v>
      </c>
      <c r="T49" s="15">
        <f t="shared" si="21"/>
        <v>489.36579999999992</v>
      </c>
      <c r="U49" s="15">
        <f t="shared" si="22"/>
        <v>0</v>
      </c>
      <c r="V49" s="15">
        <f t="shared" si="23"/>
        <v>-8408.1941999999981</v>
      </c>
    </row>
    <row r="50" spans="1:22" ht="14.1" customHeight="1" x14ac:dyDescent="0.2">
      <c r="A50" s="41">
        <v>1500</v>
      </c>
      <c r="B50" s="13">
        <v>190</v>
      </c>
      <c r="C50" s="389" t="s">
        <v>697</v>
      </c>
      <c r="D50" s="16">
        <v>5</v>
      </c>
      <c r="E50" s="14" t="s">
        <v>168</v>
      </c>
      <c r="F50" s="14" t="s">
        <v>353</v>
      </c>
      <c r="G50" s="370">
        <f>VLOOKUP(E50,'OTP FED Pre-Tax Balances'!$A:$K,6,FALSE)</f>
        <v>886</v>
      </c>
      <c r="I50" s="15">
        <f t="shared" si="12"/>
        <v>310.09999999999997</v>
      </c>
      <c r="J50" s="15">
        <f t="shared" si="13"/>
        <v>-17.055499999999999</v>
      </c>
      <c r="K50" s="15">
        <f t="shared" si="14"/>
        <v>48.73</v>
      </c>
      <c r="L50" s="15">
        <f t="shared" si="15"/>
        <v>341.77449999999999</v>
      </c>
      <c r="N50" s="15">
        <f t="shared" si="16"/>
        <v>186.06</v>
      </c>
      <c r="O50" s="15">
        <f t="shared" si="17"/>
        <v>-10.2333</v>
      </c>
      <c r="P50" s="15">
        <f t="shared" si="18"/>
        <v>48.73</v>
      </c>
      <c r="Q50" s="15">
        <f t="shared" si="19"/>
        <v>224.55670000000001</v>
      </c>
      <c r="S50" s="15">
        <f t="shared" si="20"/>
        <v>-124.03999999999996</v>
      </c>
      <c r="T50" s="15">
        <f t="shared" si="21"/>
        <v>6.8221999999999987</v>
      </c>
      <c r="U50" s="15">
        <f t="shared" si="22"/>
        <v>0</v>
      </c>
      <c r="V50" s="15">
        <f t="shared" si="23"/>
        <v>-117.21779999999997</v>
      </c>
    </row>
    <row r="51" spans="1:22" ht="14.1" customHeight="1" x14ac:dyDescent="0.2">
      <c r="A51" s="41">
        <v>1500</v>
      </c>
      <c r="B51" s="13">
        <v>190</v>
      </c>
      <c r="C51" s="389" t="s">
        <v>706</v>
      </c>
      <c r="D51" s="16">
        <v>3</v>
      </c>
      <c r="E51" s="14" t="s">
        <v>171</v>
      </c>
      <c r="F51" s="14" t="s">
        <v>356</v>
      </c>
      <c r="G51" s="370">
        <f>VLOOKUP(E51,'OTP FED Pre-Tax Balances'!$A:$K,6,FALSE)</f>
        <v>39923306</v>
      </c>
      <c r="I51" s="15">
        <f t="shared" si="12"/>
        <v>13973157.1</v>
      </c>
      <c r="J51" s="15">
        <f t="shared" si="13"/>
        <v>-768523.64049999998</v>
      </c>
      <c r="K51" s="15">
        <f t="shared" si="14"/>
        <v>2195781.83</v>
      </c>
      <c r="L51" s="15">
        <f t="shared" si="15"/>
        <v>15400415.2895</v>
      </c>
      <c r="N51" s="15">
        <f t="shared" si="16"/>
        <v>8383894.2599999998</v>
      </c>
      <c r="O51" s="15">
        <f t="shared" si="17"/>
        <v>-461114.18430000002</v>
      </c>
      <c r="P51" s="15">
        <f t="shared" si="18"/>
        <v>2195781.83</v>
      </c>
      <c r="Q51" s="15">
        <f t="shared" si="19"/>
        <v>10118561.9057</v>
      </c>
      <c r="S51" s="15">
        <f t="shared" si="20"/>
        <v>-5589262.8399999999</v>
      </c>
      <c r="T51" s="15">
        <f t="shared" si="21"/>
        <v>307409.45619999996</v>
      </c>
      <c r="U51" s="15">
        <f t="shared" si="22"/>
        <v>0</v>
      </c>
      <c r="V51" s="15">
        <f t="shared" si="23"/>
        <v>-5281853.3838</v>
      </c>
    </row>
    <row r="52" spans="1:22" ht="14.1" customHeight="1" x14ac:dyDescent="0.2">
      <c r="A52" s="41">
        <v>1500</v>
      </c>
      <c r="B52" s="13">
        <v>190</v>
      </c>
      <c r="C52" s="389" t="s">
        <v>706</v>
      </c>
      <c r="D52" s="16">
        <v>3</v>
      </c>
      <c r="E52" s="14" t="s">
        <v>172</v>
      </c>
      <c r="F52" s="14" t="s">
        <v>357</v>
      </c>
      <c r="G52" s="370">
        <f>VLOOKUP(E52,'OTP FED Pre-Tax Balances'!$A:$K,6,FALSE)</f>
        <v>12382353</v>
      </c>
      <c r="I52" s="15">
        <f t="shared" si="12"/>
        <v>4333823.55</v>
      </c>
      <c r="J52" s="15">
        <f t="shared" si="13"/>
        <v>-238360.29525</v>
      </c>
      <c r="K52" s="15">
        <f t="shared" si="14"/>
        <v>681029.41500000004</v>
      </c>
      <c r="L52" s="15">
        <f t="shared" si="15"/>
        <v>4776492.6697499994</v>
      </c>
      <c r="N52" s="15">
        <f t="shared" si="16"/>
        <v>2600294.13</v>
      </c>
      <c r="O52" s="15">
        <f t="shared" si="17"/>
        <v>-143016.17715</v>
      </c>
      <c r="P52" s="15">
        <f t="shared" si="18"/>
        <v>681029.41500000004</v>
      </c>
      <c r="Q52" s="15">
        <f t="shared" si="19"/>
        <v>3138307.36785</v>
      </c>
      <c r="S52" s="15">
        <f t="shared" si="20"/>
        <v>-1733529.42</v>
      </c>
      <c r="T52" s="15">
        <f t="shared" si="21"/>
        <v>95344.118099999992</v>
      </c>
      <c r="U52" s="15">
        <f t="shared" si="22"/>
        <v>0</v>
      </c>
      <c r="V52" s="15">
        <f t="shared" si="23"/>
        <v>-1638185.3018999998</v>
      </c>
    </row>
    <row r="53" spans="1:22" ht="14.1" customHeight="1" x14ac:dyDescent="0.2">
      <c r="A53" s="41">
        <v>1500</v>
      </c>
      <c r="B53" s="13">
        <v>190</v>
      </c>
      <c r="C53" s="389" t="s">
        <v>700</v>
      </c>
      <c r="D53" s="16">
        <v>1</v>
      </c>
      <c r="E53" s="14" t="s">
        <v>177</v>
      </c>
      <c r="F53" s="14" t="s">
        <v>362</v>
      </c>
      <c r="G53" s="370">
        <f>VLOOKUP(E53,'OTP FED Pre-Tax Balances'!$A:$K,6,FALSE)</f>
        <v>4897596</v>
      </c>
      <c r="I53" s="15">
        <f t="shared" si="12"/>
        <v>1714158.5999999999</v>
      </c>
      <c r="J53" s="15">
        <f t="shared" si="13"/>
        <v>-94278.722999999998</v>
      </c>
      <c r="K53" s="15">
        <f t="shared" si="14"/>
        <v>269367.78000000003</v>
      </c>
      <c r="L53" s="15">
        <f t="shared" si="15"/>
        <v>1889247.6569999999</v>
      </c>
      <c r="N53" s="15">
        <f t="shared" si="16"/>
        <v>1028495.1599999999</v>
      </c>
      <c r="O53" s="15">
        <f t="shared" si="17"/>
        <v>-56567.233800000002</v>
      </c>
      <c r="P53" s="15">
        <f t="shared" si="18"/>
        <v>269367.78000000003</v>
      </c>
      <c r="Q53" s="15">
        <f t="shared" si="19"/>
        <v>1241295.7061999999</v>
      </c>
      <c r="S53" s="15">
        <f t="shared" si="20"/>
        <v>-685663.44</v>
      </c>
      <c r="T53" s="15">
        <f t="shared" si="21"/>
        <v>37711.489199999996</v>
      </c>
      <c r="U53" s="15">
        <f t="shared" si="22"/>
        <v>0</v>
      </c>
      <c r="V53" s="15">
        <f t="shared" si="23"/>
        <v>-647951.95079999999</v>
      </c>
    </row>
    <row r="54" spans="1:22" ht="14.1" customHeight="1" x14ac:dyDescent="0.2">
      <c r="A54" s="41">
        <v>1500</v>
      </c>
      <c r="B54" s="13">
        <v>190</v>
      </c>
      <c r="C54" s="389" t="s">
        <v>700</v>
      </c>
      <c r="D54" s="16">
        <v>1</v>
      </c>
      <c r="E54" s="14" t="s">
        <v>186</v>
      </c>
      <c r="F54" s="14" t="s">
        <v>371</v>
      </c>
      <c r="G54" s="370">
        <f>VLOOKUP(E54,'OTP FED Pre-Tax Balances'!$A:$K,6,FALSE)</f>
        <v>22311769</v>
      </c>
      <c r="I54" s="15">
        <f t="shared" si="12"/>
        <v>7809119.1499999994</v>
      </c>
      <c r="J54" s="15">
        <f t="shared" si="13"/>
        <v>-429501.55324999994</v>
      </c>
      <c r="K54" s="15">
        <f t="shared" si="14"/>
        <v>1227147.2949999999</v>
      </c>
      <c r="L54" s="15">
        <f t="shared" si="15"/>
        <v>8606764.8917500004</v>
      </c>
      <c r="N54" s="15">
        <f t="shared" si="16"/>
        <v>4685471.49</v>
      </c>
      <c r="O54" s="15">
        <f t="shared" si="17"/>
        <v>-257700.93194999997</v>
      </c>
      <c r="P54" s="15">
        <f t="shared" si="18"/>
        <v>1227147.2949999999</v>
      </c>
      <c r="Q54" s="15">
        <f t="shared" si="19"/>
        <v>5654917.85305</v>
      </c>
      <c r="S54" s="15">
        <f t="shared" si="20"/>
        <v>-3123647.6599999992</v>
      </c>
      <c r="T54" s="15">
        <f t="shared" si="21"/>
        <v>171800.62129999997</v>
      </c>
      <c r="U54" s="15">
        <f t="shared" si="22"/>
        <v>0</v>
      </c>
      <c r="V54" s="15">
        <f t="shared" si="23"/>
        <v>-2951847.0386999995</v>
      </c>
    </row>
    <row r="55" spans="1:22" ht="14.1" customHeight="1" x14ac:dyDescent="0.2">
      <c r="A55" s="41">
        <v>1500</v>
      </c>
      <c r="B55" s="13">
        <v>190</v>
      </c>
      <c r="C55" s="389" t="s">
        <v>697</v>
      </c>
      <c r="D55" s="16">
        <v>5</v>
      </c>
      <c r="E55" s="14" t="s">
        <v>139</v>
      </c>
      <c r="F55" s="14" t="s">
        <v>325</v>
      </c>
      <c r="G55" s="370">
        <f>VLOOKUP(E55,'OTP FED Pre-Tax Balances'!$A:$K,6,FALSE)</f>
        <v>7312500</v>
      </c>
      <c r="I55" s="15">
        <f t="shared" si="12"/>
        <v>2559375</v>
      </c>
      <c r="J55" s="15">
        <f t="shared" si="13"/>
        <v>-140765.625</v>
      </c>
      <c r="K55" s="15">
        <f t="shared" si="14"/>
        <v>402187.5</v>
      </c>
      <c r="L55" s="15">
        <f t="shared" si="15"/>
        <v>2820796.875</v>
      </c>
      <c r="N55" s="15">
        <f t="shared" si="16"/>
        <v>1535625</v>
      </c>
      <c r="O55" s="15">
        <f t="shared" si="17"/>
        <v>-84459.375</v>
      </c>
      <c r="P55" s="15">
        <f t="shared" si="18"/>
        <v>402187.5</v>
      </c>
      <c r="Q55" s="15">
        <f t="shared" si="19"/>
        <v>1853353.125</v>
      </c>
      <c r="S55" s="15">
        <f t="shared" si="20"/>
        <v>-1023750</v>
      </c>
      <c r="T55" s="15">
        <f t="shared" si="21"/>
        <v>56306.25</v>
      </c>
      <c r="U55" s="15">
        <f t="shared" si="22"/>
        <v>0</v>
      </c>
      <c r="V55" s="15">
        <f t="shared" si="23"/>
        <v>-967443.75</v>
      </c>
    </row>
    <row r="56" spans="1:22" ht="14.1" customHeight="1" x14ac:dyDescent="0.2">
      <c r="A56" s="41">
        <v>1500</v>
      </c>
      <c r="B56" s="13">
        <v>190</v>
      </c>
      <c r="C56" s="389" t="s">
        <v>700</v>
      </c>
      <c r="D56" s="16">
        <v>1</v>
      </c>
      <c r="E56" s="14" t="s">
        <v>181</v>
      </c>
      <c r="F56" s="14" t="s">
        <v>366</v>
      </c>
      <c r="G56" s="370">
        <f>VLOOKUP(E56,'OTP FED Pre-Tax Balances'!$A:$K,6,FALSE)</f>
        <v>74274946</v>
      </c>
      <c r="I56" s="15">
        <f t="shared" si="12"/>
        <v>25996231.099999998</v>
      </c>
      <c r="J56" s="15">
        <f t="shared" si="13"/>
        <v>-1429792.7104999998</v>
      </c>
      <c r="K56" s="15">
        <f t="shared" si="14"/>
        <v>4085122.03</v>
      </c>
      <c r="L56" s="15">
        <f t="shared" si="15"/>
        <v>28651560.419500001</v>
      </c>
      <c r="N56" s="15">
        <f t="shared" si="16"/>
        <v>15597738.66</v>
      </c>
      <c r="O56" s="15">
        <f t="shared" si="17"/>
        <v>-857875.62629999989</v>
      </c>
      <c r="P56" s="15">
        <f t="shared" si="18"/>
        <v>4085122.03</v>
      </c>
      <c r="Q56" s="15">
        <f t="shared" si="19"/>
        <v>18824985.063700002</v>
      </c>
      <c r="S56" s="15">
        <f t="shared" si="20"/>
        <v>-10398492.439999998</v>
      </c>
      <c r="T56" s="15">
        <f t="shared" si="21"/>
        <v>571917.08419999992</v>
      </c>
      <c r="U56" s="15">
        <f t="shared" si="22"/>
        <v>0</v>
      </c>
      <c r="V56" s="15">
        <f t="shared" si="23"/>
        <v>-9826575.3557999972</v>
      </c>
    </row>
    <row r="57" spans="1:22" ht="14.1" customHeight="1" x14ac:dyDescent="0.2">
      <c r="A57" s="41"/>
      <c r="C57" s="446"/>
      <c r="D57" s="13"/>
      <c r="E57" s="14"/>
      <c r="F57" s="43" t="s">
        <v>479</v>
      </c>
      <c r="G57" s="42">
        <f>SUM(G10:G56)</f>
        <v>2489968633</v>
      </c>
      <c r="I57" s="42">
        <f>SUM(I10:I56)</f>
        <v>871489021.54999995</v>
      </c>
      <c r="J57" s="42">
        <f>SUM(J10:J56)</f>
        <v>-47931896.185249984</v>
      </c>
      <c r="K57" s="42">
        <f>SUM(K10:K56)</f>
        <v>136948274.815</v>
      </c>
      <c r="L57" s="42">
        <f>SUM(L10:L56)</f>
        <v>960505400.17975008</v>
      </c>
      <c r="N57" s="42">
        <f>SUM(N10:N56)</f>
        <v>522893412.93000001</v>
      </c>
      <c r="O57" s="42">
        <f>SUM(O10:O56)</f>
        <v>-28759137.711150005</v>
      </c>
      <c r="P57" s="42">
        <f>SUM(P10:P56)</f>
        <v>136948274.815</v>
      </c>
      <c r="Q57" s="42">
        <f>SUM(Q10:Q56)</f>
        <v>631082550.03384984</v>
      </c>
      <c r="S57" s="42">
        <f>SUM(S10:S56)</f>
        <v>-348595608.62000006</v>
      </c>
      <c r="T57" s="42">
        <f>SUM(T10:T56)</f>
        <v>19172758.474100005</v>
      </c>
      <c r="U57" s="42">
        <f>SUM(U10:U56)</f>
        <v>0</v>
      </c>
      <c r="V57" s="42">
        <f>SUM(V10:V56)</f>
        <v>-329422850.14590001</v>
      </c>
    </row>
    <row r="58" spans="1:22" ht="14.1" customHeight="1" x14ac:dyDescent="0.2">
      <c r="A58" s="41"/>
      <c r="C58" s="446"/>
      <c r="D58" s="13"/>
      <c r="E58" s="14"/>
      <c r="F58" s="14"/>
      <c r="G58" s="15"/>
      <c r="V58" s="11"/>
    </row>
    <row r="59" spans="1:22" ht="14.1" customHeight="1" x14ac:dyDescent="0.2">
      <c r="A59" s="41">
        <v>1500</v>
      </c>
      <c r="B59" s="13">
        <v>282</v>
      </c>
      <c r="C59" s="389" t="s">
        <v>695</v>
      </c>
      <c r="D59" s="16">
        <v>30</v>
      </c>
      <c r="E59" s="14" t="s">
        <v>5</v>
      </c>
      <c r="F59" s="14" t="s">
        <v>191</v>
      </c>
      <c r="G59" s="17">
        <f>VLOOKUP(E59,'OTP FED Pre-Tax Balances'!$A:$K,6,FALSE)</f>
        <v>-33787292</v>
      </c>
      <c r="H59" s="444"/>
      <c r="I59" s="17">
        <f t="shared" ref="I59:I85" si="36">G59*$I$7</f>
        <v>-11825552.199999999</v>
      </c>
      <c r="J59" s="15">
        <f t="shared" ref="J59:J85" si="37">-K59*$I$7</f>
        <v>650405.37099999993</v>
      </c>
      <c r="K59" s="15">
        <f t="shared" ref="K59:K85" si="38">G59*$K$7</f>
        <v>-1858301.06</v>
      </c>
      <c r="L59" s="15">
        <f t="shared" ref="L59:L85" si="39">SUM(I59:K59)</f>
        <v>-13033447.889</v>
      </c>
      <c r="N59" s="15">
        <f t="shared" ref="N59:N85" si="40">G59*$N$7</f>
        <v>-7095331.3199999994</v>
      </c>
      <c r="O59" s="15">
        <f t="shared" ref="O59:O85" si="41">-P59*$N$7</f>
        <v>390243.22259999998</v>
      </c>
      <c r="P59" s="15">
        <f t="shared" ref="P59:P85" si="42">G59*$P$7</f>
        <v>-1858301.06</v>
      </c>
      <c r="Q59" s="15">
        <f t="shared" ref="Q59:Q85" si="43">SUM(N59:P59)</f>
        <v>-8563389.157399999</v>
      </c>
      <c r="S59" s="15">
        <f t="shared" ref="S59:S85" si="44">N59-I59</f>
        <v>4730220.88</v>
      </c>
      <c r="T59" s="15">
        <f t="shared" ref="T59:T85" si="45">O59-J59</f>
        <v>-260162.14839999995</v>
      </c>
      <c r="U59" s="15">
        <f t="shared" ref="U59:U85" si="46">P59-K59</f>
        <v>0</v>
      </c>
      <c r="V59" s="15">
        <f t="shared" ref="V59:V85" si="47">SUM(S59:U59)</f>
        <v>4470058.7315999996</v>
      </c>
    </row>
    <row r="60" spans="1:22" ht="14.1" customHeight="1" x14ac:dyDescent="0.2">
      <c r="A60" s="41">
        <v>1500</v>
      </c>
      <c r="B60" s="13">
        <v>282</v>
      </c>
      <c r="C60" s="389" t="s">
        <v>695</v>
      </c>
      <c r="D60" s="16">
        <v>30</v>
      </c>
      <c r="E60" s="14" t="s">
        <v>35</v>
      </c>
      <c r="F60" s="14" t="s">
        <v>221</v>
      </c>
      <c r="G60" s="17">
        <f>VLOOKUP(E60,'OTP FED Pre-Tax Balances'!$A:$K,6,FALSE)</f>
        <v>51177809</v>
      </c>
      <c r="H60" s="444"/>
      <c r="I60" s="17">
        <f t="shared" si="36"/>
        <v>17912233.149999999</v>
      </c>
      <c r="J60" s="15">
        <f t="shared" si="37"/>
        <v>-985172.82325000002</v>
      </c>
      <c r="K60" s="15">
        <f t="shared" si="38"/>
        <v>2814779.4950000001</v>
      </c>
      <c r="L60" s="15">
        <f t="shared" si="39"/>
        <v>19741839.82175</v>
      </c>
      <c r="N60" s="15">
        <f t="shared" si="40"/>
        <v>10747339.889999999</v>
      </c>
      <c r="O60" s="15">
        <f t="shared" si="41"/>
        <v>-591103.69394999999</v>
      </c>
      <c r="P60" s="15">
        <f t="shared" si="42"/>
        <v>2814779.4950000001</v>
      </c>
      <c r="Q60" s="15">
        <f t="shared" si="43"/>
        <v>12971015.69105</v>
      </c>
      <c r="S60" s="15">
        <f t="shared" si="44"/>
        <v>-7164893.2599999998</v>
      </c>
      <c r="T60" s="15">
        <f t="shared" si="45"/>
        <v>394069.12930000003</v>
      </c>
      <c r="U60" s="15">
        <f t="shared" si="46"/>
        <v>0</v>
      </c>
      <c r="V60" s="15">
        <f t="shared" si="47"/>
        <v>-6770824.1306999996</v>
      </c>
    </row>
    <row r="61" spans="1:22" ht="14.1" customHeight="1" x14ac:dyDescent="0.2">
      <c r="A61" s="41">
        <v>1500</v>
      </c>
      <c r="B61" s="13">
        <v>282</v>
      </c>
      <c r="C61" s="389" t="s">
        <v>700</v>
      </c>
      <c r="D61" s="16">
        <v>1</v>
      </c>
      <c r="E61" s="14" t="s">
        <v>36</v>
      </c>
      <c r="F61" s="14" t="s">
        <v>222</v>
      </c>
      <c r="G61" s="17">
        <f>VLOOKUP(E61,'OTP FED Pre-Tax Balances'!$A:$K,6,FALSE)</f>
        <v>661</v>
      </c>
      <c r="H61" s="444" t="s">
        <v>447</v>
      </c>
      <c r="I61" s="17">
        <f t="shared" si="36"/>
        <v>231.35</v>
      </c>
      <c r="J61" s="15">
        <f t="shared" si="37"/>
        <v>-12.724249999999998</v>
      </c>
      <c r="K61" s="15">
        <f t="shared" si="38"/>
        <v>36.354999999999997</v>
      </c>
      <c r="L61" s="15">
        <f t="shared" si="39"/>
        <v>254.98074999999997</v>
      </c>
      <c r="N61" s="15">
        <f t="shared" si="40"/>
        <v>138.81</v>
      </c>
      <c r="O61" s="15">
        <f t="shared" si="41"/>
        <v>-7.6345499999999991</v>
      </c>
      <c r="P61" s="15">
        <f t="shared" si="42"/>
        <v>36.354999999999997</v>
      </c>
      <c r="Q61" s="15">
        <f t="shared" si="43"/>
        <v>167.53045</v>
      </c>
      <c r="S61" s="15">
        <f t="shared" si="44"/>
        <v>-92.539999999999992</v>
      </c>
      <c r="T61" s="15">
        <f t="shared" si="45"/>
        <v>5.0896999999999988</v>
      </c>
      <c r="U61" s="15">
        <f t="shared" si="46"/>
        <v>0</v>
      </c>
      <c r="V61" s="15">
        <f t="shared" si="47"/>
        <v>-87.450299999999999</v>
      </c>
    </row>
    <row r="62" spans="1:22" ht="14.1" customHeight="1" x14ac:dyDescent="0.2">
      <c r="A62" s="41">
        <v>1500</v>
      </c>
      <c r="B62" s="13">
        <v>282</v>
      </c>
      <c r="C62" s="389" t="s">
        <v>695</v>
      </c>
      <c r="D62" s="16">
        <v>30</v>
      </c>
      <c r="E62" s="14" t="s">
        <v>45</v>
      </c>
      <c r="F62" s="14" t="s">
        <v>231</v>
      </c>
      <c r="G62" s="17">
        <f>VLOOKUP(E62,'OTP FED Pre-Tax Balances'!$A:$K,4,FALSE)</f>
        <v>-1184329452</v>
      </c>
      <c r="H62" s="444"/>
      <c r="I62" s="17">
        <f t="shared" si="36"/>
        <v>-414515308.19999999</v>
      </c>
      <c r="J62" s="15">
        <f t="shared" si="37"/>
        <v>22798341.950999998</v>
      </c>
      <c r="K62" s="15">
        <f t="shared" si="38"/>
        <v>-65138119.859999999</v>
      </c>
      <c r="L62" s="15">
        <f t="shared" si="39"/>
        <v>-456855086.10900003</v>
      </c>
      <c r="N62" s="15">
        <f t="shared" si="40"/>
        <v>-248709184.91999999</v>
      </c>
      <c r="O62" s="15">
        <f t="shared" si="41"/>
        <v>13679005.170599999</v>
      </c>
      <c r="P62" s="15">
        <f t="shared" si="42"/>
        <v>-65138119.859999999</v>
      </c>
      <c r="Q62" s="15">
        <f t="shared" si="43"/>
        <v>-300168299.60939997</v>
      </c>
      <c r="S62" s="15">
        <f t="shared" si="44"/>
        <v>165806123.28</v>
      </c>
      <c r="T62" s="15">
        <f t="shared" si="45"/>
        <v>-9119336.7803999986</v>
      </c>
      <c r="U62" s="15">
        <f t="shared" si="46"/>
        <v>0</v>
      </c>
      <c r="V62" s="17">
        <f t="shared" si="47"/>
        <v>156686786.49959999</v>
      </c>
    </row>
    <row r="63" spans="1:22" ht="14.1" customHeight="1" x14ac:dyDescent="0.2">
      <c r="A63" s="41">
        <v>1500</v>
      </c>
      <c r="B63" s="13">
        <v>282</v>
      </c>
      <c r="C63" s="389" t="s">
        <v>695</v>
      </c>
      <c r="D63" s="16">
        <v>30</v>
      </c>
      <c r="E63" s="14" t="s">
        <v>45</v>
      </c>
      <c r="F63" s="14" t="s">
        <v>464</v>
      </c>
      <c r="G63" s="17">
        <f>VLOOKUP(E63,'OTP FED Pre-Tax Balances'!$A:$K,5,FALSE)</f>
        <v>-63831</v>
      </c>
      <c r="H63" s="444" t="s">
        <v>447</v>
      </c>
      <c r="I63" s="17">
        <f t="shared" si="36"/>
        <v>-22340.85</v>
      </c>
      <c r="J63" s="15">
        <f t="shared" si="37"/>
        <v>1228.7467499999998</v>
      </c>
      <c r="K63" s="15">
        <f t="shared" si="38"/>
        <v>-3510.7049999999999</v>
      </c>
      <c r="L63" s="15">
        <f t="shared" si="39"/>
        <v>-24622.808250000002</v>
      </c>
      <c r="N63" s="15">
        <f t="shared" si="40"/>
        <v>-13404.51</v>
      </c>
      <c r="O63" s="15">
        <f t="shared" si="41"/>
        <v>737.24804999999992</v>
      </c>
      <c r="P63" s="15">
        <f t="shared" si="42"/>
        <v>-3510.7049999999999</v>
      </c>
      <c r="Q63" s="15">
        <f t="shared" si="43"/>
        <v>-16177.96695</v>
      </c>
      <c r="S63" s="15">
        <f t="shared" si="44"/>
        <v>8936.3399999999983</v>
      </c>
      <c r="T63" s="15">
        <f t="shared" si="45"/>
        <v>-491.49869999999987</v>
      </c>
      <c r="U63" s="15">
        <f t="shared" si="46"/>
        <v>0</v>
      </c>
      <c r="V63" s="17">
        <f t="shared" si="47"/>
        <v>8444.8412999999982</v>
      </c>
    </row>
    <row r="64" spans="1:22" ht="14.1" customHeight="1" x14ac:dyDescent="0.2">
      <c r="A64" s="41">
        <v>1500</v>
      </c>
      <c r="B64" s="13">
        <v>282</v>
      </c>
      <c r="C64" s="389" t="s">
        <v>702</v>
      </c>
      <c r="D64" s="16">
        <v>10</v>
      </c>
      <c r="E64" s="14" t="s">
        <v>46</v>
      </c>
      <c r="F64" s="14" t="s">
        <v>232</v>
      </c>
      <c r="G64" s="17">
        <f>VLOOKUP(E64,'OTP FED Pre-Tax Balances'!$A:$K,6,FALSE)</f>
        <v>370901893</v>
      </c>
      <c r="H64" s="444"/>
      <c r="I64" s="17">
        <f t="shared" si="36"/>
        <v>129815662.55</v>
      </c>
      <c r="J64" s="15">
        <f t="shared" si="37"/>
        <v>-7139861.4402499991</v>
      </c>
      <c r="K64" s="15">
        <f t="shared" si="38"/>
        <v>20399604.114999998</v>
      </c>
      <c r="L64" s="15">
        <f t="shared" si="39"/>
        <v>143075405.22475001</v>
      </c>
      <c r="N64" s="15">
        <f t="shared" si="40"/>
        <v>77889397.530000001</v>
      </c>
      <c r="O64" s="15">
        <f t="shared" si="41"/>
        <v>-4283916.8641499998</v>
      </c>
      <c r="P64" s="15">
        <f t="shared" si="42"/>
        <v>20399604.114999998</v>
      </c>
      <c r="Q64" s="15">
        <f t="shared" si="43"/>
        <v>94005084.780849993</v>
      </c>
      <c r="S64" s="15">
        <f t="shared" si="44"/>
        <v>-51926265.019999996</v>
      </c>
      <c r="T64" s="15">
        <f t="shared" si="45"/>
        <v>2855944.5760999992</v>
      </c>
      <c r="U64" s="15">
        <f t="shared" si="46"/>
        <v>0</v>
      </c>
      <c r="V64" s="15">
        <f t="shared" si="47"/>
        <v>-49070320.443899997</v>
      </c>
    </row>
    <row r="65" spans="1:22" ht="14.1" customHeight="1" x14ac:dyDescent="0.2">
      <c r="A65" s="41">
        <v>1500</v>
      </c>
      <c r="B65" s="13">
        <v>282</v>
      </c>
      <c r="C65" s="389" t="s">
        <v>695</v>
      </c>
      <c r="D65" s="16">
        <v>30</v>
      </c>
      <c r="E65" s="14" t="s">
        <v>47</v>
      </c>
      <c r="F65" s="14" t="s">
        <v>233</v>
      </c>
      <c r="G65" s="17">
        <f>VLOOKUP(E65,'OTP FED Pre-Tax Balances'!$A:$K,6,FALSE)</f>
        <v>2134862495</v>
      </c>
      <c r="H65" s="444"/>
      <c r="I65" s="17">
        <f t="shared" si="36"/>
        <v>747201873.25</v>
      </c>
      <c r="J65" s="15">
        <f t="shared" si="37"/>
        <v>-41096103.028749995</v>
      </c>
      <c r="K65" s="15">
        <f t="shared" si="38"/>
        <v>117417437.22499999</v>
      </c>
      <c r="L65" s="15">
        <f t="shared" si="39"/>
        <v>823523207.44625008</v>
      </c>
      <c r="N65" s="15">
        <f t="shared" si="40"/>
        <v>448321123.94999999</v>
      </c>
      <c r="O65" s="15">
        <f t="shared" si="41"/>
        <v>-24657661.817249998</v>
      </c>
      <c r="P65" s="15">
        <f t="shared" si="42"/>
        <v>117417437.22499999</v>
      </c>
      <c r="Q65" s="15">
        <f t="shared" si="43"/>
        <v>541080899.35774994</v>
      </c>
      <c r="S65" s="15">
        <f t="shared" si="44"/>
        <v>-298880749.30000001</v>
      </c>
      <c r="T65" s="15">
        <f t="shared" si="45"/>
        <v>16438441.211499996</v>
      </c>
      <c r="U65" s="15">
        <f t="shared" si="46"/>
        <v>0</v>
      </c>
      <c r="V65" s="17">
        <f t="shared" si="47"/>
        <v>-282442308.08850002</v>
      </c>
    </row>
    <row r="66" spans="1:22" ht="14.1" customHeight="1" x14ac:dyDescent="0.2">
      <c r="A66" s="41">
        <v>1500</v>
      </c>
      <c r="B66" s="13">
        <v>282</v>
      </c>
      <c r="C66" s="389" t="s">
        <v>695</v>
      </c>
      <c r="D66" s="16">
        <v>30</v>
      </c>
      <c r="E66" s="14" t="s">
        <v>48</v>
      </c>
      <c r="F66" s="14" t="s">
        <v>234</v>
      </c>
      <c r="G66" s="17">
        <f>VLOOKUP(E66,'OTP FED Pre-Tax Balances'!$A:$K,6,FALSE)</f>
        <v>-59841401</v>
      </c>
      <c r="H66" s="444"/>
      <c r="I66" s="17">
        <f t="shared" si="36"/>
        <v>-20944490.349999998</v>
      </c>
      <c r="J66" s="15">
        <f t="shared" si="37"/>
        <v>1151946.9692500001</v>
      </c>
      <c r="K66" s="15">
        <f t="shared" si="38"/>
        <v>-3291277.0550000002</v>
      </c>
      <c r="L66" s="15">
        <f t="shared" si="39"/>
        <v>-23083820.435749996</v>
      </c>
      <c r="N66" s="15">
        <f t="shared" si="40"/>
        <v>-12566694.209999999</v>
      </c>
      <c r="O66" s="15">
        <f t="shared" si="41"/>
        <v>691168.18154999998</v>
      </c>
      <c r="P66" s="15">
        <f t="shared" si="42"/>
        <v>-3291277.0550000002</v>
      </c>
      <c r="Q66" s="15">
        <f t="shared" si="43"/>
        <v>-15166803.083449999</v>
      </c>
      <c r="S66" s="15">
        <f t="shared" si="44"/>
        <v>8377796.1399999987</v>
      </c>
      <c r="T66" s="15">
        <f t="shared" si="45"/>
        <v>-460778.7877000001</v>
      </c>
      <c r="U66" s="15">
        <f t="shared" si="46"/>
        <v>0</v>
      </c>
      <c r="V66" s="15">
        <f t="shared" si="47"/>
        <v>7917017.3522999985</v>
      </c>
    </row>
    <row r="67" spans="1:22" ht="14.1" customHeight="1" x14ac:dyDescent="0.2">
      <c r="A67" s="41">
        <v>1500</v>
      </c>
      <c r="B67" s="13">
        <v>282</v>
      </c>
      <c r="C67" s="389" t="s">
        <v>701</v>
      </c>
      <c r="D67" s="16">
        <v>30</v>
      </c>
      <c r="E67" s="14" t="s">
        <v>49</v>
      </c>
      <c r="F67" s="14" t="s">
        <v>235</v>
      </c>
      <c r="G67" s="17">
        <f>VLOOKUP(E67,'OTP FED Pre-Tax Balances'!$A:$K,6,FALSE)</f>
        <v>6779781</v>
      </c>
      <c r="H67" s="444"/>
      <c r="I67" s="17">
        <f t="shared" si="36"/>
        <v>2372923.3499999996</v>
      </c>
      <c r="J67" s="15">
        <f t="shared" si="37"/>
        <v>-130510.78425</v>
      </c>
      <c r="K67" s="15">
        <f t="shared" si="38"/>
        <v>372887.95500000002</v>
      </c>
      <c r="L67" s="15">
        <f t="shared" si="39"/>
        <v>2615300.5207499997</v>
      </c>
      <c r="N67" s="15">
        <f t="shared" si="40"/>
        <v>1423754.01</v>
      </c>
      <c r="O67" s="15">
        <f t="shared" si="41"/>
        <v>-78306.470549999998</v>
      </c>
      <c r="P67" s="15">
        <f t="shared" si="42"/>
        <v>372887.95500000002</v>
      </c>
      <c r="Q67" s="15">
        <f t="shared" si="43"/>
        <v>1718335.4944500001</v>
      </c>
      <c r="S67" s="15">
        <f t="shared" si="44"/>
        <v>-949169.33999999962</v>
      </c>
      <c r="T67" s="15">
        <f t="shared" si="45"/>
        <v>52204.313699999999</v>
      </c>
      <c r="U67" s="15">
        <f t="shared" si="46"/>
        <v>0</v>
      </c>
      <c r="V67" s="15">
        <f t="shared" si="47"/>
        <v>-896965.02629999956</v>
      </c>
    </row>
    <row r="68" spans="1:22" ht="14.1" customHeight="1" x14ac:dyDescent="0.2">
      <c r="A68" s="41">
        <v>1500</v>
      </c>
      <c r="B68" s="13">
        <v>282</v>
      </c>
      <c r="C68" s="389" t="s">
        <v>695</v>
      </c>
      <c r="D68" s="16">
        <v>30</v>
      </c>
      <c r="E68" s="14" t="s">
        <v>56</v>
      </c>
      <c r="F68" s="14" t="s">
        <v>242</v>
      </c>
      <c r="G68" s="17">
        <f>VLOOKUP(E68,'OTP FED Pre-Tax Balances'!$A:$K,4,FALSE)</f>
        <v>-1384603982</v>
      </c>
      <c r="H68" s="444"/>
      <c r="I68" s="17">
        <f t="shared" si="36"/>
        <v>-484611393.69999999</v>
      </c>
      <c r="J68" s="15">
        <f t="shared" si="37"/>
        <v>26653626.653500002</v>
      </c>
      <c r="K68" s="15">
        <f t="shared" si="38"/>
        <v>-76153219.010000005</v>
      </c>
      <c r="L68" s="15">
        <f t="shared" si="39"/>
        <v>-534110986.05649996</v>
      </c>
      <c r="N68" s="15">
        <f t="shared" si="40"/>
        <v>-290766836.21999997</v>
      </c>
      <c r="O68" s="15">
        <f t="shared" si="41"/>
        <v>15992175.9921</v>
      </c>
      <c r="P68" s="15">
        <f t="shared" si="42"/>
        <v>-76153219.010000005</v>
      </c>
      <c r="Q68" s="15">
        <f t="shared" si="43"/>
        <v>-350927879.23789996</v>
      </c>
      <c r="S68" s="15">
        <f t="shared" si="44"/>
        <v>193844557.48000002</v>
      </c>
      <c r="T68" s="15">
        <f t="shared" si="45"/>
        <v>-10661450.661400001</v>
      </c>
      <c r="U68" s="15">
        <f t="shared" si="46"/>
        <v>0</v>
      </c>
      <c r="V68" s="17">
        <f t="shared" si="47"/>
        <v>183183106.81860003</v>
      </c>
    </row>
    <row r="69" spans="1:22" ht="14.1" customHeight="1" x14ac:dyDescent="0.2">
      <c r="A69" s="41">
        <v>1500</v>
      </c>
      <c r="B69" s="13">
        <v>282</v>
      </c>
      <c r="C69" s="389" t="s">
        <v>695</v>
      </c>
      <c r="D69" s="16">
        <v>30</v>
      </c>
      <c r="E69" s="14" t="s">
        <v>56</v>
      </c>
      <c r="F69" s="14" t="s">
        <v>463</v>
      </c>
      <c r="G69" s="17">
        <f>VLOOKUP(E69,'OTP FED Pre-Tax Balances'!$A:$K,5,FALSE)</f>
        <v>-446820</v>
      </c>
      <c r="H69" s="444" t="s">
        <v>447</v>
      </c>
      <c r="I69" s="17">
        <f t="shared" si="36"/>
        <v>-156387</v>
      </c>
      <c r="J69" s="15">
        <f t="shared" si="37"/>
        <v>8601.2849999999999</v>
      </c>
      <c r="K69" s="15">
        <f t="shared" si="38"/>
        <v>-24575.1</v>
      </c>
      <c r="L69" s="15">
        <f t="shared" si="39"/>
        <v>-172360.815</v>
      </c>
      <c r="N69" s="15">
        <f t="shared" si="40"/>
        <v>-93832.2</v>
      </c>
      <c r="O69" s="15">
        <f t="shared" si="41"/>
        <v>5160.7709999999997</v>
      </c>
      <c r="P69" s="15">
        <f t="shared" si="42"/>
        <v>-24575.1</v>
      </c>
      <c r="Q69" s="15">
        <f t="shared" si="43"/>
        <v>-113246.52900000001</v>
      </c>
      <c r="S69" s="15">
        <f t="shared" si="44"/>
        <v>62554.8</v>
      </c>
      <c r="T69" s="15">
        <f t="shared" si="45"/>
        <v>-3440.5140000000001</v>
      </c>
      <c r="U69" s="15">
        <f t="shared" si="46"/>
        <v>0</v>
      </c>
      <c r="V69" s="17">
        <f t="shared" si="47"/>
        <v>59114.286</v>
      </c>
    </row>
    <row r="70" spans="1:22" ht="14.1" customHeight="1" x14ac:dyDescent="0.2">
      <c r="A70" s="41">
        <v>1500</v>
      </c>
      <c r="B70" s="13">
        <v>282</v>
      </c>
      <c r="C70" s="389" t="s">
        <v>701</v>
      </c>
      <c r="D70" s="16">
        <v>30</v>
      </c>
      <c r="E70" s="14" t="s">
        <v>57</v>
      </c>
      <c r="F70" s="14" t="s">
        <v>243</v>
      </c>
      <c r="G70" s="17">
        <f>VLOOKUP(E70,'OTP FED Pre-Tax Balances'!$A:$K,6,FALSE)</f>
        <v>87006154</v>
      </c>
      <c r="H70" s="444"/>
      <c r="I70" s="17">
        <f t="shared" si="36"/>
        <v>30452153.899999999</v>
      </c>
      <c r="J70" s="15">
        <f t="shared" si="37"/>
        <v>-1674868.4644999998</v>
      </c>
      <c r="K70" s="15">
        <f t="shared" si="38"/>
        <v>4785338.47</v>
      </c>
      <c r="L70" s="15">
        <f t="shared" si="39"/>
        <v>33562623.905500002</v>
      </c>
      <c r="N70" s="15">
        <f t="shared" si="40"/>
        <v>18271292.34</v>
      </c>
      <c r="O70" s="15">
        <f t="shared" si="41"/>
        <v>-1004921.0787</v>
      </c>
      <c r="P70" s="15">
        <f t="shared" si="42"/>
        <v>4785338.47</v>
      </c>
      <c r="Q70" s="15">
        <f t="shared" si="43"/>
        <v>22051709.7313</v>
      </c>
      <c r="S70" s="15">
        <f t="shared" si="44"/>
        <v>-12180861.559999999</v>
      </c>
      <c r="T70" s="15">
        <f t="shared" si="45"/>
        <v>669947.38579999981</v>
      </c>
      <c r="U70" s="15">
        <f t="shared" si="46"/>
        <v>0</v>
      </c>
      <c r="V70" s="15">
        <f t="shared" si="47"/>
        <v>-11510914.174199998</v>
      </c>
    </row>
    <row r="71" spans="1:22" ht="14.1" customHeight="1" x14ac:dyDescent="0.2">
      <c r="A71" s="41">
        <v>1500</v>
      </c>
      <c r="B71" s="13">
        <v>282</v>
      </c>
      <c r="C71" s="389" t="s">
        <v>695</v>
      </c>
      <c r="D71" s="16">
        <v>30</v>
      </c>
      <c r="E71" s="14" t="s">
        <v>58</v>
      </c>
      <c r="F71" s="14" t="s">
        <v>244</v>
      </c>
      <c r="G71" s="17">
        <f>VLOOKUP(E71,'OTP FED Pre-Tax Balances'!$A:$K,6,FALSE)</f>
        <v>-3497935</v>
      </c>
      <c r="H71" s="444"/>
      <c r="I71" s="17">
        <f t="shared" si="36"/>
        <v>-1224277.25</v>
      </c>
      <c r="J71" s="15">
        <f t="shared" si="37"/>
        <v>67335.248749999999</v>
      </c>
      <c r="K71" s="15">
        <f t="shared" si="38"/>
        <v>-192386.42499999999</v>
      </c>
      <c r="L71" s="15">
        <f t="shared" si="39"/>
        <v>-1349328.42625</v>
      </c>
      <c r="N71" s="15">
        <f t="shared" si="40"/>
        <v>-734566.35</v>
      </c>
      <c r="O71" s="15">
        <f t="shared" si="41"/>
        <v>40401.149249999995</v>
      </c>
      <c r="P71" s="15">
        <f t="shared" si="42"/>
        <v>-192386.42499999999</v>
      </c>
      <c r="Q71" s="15">
        <f t="shared" si="43"/>
        <v>-886551.62574999989</v>
      </c>
      <c r="S71" s="15">
        <f t="shared" si="44"/>
        <v>489710.9</v>
      </c>
      <c r="T71" s="15">
        <f t="shared" si="45"/>
        <v>-26934.099500000004</v>
      </c>
      <c r="U71" s="15">
        <f t="shared" si="46"/>
        <v>0</v>
      </c>
      <c r="V71" s="15">
        <f t="shared" si="47"/>
        <v>462776.80050000001</v>
      </c>
    </row>
    <row r="72" spans="1:22" ht="14.1" customHeight="1" x14ac:dyDescent="0.2">
      <c r="A72" s="41">
        <v>1500</v>
      </c>
      <c r="B72" s="13">
        <v>282</v>
      </c>
      <c r="C72" s="389" t="s">
        <v>695</v>
      </c>
      <c r="D72" s="16">
        <v>30</v>
      </c>
      <c r="E72" s="14" t="s">
        <v>59</v>
      </c>
      <c r="F72" s="14" t="s">
        <v>245</v>
      </c>
      <c r="G72" s="17">
        <f>VLOOKUP(E72,'OTP FED Pre-Tax Balances'!$A:$K,6,FALSE)</f>
        <v>-2524080</v>
      </c>
      <c r="H72" s="444"/>
      <c r="I72" s="17">
        <f t="shared" si="36"/>
        <v>-883428</v>
      </c>
      <c r="J72" s="15">
        <f t="shared" si="37"/>
        <v>48588.539999999994</v>
      </c>
      <c r="K72" s="15">
        <f t="shared" si="38"/>
        <v>-138824.4</v>
      </c>
      <c r="L72" s="15">
        <f t="shared" si="39"/>
        <v>-973663.86</v>
      </c>
      <c r="N72" s="15">
        <f t="shared" si="40"/>
        <v>-530056.79999999993</v>
      </c>
      <c r="O72" s="15">
        <f t="shared" si="41"/>
        <v>29153.123999999996</v>
      </c>
      <c r="P72" s="15">
        <f t="shared" si="42"/>
        <v>-138824.4</v>
      </c>
      <c r="Q72" s="15">
        <f t="shared" si="43"/>
        <v>-639728.07599999988</v>
      </c>
      <c r="S72" s="15">
        <f t="shared" si="44"/>
        <v>353371.20000000007</v>
      </c>
      <c r="T72" s="15">
        <f t="shared" si="45"/>
        <v>-19435.415999999997</v>
      </c>
      <c r="U72" s="15">
        <f t="shared" si="46"/>
        <v>0</v>
      </c>
      <c r="V72" s="15">
        <f t="shared" si="47"/>
        <v>333935.7840000001</v>
      </c>
    </row>
    <row r="73" spans="1:22" ht="14.1" customHeight="1" x14ac:dyDescent="0.2">
      <c r="A73" s="41">
        <v>1500</v>
      </c>
      <c r="B73" s="13">
        <v>282</v>
      </c>
      <c r="C73" s="389" t="s">
        <v>695</v>
      </c>
      <c r="D73" s="16">
        <v>30</v>
      </c>
      <c r="E73" s="14" t="s">
        <v>462</v>
      </c>
      <c r="F73" s="14" t="s">
        <v>461</v>
      </c>
      <c r="G73" s="17">
        <f>VLOOKUP(E73,'OTP FED Pre-Tax Balances'!$A:$K,6,FALSE)</f>
        <v>101066</v>
      </c>
      <c r="H73" s="444" t="s">
        <v>447</v>
      </c>
      <c r="I73" s="17">
        <f t="shared" si="36"/>
        <v>35373.1</v>
      </c>
      <c r="J73" s="15">
        <f t="shared" si="37"/>
        <v>-1945.5204999999999</v>
      </c>
      <c r="K73" s="15">
        <f t="shared" si="38"/>
        <v>5558.63</v>
      </c>
      <c r="L73" s="15">
        <f t="shared" si="39"/>
        <v>38986.209499999997</v>
      </c>
      <c r="N73" s="15">
        <f t="shared" si="40"/>
        <v>21223.86</v>
      </c>
      <c r="O73" s="15">
        <f t="shared" si="41"/>
        <v>-1167.3123000000001</v>
      </c>
      <c r="P73" s="15">
        <f t="shared" si="42"/>
        <v>5558.63</v>
      </c>
      <c r="Q73" s="15">
        <f t="shared" si="43"/>
        <v>25615.1777</v>
      </c>
      <c r="S73" s="15">
        <f t="shared" si="44"/>
        <v>-14149.239999999998</v>
      </c>
      <c r="T73" s="15">
        <f t="shared" si="45"/>
        <v>778.20819999999981</v>
      </c>
      <c r="U73" s="15">
        <f t="shared" si="46"/>
        <v>0</v>
      </c>
      <c r="V73" s="17">
        <f t="shared" si="47"/>
        <v>-13371.031799999999</v>
      </c>
    </row>
    <row r="74" spans="1:22" ht="14.1" customHeight="1" x14ac:dyDescent="0.2">
      <c r="A74" s="41">
        <v>1500</v>
      </c>
      <c r="B74" s="13">
        <v>282</v>
      </c>
      <c r="C74" s="389" t="s">
        <v>695</v>
      </c>
      <c r="D74" s="16">
        <v>30</v>
      </c>
      <c r="E74" s="14" t="s">
        <v>456</v>
      </c>
      <c r="F74" s="14" t="s">
        <v>455</v>
      </c>
      <c r="G74" s="17">
        <f>VLOOKUP(E74,'OTP FED Pre-Tax Balances'!$A:$K,6,FALSE)</f>
        <v>-21004256712</v>
      </c>
      <c r="H74" s="444"/>
      <c r="I74" s="17">
        <f t="shared" si="36"/>
        <v>-7351489849.1999998</v>
      </c>
      <c r="J74" s="15">
        <f t="shared" si="37"/>
        <v>404331941.70600003</v>
      </c>
      <c r="K74" s="15">
        <f t="shared" si="38"/>
        <v>-1155234119.1600001</v>
      </c>
      <c r="L74" s="15">
        <f t="shared" si="39"/>
        <v>-8102392026.6539993</v>
      </c>
      <c r="N74" s="15">
        <f t="shared" si="40"/>
        <v>-4410893909.5199995</v>
      </c>
      <c r="O74" s="15">
        <f t="shared" si="41"/>
        <v>242599165.02360001</v>
      </c>
      <c r="P74" s="15">
        <f t="shared" si="42"/>
        <v>-1155234119.1600001</v>
      </c>
      <c r="Q74" s="15">
        <f t="shared" si="43"/>
        <v>-5323528863.6563997</v>
      </c>
      <c r="S74" s="15">
        <f t="shared" si="44"/>
        <v>2940595939.6800003</v>
      </c>
      <c r="T74" s="15">
        <f t="shared" si="45"/>
        <v>-161732776.68240002</v>
      </c>
      <c r="U74" s="15">
        <f t="shared" si="46"/>
        <v>0</v>
      </c>
      <c r="V74" s="17">
        <f t="shared" si="47"/>
        <v>2778863162.9976001</v>
      </c>
    </row>
    <row r="75" spans="1:22" ht="14.1" customHeight="1" x14ac:dyDescent="0.2">
      <c r="A75" s="41">
        <v>1500</v>
      </c>
      <c r="B75" s="13">
        <v>282</v>
      </c>
      <c r="C75" s="389" t="s">
        <v>695</v>
      </c>
      <c r="D75" s="16">
        <v>30</v>
      </c>
      <c r="E75" s="14" t="s">
        <v>80</v>
      </c>
      <c r="F75" s="14" t="s">
        <v>266</v>
      </c>
      <c r="G75" s="17">
        <f>VLOOKUP(E75,'OTP FED Pre-Tax Balances'!$A:$K,6,FALSE)</f>
        <v>14306108</v>
      </c>
      <c r="H75" s="444"/>
      <c r="I75" s="17">
        <f t="shared" si="36"/>
        <v>5007137.8</v>
      </c>
      <c r="J75" s="15">
        <f t="shared" si="37"/>
        <v>-275392.57900000003</v>
      </c>
      <c r="K75" s="15">
        <f t="shared" si="38"/>
        <v>786835.94000000006</v>
      </c>
      <c r="L75" s="15">
        <f t="shared" si="39"/>
        <v>5518581.1610000003</v>
      </c>
      <c r="N75" s="15">
        <f t="shared" si="40"/>
        <v>3004282.6799999997</v>
      </c>
      <c r="O75" s="15">
        <f t="shared" si="41"/>
        <v>-165235.54740000001</v>
      </c>
      <c r="P75" s="15">
        <f t="shared" si="42"/>
        <v>786835.94000000006</v>
      </c>
      <c r="Q75" s="15">
        <f t="shared" si="43"/>
        <v>3625883.0725999996</v>
      </c>
      <c r="S75" s="15">
        <f t="shared" si="44"/>
        <v>-2002855.12</v>
      </c>
      <c r="T75" s="15">
        <f t="shared" si="45"/>
        <v>110157.03160000002</v>
      </c>
      <c r="U75" s="15">
        <f t="shared" si="46"/>
        <v>0</v>
      </c>
      <c r="V75" s="15">
        <f t="shared" si="47"/>
        <v>-1892698.0884</v>
      </c>
    </row>
    <row r="76" spans="1:22" ht="14.1" customHeight="1" x14ac:dyDescent="0.2">
      <c r="A76" s="41">
        <v>1500</v>
      </c>
      <c r="B76" s="13">
        <v>282</v>
      </c>
      <c r="C76" s="389" t="s">
        <v>695</v>
      </c>
      <c r="D76" s="16">
        <v>30</v>
      </c>
      <c r="E76" s="14" t="s">
        <v>110</v>
      </c>
      <c r="F76" s="14" t="s">
        <v>296</v>
      </c>
      <c r="G76" s="17">
        <f>VLOOKUP(E76,'OTP FED Pre-Tax Balances'!$A:$K,6,FALSE)</f>
        <v>101239536</v>
      </c>
      <c r="H76" s="444"/>
      <c r="I76" s="17">
        <f t="shared" si="36"/>
        <v>35433837.599999994</v>
      </c>
      <c r="J76" s="15">
        <f t="shared" si="37"/>
        <v>-1948861.068</v>
      </c>
      <c r="K76" s="15">
        <f t="shared" si="38"/>
        <v>5568174.4800000004</v>
      </c>
      <c r="L76" s="15">
        <f t="shared" si="39"/>
        <v>39053151.011999995</v>
      </c>
      <c r="N76" s="15">
        <f t="shared" si="40"/>
        <v>21260302.559999999</v>
      </c>
      <c r="O76" s="15">
        <f t="shared" si="41"/>
        <v>-1169316.6407999999</v>
      </c>
      <c r="P76" s="15">
        <f t="shared" si="42"/>
        <v>5568174.4800000004</v>
      </c>
      <c r="Q76" s="15">
        <f t="shared" si="43"/>
        <v>25659160.3992</v>
      </c>
      <c r="S76" s="15">
        <f t="shared" si="44"/>
        <v>-14173535.039999995</v>
      </c>
      <c r="T76" s="15">
        <f t="shared" si="45"/>
        <v>779544.42720000003</v>
      </c>
      <c r="U76" s="15">
        <f t="shared" si="46"/>
        <v>0</v>
      </c>
      <c r="V76" s="15">
        <f t="shared" si="47"/>
        <v>-13393990.612799995</v>
      </c>
    </row>
    <row r="77" spans="1:22" ht="14.1" customHeight="1" x14ac:dyDescent="0.2">
      <c r="A77" s="41">
        <v>1500</v>
      </c>
      <c r="B77" s="13">
        <v>282</v>
      </c>
      <c r="C77" s="389" t="s">
        <v>695</v>
      </c>
      <c r="D77" s="16">
        <v>30</v>
      </c>
      <c r="E77" s="14" t="s">
        <v>117</v>
      </c>
      <c r="F77" s="14" t="s">
        <v>303</v>
      </c>
      <c r="G77" s="17">
        <f>VLOOKUP(E77,'OTP FED Pre-Tax Balances'!$A:$K,6,FALSE)</f>
        <v>-442998</v>
      </c>
      <c r="H77" s="444"/>
      <c r="I77" s="17">
        <f t="shared" si="36"/>
        <v>-155049.29999999999</v>
      </c>
      <c r="J77" s="15">
        <f t="shared" si="37"/>
        <v>8527.7114999999994</v>
      </c>
      <c r="K77" s="15">
        <f t="shared" si="38"/>
        <v>-24364.89</v>
      </c>
      <c r="L77" s="15">
        <f t="shared" si="39"/>
        <v>-170886.47849999997</v>
      </c>
      <c r="N77" s="15">
        <f t="shared" si="40"/>
        <v>-93029.58</v>
      </c>
      <c r="O77" s="15">
        <f t="shared" si="41"/>
        <v>5116.6268999999993</v>
      </c>
      <c r="P77" s="15">
        <f t="shared" si="42"/>
        <v>-24364.89</v>
      </c>
      <c r="Q77" s="15">
        <f t="shared" si="43"/>
        <v>-112277.8431</v>
      </c>
      <c r="S77" s="15">
        <f t="shared" si="44"/>
        <v>62019.719999999987</v>
      </c>
      <c r="T77" s="15">
        <f t="shared" si="45"/>
        <v>-3411.0846000000001</v>
      </c>
      <c r="U77" s="15">
        <f t="shared" si="46"/>
        <v>0</v>
      </c>
      <c r="V77" s="15">
        <f t="shared" si="47"/>
        <v>58608.635399999985</v>
      </c>
    </row>
    <row r="78" spans="1:22" ht="14.1" customHeight="1" x14ac:dyDescent="0.2">
      <c r="A78" s="41">
        <v>1500</v>
      </c>
      <c r="B78" s="13">
        <v>282</v>
      </c>
      <c r="C78" s="389" t="s">
        <v>695</v>
      </c>
      <c r="D78" s="16">
        <v>30</v>
      </c>
      <c r="E78" s="14" t="s">
        <v>118</v>
      </c>
      <c r="F78" s="14" t="s">
        <v>304</v>
      </c>
      <c r="G78" s="17">
        <f>VLOOKUP(E78,'OTP FED Pre-Tax Balances'!$A:$K,6,FALSE)</f>
        <v>-108316291</v>
      </c>
      <c r="H78" s="444"/>
      <c r="I78" s="17">
        <f t="shared" si="36"/>
        <v>-37910701.849999994</v>
      </c>
      <c r="J78" s="15">
        <f t="shared" si="37"/>
        <v>2085088.6017499999</v>
      </c>
      <c r="K78" s="15">
        <f t="shared" si="38"/>
        <v>-5957396.0049999999</v>
      </c>
      <c r="L78" s="15">
        <f t="shared" si="39"/>
        <v>-41783009.253249995</v>
      </c>
      <c r="N78" s="15">
        <f t="shared" si="40"/>
        <v>-22746421.109999999</v>
      </c>
      <c r="O78" s="15">
        <f t="shared" si="41"/>
        <v>1251053.16105</v>
      </c>
      <c r="P78" s="15">
        <f t="shared" si="42"/>
        <v>-5957396.0049999999</v>
      </c>
      <c r="Q78" s="15">
        <f t="shared" si="43"/>
        <v>-27452763.953949999</v>
      </c>
      <c r="S78" s="15">
        <f t="shared" si="44"/>
        <v>15164280.739999995</v>
      </c>
      <c r="T78" s="15">
        <f t="shared" si="45"/>
        <v>-834035.44069999992</v>
      </c>
      <c r="U78" s="15">
        <f t="shared" si="46"/>
        <v>0</v>
      </c>
      <c r="V78" s="15">
        <f t="shared" si="47"/>
        <v>14330245.299299994</v>
      </c>
    </row>
    <row r="79" spans="1:22" ht="14.1" customHeight="1" x14ac:dyDescent="0.2">
      <c r="A79" s="41">
        <v>1500</v>
      </c>
      <c r="B79" s="13">
        <v>282</v>
      </c>
      <c r="C79" s="389" t="s">
        <v>701</v>
      </c>
      <c r="D79" s="16">
        <v>30</v>
      </c>
      <c r="E79" s="14" t="s">
        <v>124</v>
      </c>
      <c r="F79" s="14" t="s">
        <v>310</v>
      </c>
      <c r="G79" s="17">
        <f>VLOOKUP(E79,'OTP FED Pre-Tax Balances'!$A:$K,6,FALSE)</f>
        <v>7541981</v>
      </c>
      <c r="H79" s="444"/>
      <c r="I79" s="17">
        <f t="shared" si="36"/>
        <v>2639693.3499999996</v>
      </c>
      <c r="J79" s="15">
        <f t="shared" si="37"/>
        <v>-145183.13425</v>
      </c>
      <c r="K79" s="15">
        <f t="shared" si="38"/>
        <v>414808.95500000002</v>
      </c>
      <c r="L79" s="15">
        <f t="shared" si="39"/>
        <v>2909319.1707499996</v>
      </c>
      <c r="N79" s="15">
        <f t="shared" si="40"/>
        <v>1583816.01</v>
      </c>
      <c r="O79" s="15">
        <f t="shared" si="41"/>
        <v>-87109.880550000002</v>
      </c>
      <c r="P79" s="15">
        <f t="shared" si="42"/>
        <v>414808.95500000002</v>
      </c>
      <c r="Q79" s="15">
        <f t="shared" si="43"/>
        <v>1911515.08445</v>
      </c>
      <c r="S79" s="15">
        <f t="shared" si="44"/>
        <v>-1055877.3399999996</v>
      </c>
      <c r="T79" s="15">
        <f t="shared" si="45"/>
        <v>58073.253700000001</v>
      </c>
      <c r="U79" s="15">
        <f t="shared" si="46"/>
        <v>0</v>
      </c>
      <c r="V79" s="15">
        <f t="shared" si="47"/>
        <v>-997804.08629999962</v>
      </c>
    </row>
    <row r="80" spans="1:22" ht="14.1" customHeight="1" x14ac:dyDescent="0.2">
      <c r="A80" s="41">
        <v>1500</v>
      </c>
      <c r="B80" s="13">
        <v>282</v>
      </c>
      <c r="C80" s="389" t="s">
        <v>695</v>
      </c>
      <c r="D80" s="16">
        <v>30</v>
      </c>
      <c r="E80" s="14" t="s">
        <v>132</v>
      </c>
      <c r="F80" s="14" t="s">
        <v>318</v>
      </c>
      <c r="G80" s="17">
        <f>VLOOKUP(E80,'OTP FED Pre-Tax Balances'!$A:$K,6,FALSE)</f>
        <v>-223545316</v>
      </c>
      <c r="H80" s="444"/>
      <c r="I80" s="17">
        <f t="shared" si="36"/>
        <v>-78240860.599999994</v>
      </c>
      <c r="J80" s="15">
        <f t="shared" si="37"/>
        <v>4303247.3329999996</v>
      </c>
      <c r="K80" s="15">
        <f t="shared" si="38"/>
        <v>-12294992.380000001</v>
      </c>
      <c r="L80" s="15">
        <f t="shared" si="39"/>
        <v>-86232605.646999985</v>
      </c>
      <c r="N80" s="15">
        <f t="shared" si="40"/>
        <v>-46944516.359999999</v>
      </c>
      <c r="O80" s="15">
        <f t="shared" si="41"/>
        <v>2581948.3998000002</v>
      </c>
      <c r="P80" s="15">
        <f t="shared" si="42"/>
        <v>-12294992.380000001</v>
      </c>
      <c r="Q80" s="15">
        <f t="shared" si="43"/>
        <v>-56657560.3402</v>
      </c>
      <c r="S80" s="15">
        <f t="shared" si="44"/>
        <v>31296344.239999995</v>
      </c>
      <c r="T80" s="15">
        <f t="shared" si="45"/>
        <v>-1721298.9331999994</v>
      </c>
      <c r="U80" s="15">
        <f t="shared" si="46"/>
        <v>0</v>
      </c>
      <c r="V80" s="15">
        <f t="shared" si="47"/>
        <v>29575045.306799997</v>
      </c>
    </row>
    <row r="81" spans="1:22" ht="14.1" customHeight="1" x14ac:dyDescent="0.2">
      <c r="A81" s="41">
        <v>1500</v>
      </c>
      <c r="B81" s="13">
        <v>282</v>
      </c>
      <c r="C81" s="389" t="s">
        <v>695</v>
      </c>
      <c r="D81" s="16">
        <v>30</v>
      </c>
      <c r="E81" s="14" t="s">
        <v>133</v>
      </c>
      <c r="F81" s="14" t="s">
        <v>319</v>
      </c>
      <c r="G81" s="17">
        <f>VLOOKUP(E81,'OTP FED Pre-Tax Balances'!$A:$K,6,FALSE)</f>
        <v>-368563094</v>
      </c>
      <c r="H81" s="444"/>
      <c r="I81" s="17">
        <f t="shared" si="36"/>
        <v>-128997082.89999999</v>
      </c>
      <c r="J81" s="15">
        <f t="shared" si="37"/>
        <v>7094839.5595000004</v>
      </c>
      <c r="K81" s="15">
        <f t="shared" si="38"/>
        <v>-20270970.170000002</v>
      </c>
      <c r="L81" s="15">
        <f t="shared" si="39"/>
        <v>-142173213.51050001</v>
      </c>
      <c r="N81" s="15">
        <f t="shared" si="40"/>
        <v>-77398249.739999995</v>
      </c>
      <c r="O81" s="15">
        <f t="shared" si="41"/>
        <v>4256903.7357000001</v>
      </c>
      <c r="P81" s="15">
        <f t="shared" si="42"/>
        <v>-20270970.170000002</v>
      </c>
      <c r="Q81" s="15">
        <f t="shared" si="43"/>
        <v>-93412316.1743</v>
      </c>
      <c r="S81" s="15">
        <f t="shared" si="44"/>
        <v>51598833.159999996</v>
      </c>
      <c r="T81" s="15">
        <f t="shared" si="45"/>
        <v>-2837935.8238000004</v>
      </c>
      <c r="U81" s="15">
        <f t="shared" si="46"/>
        <v>0</v>
      </c>
      <c r="V81" s="15">
        <f t="shared" si="47"/>
        <v>48760897.336199999</v>
      </c>
    </row>
    <row r="82" spans="1:22" ht="14.1" customHeight="1" x14ac:dyDescent="0.2">
      <c r="A82" s="41">
        <v>1500</v>
      </c>
      <c r="B82" s="13">
        <v>282</v>
      </c>
      <c r="C82" s="389" t="s">
        <v>695</v>
      </c>
      <c r="D82" s="16">
        <v>30</v>
      </c>
      <c r="E82" s="14" t="s">
        <v>162</v>
      </c>
      <c r="F82" s="14" t="s">
        <v>347</v>
      </c>
      <c r="G82" s="17">
        <f>VLOOKUP(E82,'OTP FED Pre-Tax Balances'!$A:$K,6,FALSE)</f>
        <v>-70343869</v>
      </c>
      <c r="H82" s="444"/>
      <c r="I82" s="17">
        <f t="shared" si="36"/>
        <v>-24620354.149999999</v>
      </c>
      <c r="J82" s="15">
        <f t="shared" si="37"/>
        <v>1354119.4782499999</v>
      </c>
      <c r="K82" s="15">
        <f t="shared" si="38"/>
        <v>-3868912.7949999999</v>
      </c>
      <c r="L82" s="15">
        <f t="shared" si="39"/>
        <v>-27135147.466749996</v>
      </c>
      <c r="N82" s="15">
        <f t="shared" si="40"/>
        <v>-14772212.49</v>
      </c>
      <c r="O82" s="15">
        <f t="shared" si="41"/>
        <v>812471.68695</v>
      </c>
      <c r="P82" s="15">
        <f t="shared" si="42"/>
        <v>-3868912.7949999999</v>
      </c>
      <c r="Q82" s="15">
        <f t="shared" si="43"/>
        <v>-17828653.598049998</v>
      </c>
      <c r="S82" s="15">
        <f t="shared" si="44"/>
        <v>9848141.6599999983</v>
      </c>
      <c r="T82" s="15">
        <f t="shared" si="45"/>
        <v>-541647.79129999992</v>
      </c>
      <c r="U82" s="15">
        <f t="shared" si="46"/>
        <v>0</v>
      </c>
      <c r="V82" s="15">
        <f t="shared" si="47"/>
        <v>9306493.8686999977</v>
      </c>
    </row>
    <row r="83" spans="1:22" ht="14.1" customHeight="1" x14ac:dyDescent="0.2">
      <c r="A83" s="41">
        <v>1500</v>
      </c>
      <c r="B83" s="13">
        <v>282</v>
      </c>
      <c r="C83" s="389" t="s">
        <v>695</v>
      </c>
      <c r="D83" s="16">
        <v>30</v>
      </c>
      <c r="E83" s="14" t="s">
        <v>166</v>
      </c>
      <c r="F83" s="14" t="s">
        <v>351</v>
      </c>
      <c r="G83" s="17">
        <f>VLOOKUP(E83,'OTP FED Pre-Tax Balances'!$A:$K,6,FALSE)</f>
        <v>-37318093</v>
      </c>
      <c r="H83" s="444"/>
      <c r="I83" s="17">
        <f t="shared" si="36"/>
        <v>-13061332.549999999</v>
      </c>
      <c r="J83" s="15">
        <f t="shared" si="37"/>
        <v>718373.29024999996</v>
      </c>
      <c r="K83" s="15">
        <f t="shared" si="38"/>
        <v>-2052495.115</v>
      </c>
      <c r="L83" s="15">
        <f t="shared" si="39"/>
        <v>-14395454.374749999</v>
      </c>
      <c r="N83" s="15">
        <f t="shared" si="40"/>
        <v>-7836799.5299999993</v>
      </c>
      <c r="O83" s="15">
        <f t="shared" si="41"/>
        <v>431023.97414999997</v>
      </c>
      <c r="P83" s="15">
        <f t="shared" si="42"/>
        <v>-2052495.115</v>
      </c>
      <c r="Q83" s="15">
        <f t="shared" si="43"/>
        <v>-9458270.6708499994</v>
      </c>
      <c r="S83" s="15">
        <f t="shared" si="44"/>
        <v>5224533.0199999996</v>
      </c>
      <c r="T83" s="15">
        <f t="shared" si="45"/>
        <v>-287349.3161</v>
      </c>
      <c r="U83" s="15">
        <f t="shared" si="46"/>
        <v>0</v>
      </c>
      <c r="V83" s="15">
        <f t="shared" si="47"/>
        <v>4937183.7038999991</v>
      </c>
    </row>
    <row r="84" spans="1:22" ht="14.1" customHeight="1" x14ac:dyDescent="0.2">
      <c r="A84" s="41">
        <v>1500</v>
      </c>
      <c r="B84" s="13">
        <v>282</v>
      </c>
      <c r="C84" s="389" t="s">
        <v>697</v>
      </c>
      <c r="D84" s="16">
        <v>5</v>
      </c>
      <c r="E84" s="14" t="s">
        <v>170</v>
      </c>
      <c r="F84" s="14" t="s">
        <v>355</v>
      </c>
      <c r="G84" s="17">
        <f>VLOOKUP(E84,'OTP FED Pre-Tax Balances'!$A:$K,6,FALSE)</f>
        <v>110606293</v>
      </c>
      <c r="H84" s="444"/>
      <c r="I84" s="17">
        <f t="shared" si="36"/>
        <v>38712202.549999997</v>
      </c>
      <c r="J84" s="15">
        <f t="shared" si="37"/>
        <v>-2129171.1402500002</v>
      </c>
      <c r="K84" s="15">
        <f t="shared" si="38"/>
        <v>6083346.1150000002</v>
      </c>
      <c r="L84" s="15">
        <f t="shared" si="39"/>
        <v>42666377.524750002</v>
      </c>
      <c r="N84" s="15">
        <f t="shared" si="40"/>
        <v>23227321.529999997</v>
      </c>
      <c r="O84" s="15">
        <f t="shared" si="41"/>
        <v>-1277502.6841500001</v>
      </c>
      <c r="P84" s="15">
        <f t="shared" si="42"/>
        <v>6083346.1150000002</v>
      </c>
      <c r="Q84" s="15">
        <f t="shared" si="43"/>
        <v>28033164.96085</v>
      </c>
      <c r="S84" s="15">
        <f t="shared" si="44"/>
        <v>-15484881.02</v>
      </c>
      <c r="T84" s="15">
        <f t="shared" si="45"/>
        <v>851668.45610000007</v>
      </c>
      <c r="U84" s="15">
        <f t="shared" si="46"/>
        <v>0</v>
      </c>
      <c r="V84" s="15">
        <f t="shared" si="47"/>
        <v>-14633212.563899999</v>
      </c>
    </row>
    <row r="85" spans="1:22" ht="14.1" customHeight="1" x14ac:dyDescent="0.2">
      <c r="A85" s="41">
        <v>1500</v>
      </c>
      <c r="B85" s="13">
        <v>282</v>
      </c>
      <c r="C85" s="389" t="s">
        <v>695</v>
      </c>
      <c r="D85" s="16">
        <v>30</v>
      </c>
      <c r="E85" s="14" t="s">
        <v>184</v>
      </c>
      <c r="F85" s="14" t="s">
        <v>369</v>
      </c>
      <c r="G85" s="17">
        <f>VLOOKUP(E85,'OTP FED Pre-Tax Balances'!$A:$K,6,FALSE)</f>
        <v>-59333935</v>
      </c>
      <c r="H85" s="444"/>
      <c r="I85" s="17">
        <f t="shared" si="36"/>
        <v>-20766877.25</v>
      </c>
      <c r="J85" s="15">
        <f t="shared" si="37"/>
        <v>1142178.2487499998</v>
      </c>
      <c r="K85" s="15">
        <f t="shared" si="38"/>
        <v>-3263366.4249999998</v>
      </c>
      <c r="L85" s="15">
        <f t="shared" si="39"/>
        <v>-22888065.42625</v>
      </c>
      <c r="N85" s="15">
        <f t="shared" si="40"/>
        <v>-12460126.35</v>
      </c>
      <c r="O85" s="15">
        <f t="shared" si="41"/>
        <v>685306.94924999995</v>
      </c>
      <c r="P85" s="15">
        <f t="shared" si="42"/>
        <v>-3263366.4249999998</v>
      </c>
      <c r="Q85" s="15">
        <f t="shared" si="43"/>
        <v>-15038185.825750001</v>
      </c>
      <c r="S85" s="15">
        <f t="shared" si="44"/>
        <v>8306750.9000000004</v>
      </c>
      <c r="T85" s="15">
        <f t="shared" si="45"/>
        <v>-456871.29949999985</v>
      </c>
      <c r="U85" s="15">
        <f t="shared" si="46"/>
        <v>0</v>
      </c>
      <c r="V85" s="15">
        <f t="shared" si="47"/>
        <v>7849879.6005000006</v>
      </c>
    </row>
    <row r="86" spans="1:22" ht="14.1" customHeight="1" x14ac:dyDescent="0.2">
      <c r="A86" s="41"/>
      <c r="C86" s="446"/>
      <c r="D86" s="13"/>
      <c r="E86" s="14"/>
      <c r="F86" s="43" t="s">
        <v>480</v>
      </c>
      <c r="G86" s="42">
        <f>SUM(G59:G85)</f>
        <v>-21656691324</v>
      </c>
      <c r="I86" s="42">
        <f>SUM(I59:I85)</f>
        <v>-7579841963.3999987</v>
      </c>
      <c r="J86" s="42">
        <f>SUM(J59:J85)</f>
        <v>416891307.98699999</v>
      </c>
      <c r="K86" s="42">
        <f>SUM(K59:K85)</f>
        <v>-1191118022.8200006</v>
      </c>
      <c r="L86" s="42">
        <f>SUM(L59:L85)</f>
        <v>-8354068678.2330008</v>
      </c>
      <c r="N86" s="42">
        <f>SUM(N59:N85)</f>
        <v>-4547905178.0399981</v>
      </c>
      <c r="O86" s="42">
        <f>SUM(O59:O85)</f>
        <v>250134784.7922</v>
      </c>
      <c r="P86" s="42">
        <f>SUM(P59:P85)</f>
        <v>-1191118022.8200006</v>
      </c>
      <c r="Q86" s="42">
        <f>SUM(Q59:Q85)</f>
        <v>-5488888416.0677996</v>
      </c>
      <c r="S86" s="42">
        <f>SUM(S59:S85)</f>
        <v>3031936785.3599997</v>
      </c>
      <c r="T86" s="42">
        <f>SUM(T59:T85)</f>
        <v>-166756523.19480005</v>
      </c>
      <c r="U86" s="42">
        <f>SUM(U59:U85)</f>
        <v>0</v>
      </c>
      <c r="V86" s="42">
        <f>SUM(V59:V85)</f>
        <v>2865180262.1651998</v>
      </c>
    </row>
    <row r="87" spans="1:22" ht="14.1" customHeight="1" x14ac:dyDescent="0.2">
      <c r="A87" s="41"/>
      <c r="C87" s="446"/>
      <c r="D87" s="13"/>
      <c r="E87" s="14"/>
      <c r="F87" s="14"/>
      <c r="G87" s="15"/>
      <c r="V87" s="11"/>
    </row>
    <row r="88" spans="1:22" ht="14.1" customHeight="1" x14ac:dyDescent="0.2">
      <c r="A88" s="41">
        <v>1500</v>
      </c>
      <c r="B88" s="13">
        <v>283</v>
      </c>
      <c r="C88" s="389" t="s">
        <v>700</v>
      </c>
      <c r="D88" s="16">
        <v>1</v>
      </c>
      <c r="E88" s="14" t="s">
        <v>6</v>
      </c>
      <c r="F88" s="14" t="s">
        <v>192</v>
      </c>
      <c r="G88" s="370">
        <f>VLOOKUP(E88,'OTP FED Pre-Tax Balances'!$A:$K,6,FALSE)</f>
        <v>258666</v>
      </c>
      <c r="I88" s="15">
        <f t="shared" ref="I88:I124" si="48">G88*$I$7</f>
        <v>90533.099999999991</v>
      </c>
      <c r="J88" s="15">
        <f t="shared" ref="J88:J124" si="49">-K88*$I$7</f>
        <v>-4979.3204999999998</v>
      </c>
      <c r="K88" s="15">
        <f t="shared" ref="K88:K124" si="50">G88*$K$7</f>
        <v>14226.63</v>
      </c>
      <c r="L88" s="15">
        <f t="shared" ref="L88:L124" si="51">SUM(I88:K88)</f>
        <v>99780.409499999994</v>
      </c>
      <c r="N88" s="15">
        <f t="shared" ref="N88:N124" si="52">G88*$N$7</f>
        <v>54319.86</v>
      </c>
      <c r="O88" s="15">
        <f t="shared" ref="O88:O124" si="53">-P88*$N$7</f>
        <v>-2987.5922999999998</v>
      </c>
      <c r="P88" s="15">
        <f t="shared" ref="P88:P124" si="54">G88*$P$7</f>
        <v>14226.63</v>
      </c>
      <c r="Q88" s="15">
        <f t="shared" ref="Q88:Q124" si="55">SUM(N88:P88)</f>
        <v>65558.897700000001</v>
      </c>
      <c r="S88" s="15">
        <f t="shared" ref="S88:S124" si="56">N88-I88</f>
        <v>-36213.239999999991</v>
      </c>
      <c r="T88" s="15">
        <f t="shared" ref="T88:T124" si="57">O88-J88</f>
        <v>1991.7282</v>
      </c>
      <c r="U88" s="15">
        <f t="shared" ref="U88:U124" si="58">P88-K88</f>
        <v>0</v>
      </c>
      <c r="V88" s="15">
        <f t="shared" ref="V88:V124" si="59">SUM(S88:U88)</f>
        <v>-34221.511799999993</v>
      </c>
    </row>
    <row r="89" spans="1:22" ht="14.1" customHeight="1" x14ac:dyDescent="0.2">
      <c r="A89" s="41">
        <v>1500</v>
      </c>
      <c r="B89" s="13">
        <v>283</v>
      </c>
      <c r="C89" s="389" t="s">
        <v>700</v>
      </c>
      <c r="D89" s="16">
        <v>1</v>
      </c>
      <c r="E89" s="14" t="s">
        <v>12</v>
      </c>
      <c r="F89" s="14" t="s">
        <v>198</v>
      </c>
      <c r="G89" s="370">
        <f>VLOOKUP(E89,'OTP FED Pre-Tax Balances'!$A:$K,6,FALSE)</f>
        <v>-1737676</v>
      </c>
      <c r="I89" s="15">
        <f t="shared" si="48"/>
        <v>-608186.6</v>
      </c>
      <c r="J89" s="15">
        <f t="shared" si="49"/>
        <v>33450.262999999999</v>
      </c>
      <c r="K89" s="15">
        <f t="shared" si="50"/>
        <v>-95572.180000000008</v>
      </c>
      <c r="L89" s="15">
        <f t="shared" si="51"/>
        <v>-670308.51699999999</v>
      </c>
      <c r="N89" s="15">
        <f t="shared" si="52"/>
        <v>-364911.95999999996</v>
      </c>
      <c r="O89" s="15">
        <f t="shared" si="53"/>
        <v>20070.157800000001</v>
      </c>
      <c r="P89" s="15">
        <f t="shared" si="54"/>
        <v>-95572.180000000008</v>
      </c>
      <c r="Q89" s="15">
        <f t="shared" si="55"/>
        <v>-440413.98219999997</v>
      </c>
      <c r="S89" s="15">
        <f t="shared" si="56"/>
        <v>243274.64</v>
      </c>
      <c r="T89" s="15">
        <f t="shared" si="57"/>
        <v>-13380.105199999998</v>
      </c>
      <c r="U89" s="15">
        <f t="shared" si="58"/>
        <v>0</v>
      </c>
      <c r="V89" s="15">
        <f t="shared" si="59"/>
        <v>229894.53480000002</v>
      </c>
    </row>
    <row r="90" spans="1:22" ht="14.1" customHeight="1" x14ac:dyDescent="0.2">
      <c r="A90" s="41">
        <v>1500</v>
      </c>
      <c r="B90" s="13">
        <v>283</v>
      </c>
      <c r="C90" s="389" t="s">
        <v>697</v>
      </c>
      <c r="D90" s="16">
        <v>5</v>
      </c>
      <c r="E90" s="14" t="s">
        <v>14</v>
      </c>
      <c r="F90" s="14" t="s">
        <v>200</v>
      </c>
      <c r="G90" s="370">
        <f>VLOOKUP(E90,'OTP FED Pre-Tax Balances'!$A:$K,6,FALSE)</f>
        <v>-193657</v>
      </c>
      <c r="I90" s="15">
        <f t="shared" si="48"/>
        <v>-67779.95</v>
      </c>
      <c r="J90" s="15">
        <f t="shared" si="49"/>
        <v>3727.89725</v>
      </c>
      <c r="K90" s="15">
        <f t="shared" si="50"/>
        <v>-10651.135</v>
      </c>
      <c r="L90" s="15">
        <f t="shared" si="51"/>
        <v>-74703.187749999997</v>
      </c>
      <c r="N90" s="15">
        <f t="shared" si="52"/>
        <v>-40667.97</v>
      </c>
      <c r="O90" s="15">
        <f t="shared" si="53"/>
        <v>2236.7383500000001</v>
      </c>
      <c r="P90" s="15">
        <f t="shared" si="54"/>
        <v>-10651.135</v>
      </c>
      <c r="Q90" s="15">
        <f t="shared" si="55"/>
        <v>-49082.366650000004</v>
      </c>
      <c r="S90" s="15">
        <f t="shared" si="56"/>
        <v>27111.979999999996</v>
      </c>
      <c r="T90" s="15">
        <f t="shared" si="57"/>
        <v>-1491.1588999999999</v>
      </c>
      <c r="U90" s="15">
        <f t="shared" si="58"/>
        <v>0</v>
      </c>
      <c r="V90" s="15">
        <f t="shared" si="59"/>
        <v>25620.821099999997</v>
      </c>
    </row>
    <row r="91" spans="1:22" ht="14.1" customHeight="1" x14ac:dyDescent="0.2">
      <c r="A91" s="41">
        <v>1500</v>
      </c>
      <c r="B91" s="13">
        <v>283</v>
      </c>
      <c r="C91" s="389" t="s">
        <v>707</v>
      </c>
      <c r="D91" s="16">
        <v>20</v>
      </c>
      <c r="E91" s="14" t="s">
        <v>15</v>
      </c>
      <c r="F91" s="14" t="s">
        <v>201</v>
      </c>
      <c r="G91" s="370">
        <f>VLOOKUP(E91,'OTP FED Pre-Tax Balances'!$A:$K,6,FALSE)</f>
        <v>-1208675515</v>
      </c>
      <c r="I91" s="15">
        <f t="shared" si="48"/>
        <v>-423036430.25</v>
      </c>
      <c r="J91" s="15">
        <f t="shared" si="49"/>
        <v>23267003.66375</v>
      </c>
      <c r="K91" s="15">
        <f t="shared" si="50"/>
        <v>-66477153.325000003</v>
      </c>
      <c r="L91" s="15">
        <f t="shared" si="51"/>
        <v>-466246579.91125</v>
      </c>
      <c r="N91" s="15">
        <f t="shared" si="52"/>
        <v>-253821858.14999998</v>
      </c>
      <c r="O91" s="15">
        <f t="shared" si="53"/>
        <v>13960202.198249999</v>
      </c>
      <c r="P91" s="15">
        <f t="shared" si="54"/>
        <v>-66477153.325000003</v>
      </c>
      <c r="Q91" s="15">
        <f t="shared" si="55"/>
        <v>-306338809.27674997</v>
      </c>
      <c r="S91" s="15">
        <f t="shared" si="56"/>
        <v>169214572.10000002</v>
      </c>
      <c r="T91" s="15">
        <f t="shared" si="57"/>
        <v>-9306801.4655000009</v>
      </c>
      <c r="U91" s="15">
        <f t="shared" si="58"/>
        <v>0</v>
      </c>
      <c r="V91" s="15">
        <f t="shared" si="59"/>
        <v>159907770.63450003</v>
      </c>
    </row>
    <row r="92" spans="1:22" ht="14.1" customHeight="1" x14ac:dyDescent="0.2">
      <c r="A92" s="41">
        <v>1500</v>
      </c>
      <c r="B92" s="13">
        <v>283</v>
      </c>
      <c r="C92" s="389" t="s">
        <v>700</v>
      </c>
      <c r="D92" s="16">
        <v>1</v>
      </c>
      <c r="E92" s="14" t="s">
        <v>18</v>
      </c>
      <c r="F92" s="14" t="s">
        <v>204</v>
      </c>
      <c r="G92" s="370">
        <f>VLOOKUP(E92,'OTP FED Pre-Tax Balances'!$A:$K,6,FALSE)</f>
        <v>4526984</v>
      </c>
      <c r="I92" s="15">
        <f t="shared" si="48"/>
        <v>1584444.4</v>
      </c>
      <c r="J92" s="15">
        <f t="shared" si="49"/>
        <v>-87144.441999999995</v>
      </c>
      <c r="K92" s="15">
        <f t="shared" si="50"/>
        <v>248984.12</v>
      </c>
      <c r="L92" s="15">
        <f t="shared" si="51"/>
        <v>1746284.0779999997</v>
      </c>
      <c r="N92" s="15">
        <f t="shared" si="52"/>
        <v>950666.64</v>
      </c>
      <c r="O92" s="15">
        <f t="shared" si="53"/>
        <v>-52286.665199999996</v>
      </c>
      <c r="P92" s="15">
        <f t="shared" si="54"/>
        <v>248984.12</v>
      </c>
      <c r="Q92" s="15">
        <f t="shared" si="55"/>
        <v>1147364.0948000001</v>
      </c>
      <c r="S92" s="15">
        <f t="shared" si="56"/>
        <v>-633777.75999999989</v>
      </c>
      <c r="T92" s="15">
        <f t="shared" si="57"/>
        <v>34857.7768</v>
      </c>
      <c r="U92" s="15">
        <f t="shared" si="58"/>
        <v>0</v>
      </c>
      <c r="V92" s="15">
        <f t="shared" si="59"/>
        <v>-598919.9831999999</v>
      </c>
    </row>
    <row r="93" spans="1:22" s="12" customFormat="1" ht="14.1" customHeight="1" x14ac:dyDescent="0.2">
      <c r="A93" s="41">
        <v>1500</v>
      </c>
      <c r="B93" s="13">
        <v>283</v>
      </c>
      <c r="C93" s="389" t="s">
        <v>701</v>
      </c>
      <c r="D93" s="16">
        <v>30</v>
      </c>
      <c r="E93" s="14" t="s">
        <v>19</v>
      </c>
      <c r="F93" s="14" t="s">
        <v>205</v>
      </c>
      <c r="G93" s="370">
        <f>VLOOKUP(E93,'OTP FED Pre-Tax Balances'!$A:$K,6,FALSE)</f>
        <v>-91533137</v>
      </c>
      <c r="H93" s="2"/>
      <c r="I93" s="15">
        <f t="shared" si="48"/>
        <v>-32036597.949999999</v>
      </c>
      <c r="J93" s="15">
        <f t="shared" si="49"/>
        <v>1762012.8872499999</v>
      </c>
      <c r="K93" s="15">
        <f t="shared" si="50"/>
        <v>-5034322.5350000001</v>
      </c>
      <c r="L93" s="15">
        <f t="shared" si="51"/>
        <v>-35308907.597750001</v>
      </c>
      <c r="M93" s="11"/>
      <c r="N93" s="15">
        <f t="shared" si="52"/>
        <v>-19221958.77</v>
      </c>
      <c r="O93" s="15">
        <f t="shared" si="53"/>
        <v>1057207.7323499999</v>
      </c>
      <c r="P93" s="15">
        <f t="shared" si="54"/>
        <v>-5034322.5350000001</v>
      </c>
      <c r="Q93" s="15">
        <f t="shared" si="55"/>
        <v>-23199073.57265</v>
      </c>
      <c r="R93" s="11"/>
      <c r="S93" s="15">
        <f t="shared" si="56"/>
        <v>12814639.18</v>
      </c>
      <c r="T93" s="15">
        <f t="shared" si="57"/>
        <v>-704805.15489999996</v>
      </c>
      <c r="U93" s="15">
        <f t="shared" si="58"/>
        <v>0</v>
      </c>
      <c r="V93" s="15">
        <f t="shared" si="59"/>
        <v>12109834.0251</v>
      </c>
    </row>
    <row r="94" spans="1:22" s="12" customFormat="1" ht="14.1" customHeight="1" x14ac:dyDescent="0.2">
      <c r="A94" s="41">
        <v>1500</v>
      </c>
      <c r="B94" s="13">
        <v>283</v>
      </c>
      <c r="C94" s="389" t="s">
        <v>707</v>
      </c>
      <c r="D94" s="16">
        <v>20</v>
      </c>
      <c r="E94" s="14" t="s">
        <v>20</v>
      </c>
      <c r="F94" s="14" t="s">
        <v>206</v>
      </c>
      <c r="G94" s="370">
        <f>VLOOKUP(E94,'OTP FED Pre-Tax Balances'!$A:$K,6,FALSE)</f>
        <v>-146014234</v>
      </c>
      <c r="H94" s="2"/>
      <c r="I94" s="15">
        <f t="shared" si="48"/>
        <v>-51104981.899999999</v>
      </c>
      <c r="J94" s="15">
        <f t="shared" si="49"/>
        <v>2810774.0044999998</v>
      </c>
      <c r="K94" s="15">
        <f t="shared" si="50"/>
        <v>-8030782.8700000001</v>
      </c>
      <c r="L94" s="15">
        <f t="shared" si="51"/>
        <v>-56324990.765499994</v>
      </c>
      <c r="M94" s="11"/>
      <c r="N94" s="15">
        <f t="shared" si="52"/>
        <v>-30662989.140000001</v>
      </c>
      <c r="O94" s="15">
        <f t="shared" si="53"/>
        <v>1686464.4027</v>
      </c>
      <c r="P94" s="15">
        <f t="shared" si="54"/>
        <v>-8030782.8700000001</v>
      </c>
      <c r="Q94" s="15">
        <f t="shared" si="55"/>
        <v>-37007307.607299998</v>
      </c>
      <c r="R94" s="11"/>
      <c r="S94" s="15">
        <f t="shared" si="56"/>
        <v>20441992.759999998</v>
      </c>
      <c r="T94" s="15">
        <f t="shared" si="57"/>
        <v>-1124309.6017999998</v>
      </c>
      <c r="U94" s="15">
        <f t="shared" si="58"/>
        <v>0</v>
      </c>
      <c r="V94" s="15">
        <f t="shared" si="59"/>
        <v>19317683.158199999</v>
      </c>
    </row>
    <row r="95" spans="1:22" s="12" customFormat="1" ht="14.1" customHeight="1" x14ac:dyDescent="0.2">
      <c r="A95" s="41">
        <v>1500</v>
      </c>
      <c r="B95" s="13">
        <v>283</v>
      </c>
      <c r="C95" s="389" t="s">
        <v>708</v>
      </c>
      <c r="D95" s="16">
        <v>6</v>
      </c>
      <c r="E95" s="14" t="s">
        <v>22</v>
      </c>
      <c r="F95" s="14" t="s">
        <v>208</v>
      </c>
      <c r="G95" s="370">
        <f>VLOOKUP(E95,'OTP FED Pre-Tax Balances'!$A:$K,6,FALSE)</f>
        <v>-334607191</v>
      </c>
      <c r="H95" s="2"/>
      <c r="I95" s="15">
        <f t="shared" si="48"/>
        <v>-117112516.84999999</v>
      </c>
      <c r="J95" s="15">
        <f t="shared" si="49"/>
        <v>6441188.4267499996</v>
      </c>
      <c r="K95" s="15">
        <f t="shared" si="50"/>
        <v>-18403395.504999999</v>
      </c>
      <c r="L95" s="15">
        <f t="shared" si="51"/>
        <v>-129074723.92824998</v>
      </c>
      <c r="M95" s="11"/>
      <c r="N95" s="15">
        <f t="shared" si="52"/>
        <v>-70267510.109999999</v>
      </c>
      <c r="O95" s="15">
        <f t="shared" si="53"/>
        <v>3864713.0560499998</v>
      </c>
      <c r="P95" s="15">
        <f t="shared" si="54"/>
        <v>-18403395.504999999</v>
      </c>
      <c r="Q95" s="15">
        <f t="shared" si="55"/>
        <v>-84806192.558949992</v>
      </c>
      <c r="R95" s="11"/>
      <c r="S95" s="15">
        <f t="shared" si="56"/>
        <v>46845006.739999995</v>
      </c>
      <c r="T95" s="15">
        <f t="shared" si="57"/>
        <v>-2576475.3706999999</v>
      </c>
      <c r="U95" s="15">
        <f t="shared" si="58"/>
        <v>0</v>
      </c>
      <c r="V95" s="15">
        <f t="shared" si="59"/>
        <v>44268531.369299993</v>
      </c>
    </row>
    <row r="96" spans="1:22" s="12" customFormat="1" ht="14.1" customHeight="1" x14ac:dyDescent="0.2">
      <c r="A96" s="41">
        <v>1500</v>
      </c>
      <c r="B96" s="13">
        <v>283</v>
      </c>
      <c r="C96" s="389" t="s">
        <v>708</v>
      </c>
      <c r="D96" s="16">
        <v>6</v>
      </c>
      <c r="E96" s="14" t="s">
        <v>23</v>
      </c>
      <c r="F96" s="14" t="s">
        <v>209</v>
      </c>
      <c r="G96" s="370">
        <f>VLOOKUP(E96,'OTP FED Pre-Tax Balances'!$A:$K,6,FALSE)</f>
        <v>-210133794</v>
      </c>
      <c r="H96" s="2"/>
      <c r="I96" s="15">
        <f t="shared" si="48"/>
        <v>-73546827.899999991</v>
      </c>
      <c r="J96" s="15">
        <f t="shared" si="49"/>
        <v>4045075.5344999996</v>
      </c>
      <c r="K96" s="15">
        <f t="shared" si="50"/>
        <v>-11557358.67</v>
      </c>
      <c r="L96" s="15">
        <f t="shared" si="51"/>
        <v>-81059111.03549999</v>
      </c>
      <c r="M96" s="11"/>
      <c r="N96" s="15">
        <f t="shared" si="52"/>
        <v>-44128096.740000002</v>
      </c>
      <c r="O96" s="15">
        <f t="shared" si="53"/>
        <v>2427045.3207</v>
      </c>
      <c r="P96" s="15">
        <f t="shared" si="54"/>
        <v>-11557358.67</v>
      </c>
      <c r="Q96" s="15">
        <f t="shared" si="55"/>
        <v>-53258410.089300007</v>
      </c>
      <c r="R96" s="11"/>
      <c r="S96" s="15">
        <f t="shared" si="56"/>
        <v>29418731.159999989</v>
      </c>
      <c r="T96" s="15">
        <f t="shared" si="57"/>
        <v>-1618030.2137999996</v>
      </c>
      <c r="U96" s="15">
        <f t="shared" si="58"/>
        <v>0</v>
      </c>
      <c r="V96" s="15">
        <f t="shared" si="59"/>
        <v>27800700.946199991</v>
      </c>
    </row>
    <row r="97" spans="1:22" s="12" customFormat="1" ht="14.1" customHeight="1" x14ac:dyDescent="0.2">
      <c r="A97" s="41">
        <v>1500</v>
      </c>
      <c r="B97" s="13">
        <v>283</v>
      </c>
      <c r="C97" s="389" t="s">
        <v>708</v>
      </c>
      <c r="D97" s="16">
        <v>6</v>
      </c>
      <c r="E97" s="14" t="s">
        <v>25</v>
      </c>
      <c r="F97" s="14" t="s">
        <v>211</v>
      </c>
      <c r="G97" s="370">
        <f>VLOOKUP(E97,'OTP FED Pre-Tax Balances'!$A:$K,6,FALSE)</f>
        <v>-55767857</v>
      </c>
      <c r="H97" s="2"/>
      <c r="I97" s="15">
        <f t="shared" si="48"/>
        <v>-19518749.949999999</v>
      </c>
      <c r="J97" s="15">
        <f t="shared" si="49"/>
        <v>1073531.24725</v>
      </c>
      <c r="K97" s="15">
        <f t="shared" si="50"/>
        <v>-3067232.1350000002</v>
      </c>
      <c r="L97" s="15">
        <f t="shared" si="51"/>
        <v>-21512450.837749999</v>
      </c>
      <c r="M97" s="11"/>
      <c r="N97" s="15">
        <f t="shared" si="52"/>
        <v>-11711249.969999999</v>
      </c>
      <c r="O97" s="15">
        <f t="shared" si="53"/>
        <v>644118.74835000001</v>
      </c>
      <c r="P97" s="15">
        <f t="shared" si="54"/>
        <v>-3067232.1350000002</v>
      </c>
      <c r="Q97" s="15">
        <f t="shared" si="55"/>
        <v>-14134363.356649999</v>
      </c>
      <c r="R97" s="11"/>
      <c r="S97" s="15">
        <f t="shared" si="56"/>
        <v>7807499.9800000004</v>
      </c>
      <c r="T97" s="15">
        <f t="shared" si="57"/>
        <v>-429412.49890000001</v>
      </c>
      <c r="U97" s="15">
        <f t="shared" si="58"/>
        <v>0</v>
      </c>
      <c r="V97" s="15">
        <f t="shared" si="59"/>
        <v>7378087.4811000004</v>
      </c>
    </row>
    <row r="98" spans="1:22" s="12" customFormat="1" ht="14.1" customHeight="1" x14ac:dyDescent="0.2">
      <c r="A98" s="41">
        <v>1500</v>
      </c>
      <c r="B98" s="13">
        <v>283</v>
      </c>
      <c r="C98" s="389" t="s">
        <v>708</v>
      </c>
      <c r="D98" s="16">
        <v>6</v>
      </c>
      <c r="E98" s="14" t="s">
        <v>26</v>
      </c>
      <c r="F98" s="14" t="s">
        <v>212</v>
      </c>
      <c r="G98" s="370">
        <f>VLOOKUP(E98,'OTP FED Pre-Tax Balances'!$A:$K,6,FALSE)</f>
        <v>-35022306</v>
      </c>
      <c r="H98" s="2"/>
      <c r="I98" s="15">
        <f t="shared" si="48"/>
        <v>-12257807.1</v>
      </c>
      <c r="J98" s="15">
        <f t="shared" si="49"/>
        <v>674179.39049999998</v>
      </c>
      <c r="K98" s="15">
        <f t="shared" si="50"/>
        <v>-1926226.83</v>
      </c>
      <c r="L98" s="15">
        <f t="shared" si="51"/>
        <v>-13509854.5395</v>
      </c>
      <c r="M98" s="11"/>
      <c r="N98" s="15">
        <f t="shared" si="52"/>
        <v>-7354684.2599999998</v>
      </c>
      <c r="O98" s="15">
        <f t="shared" si="53"/>
        <v>404507.63429999998</v>
      </c>
      <c r="P98" s="15">
        <f t="shared" si="54"/>
        <v>-1926226.83</v>
      </c>
      <c r="Q98" s="15">
        <f t="shared" si="55"/>
        <v>-8876403.4556999989</v>
      </c>
      <c r="R98" s="11"/>
      <c r="S98" s="15">
        <f t="shared" si="56"/>
        <v>4903122.84</v>
      </c>
      <c r="T98" s="15">
        <f t="shared" si="57"/>
        <v>-269671.7562</v>
      </c>
      <c r="U98" s="15">
        <f t="shared" si="58"/>
        <v>0</v>
      </c>
      <c r="V98" s="15">
        <f t="shared" si="59"/>
        <v>4633451.0838000001</v>
      </c>
    </row>
    <row r="99" spans="1:22" s="12" customFormat="1" ht="14.1" customHeight="1" x14ac:dyDescent="0.2">
      <c r="A99" s="41">
        <v>1500</v>
      </c>
      <c r="B99" s="13">
        <v>283</v>
      </c>
      <c r="C99" s="389" t="s">
        <v>702</v>
      </c>
      <c r="D99" s="16">
        <v>10</v>
      </c>
      <c r="E99" s="14" t="s">
        <v>28</v>
      </c>
      <c r="F99" s="14" t="s">
        <v>214</v>
      </c>
      <c r="G99" s="370">
        <f>VLOOKUP(E99,'OTP FED Pre-Tax Balances'!$A:$K,6,FALSE)</f>
        <v>-112422793</v>
      </c>
      <c r="H99" s="2"/>
      <c r="I99" s="15">
        <f t="shared" si="48"/>
        <v>-39347977.549999997</v>
      </c>
      <c r="J99" s="15">
        <f t="shared" si="49"/>
        <v>2164138.7652500002</v>
      </c>
      <c r="K99" s="15">
        <f t="shared" si="50"/>
        <v>-6183253.6150000002</v>
      </c>
      <c r="L99" s="15">
        <f t="shared" si="51"/>
        <v>-43367092.399750002</v>
      </c>
      <c r="M99" s="11"/>
      <c r="N99" s="15">
        <f t="shared" si="52"/>
        <v>-23608786.529999997</v>
      </c>
      <c r="O99" s="15">
        <f t="shared" si="53"/>
        <v>1298483.2591500001</v>
      </c>
      <c r="P99" s="15">
        <f t="shared" si="54"/>
        <v>-6183253.6150000002</v>
      </c>
      <c r="Q99" s="15">
        <f t="shared" si="55"/>
        <v>-28493556.885849997</v>
      </c>
      <c r="R99" s="11"/>
      <c r="S99" s="15">
        <f t="shared" si="56"/>
        <v>15739191.02</v>
      </c>
      <c r="T99" s="15">
        <f t="shared" si="57"/>
        <v>-865655.50610000012</v>
      </c>
      <c r="U99" s="15">
        <f t="shared" si="58"/>
        <v>0</v>
      </c>
      <c r="V99" s="15">
        <f t="shared" si="59"/>
        <v>14873535.513899999</v>
      </c>
    </row>
    <row r="100" spans="1:22" s="12" customFormat="1" ht="14.1" customHeight="1" x14ac:dyDescent="0.2">
      <c r="A100" s="41">
        <v>1500</v>
      </c>
      <c r="B100" s="13">
        <v>283</v>
      </c>
      <c r="C100" s="389" t="s">
        <v>701</v>
      </c>
      <c r="D100" s="16">
        <v>30</v>
      </c>
      <c r="E100" s="14" t="s">
        <v>29</v>
      </c>
      <c r="F100" s="14" t="s">
        <v>215</v>
      </c>
      <c r="G100" s="370">
        <f>VLOOKUP(E100,'OTP FED Pre-Tax Balances'!$A:$K,6,FALSE)</f>
        <v>-401333333</v>
      </c>
      <c r="H100" s="2"/>
      <c r="I100" s="15">
        <f t="shared" si="48"/>
        <v>-140466666.54999998</v>
      </c>
      <c r="J100" s="15">
        <f t="shared" si="49"/>
        <v>7725666.6602499997</v>
      </c>
      <c r="K100" s="15">
        <f t="shared" si="50"/>
        <v>-22073333.315000001</v>
      </c>
      <c r="L100" s="15">
        <f t="shared" si="51"/>
        <v>-154814333.20475</v>
      </c>
      <c r="M100" s="11"/>
      <c r="N100" s="15">
        <f t="shared" si="52"/>
        <v>-84279999.929999992</v>
      </c>
      <c r="O100" s="15">
        <f t="shared" si="53"/>
        <v>4635399.99615</v>
      </c>
      <c r="P100" s="15">
        <f t="shared" si="54"/>
        <v>-22073333.315000001</v>
      </c>
      <c r="Q100" s="15">
        <f t="shared" si="55"/>
        <v>-101717933.24884999</v>
      </c>
      <c r="R100" s="11"/>
      <c r="S100" s="15">
        <f t="shared" si="56"/>
        <v>56186666.61999999</v>
      </c>
      <c r="T100" s="15">
        <f t="shared" si="57"/>
        <v>-3090266.6640999997</v>
      </c>
      <c r="U100" s="15">
        <f t="shared" si="58"/>
        <v>0</v>
      </c>
      <c r="V100" s="15">
        <f t="shared" si="59"/>
        <v>53096399.955899991</v>
      </c>
    </row>
    <row r="101" spans="1:22" s="12" customFormat="1" ht="14.1" customHeight="1" x14ac:dyDescent="0.2">
      <c r="A101" s="41">
        <v>1500</v>
      </c>
      <c r="B101" s="13">
        <v>283</v>
      </c>
      <c r="C101" s="389" t="s">
        <v>702</v>
      </c>
      <c r="D101" s="16">
        <v>10</v>
      </c>
      <c r="E101" s="14" t="s">
        <v>30</v>
      </c>
      <c r="F101" s="14" t="s">
        <v>216</v>
      </c>
      <c r="G101" s="370">
        <f>VLOOKUP(E101,'OTP FED Pre-Tax Balances'!$A:$K,6,FALSE)</f>
        <v>-687448</v>
      </c>
      <c r="H101" s="2"/>
      <c r="I101" s="15">
        <f t="shared" si="48"/>
        <v>-240606.8</v>
      </c>
      <c r="J101" s="15">
        <f t="shared" si="49"/>
        <v>13233.374</v>
      </c>
      <c r="K101" s="15">
        <f t="shared" si="50"/>
        <v>-37809.64</v>
      </c>
      <c r="L101" s="15">
        <f t="shared" si="51"/>
        <v>-265183.06599999999</v>
      </c>
      <c r="M101" s="11"/>
      <c r="N101" s="15">
        <f t="shared" si="52"/>
        <v>-144364.07999999999</v>
      </c>
      <c r="O101" s="15">
        <f t="shared" si="53"/>
        <v>7940.0243999999993</v>
      </c>
      <c r="P101" s="15">
        <f t="shared" si="54"/>
        <v>-37809.64</v>
      </c>
      <c r="Q101" s="15">
        <f t="shared" si="55"/>
        <v>-174233.69559999998</v>
      </c>
      <c r="R101" s="11"/>
      <c r="S101" s="15">
        <f t="shared" si="56"/>
        <v>96242.72</v>
      </c>
      <c r="T101" s="15">
        <f t="shared" si="57"/>
        <v>-5293.3496000000005</v>
      </c>
      <c r="U101" s="15">
        <f t="shared" si="58"/>
        <v>0</v>
      </c>
      <c r="V101" s="15">
        <f t="shared" si="59"/>
        <v>90949.3704</v>
      </c>
    </row>
    <row r="102" spans="1:22" s="12" customFormat="1" ht="14.1" customHeight="1" x14ac:dyDescent="0.2">
      <c r="A102" s="41">
        <v>1500</v>
      </c>
      <c r="B102" s="13">
        <v>283</v>
      </c>
      <c r="C102" s="389" t="s">
        <v>695</v>
      </c>
      <c r="D102" s="16">
        <v>30</v>
      </c>
      <c r="E102" s="14" t="s">
        <v>31</v>
      </c>
      <c r="F102" s="14" t="s">
        <v>217</v>
      </c>
      <c r="G102" s="17">
        <f>VLOOKUP(E102,'OTP FED Pre-Tax Balances'!$A:$K,6,FALSE)</f>
        <v>-1000000000</v>
      </c>
      <c r="H102" s="2"/>
      <c r="I102" s="15">
        <f t="shared" si="48"/>
        <v>-350000000</v>
      </c>
      <c r="J102" s="15">
        <f t="shared" si="49"/>
        <v>19250000</v>
      </c>
      <c r="K102" s="15">
        <f t="shared" si="50"/>
        <v>-55000000</v>
      </c>
      <c r="L102" s="15">
        <f t="shared" si="51"/>
        <v>-385750000</v>
      </c>
      <c r="M102" s="11"/>
      <c r="N102" s="15">
        <f t="shared" si="52"/>
        <v>-210000000</v>
      </c>
      <c r="O102" s="15">
        <f t="shared" si="53"/>
        <v>11550000</v>
      </c>
      <c r="P102" s="15">
        <f t="shared" si="54"/>
        <v>-55000000</v>
      </c>
      <c r="Q102" s="15">
        <f t="shared" si="55"/>
        <v>-253450000</v>
      </c>
      <c r="R102" s="11"/>
      <c r="S102" s="15">
        <f t="shared" si="56"/>
        <v>140000000</v>
      </c>
      <c r="T102" s="15">
        <f t="shared" si="57"/>
        <v>-7700000</v>
      </c>
      <c r="U102" s="15">
        <f t="shared" si="58"/>
        <v>0</v>
      </c>
      <c r="V102" s="15">
        <f t="shared" si="59"/>
        <v>132300000</v>
      </c>
    </row>
    <row r="103" spans="1:22" s="12" customFormat="1" ht="14.1" customHeight="1" x14ac:dyDescent="0.2">
      <c r="A103" s="41">
        <v>1500</v>
      </c>
      <c r="B103" s="13">
        <v>283</v>
      </c>
      <c r="C103" s="389" t="s">
        <v>701</v>
      </c>
      <c r="D103" s="16">
        <v>30</v>
      </c>
      <c r="E103" s="14" t="s">
        <v>38</v>
      </c>
      <c r="F103" s="14" t="s">
        <v>224</v>
      </c>
      <c r="G103" s="370">
        <f>VLOOKUP(E103,'OTP FED Pre-Tax Balances'!$A:$K,6,FALSE)</f>
        <v>-1812112</v>
      </c>
      <c r="H103" s="2"/>
      <c r="I103" s="15">
        <f t="shared" si="48"/>
        <v>-634239.19999999995</v>
      </c>
      <c r="J103" s="15">
        <f t="shared" si="49"/>
        <v>34883.155999999995</v>
      </c>
      <c r="K103" s="15">
        <f t="shared" si="50"/>
        <v>-99666.16</v>
      </c>
      <c r="L103" s="15">
        <f t="shared" si="51"/>
        <v>-699022.20400000003</v>
      </c>
      <c r="M103" s="11"/>
      <c r="N103" s="15">
        <f t="shared" si="52"/>
        <v>-380543.51999999996</v>
      </c>
      <c r="O103" s="15">
        <f t="shared" si="53"/>
        <v>20929.893599999999</v>
      </c>
      <c r="P103" s="15">
        <f t="shared" si="54"/>
        <v>-99666.16</v>
      </c>
      <c r="Q103" s="15">
        <f t="shared" si="55"/>
        <v>-459279.78639999998</v>
      </c>
      <c r="R103" s="11"/>
      <c r="S103" s="15">
        <f t="shared" si="56"/>
        <v>253695.68</v>
      </c>
      <c r="T103" s="15">
        <f t="shared" si="57"/>
        <v>-13953.262399999996</v>
      </c>
      <c r="U103" s="15">
        <f t="shared" si="58"/>
        <v>0</v>
      </c>
      <c r="V103" s="15">
        <f t="shared" si="59"/>
        <v>239742.41759999999</v>
      </c>
    </row>
    <row r="104" spans="1:22" s="12" customFormat="1" ht="14.1" customHeight="1" x14ac:dyDescent="0.2">
      <c r="A104" s="41">
        <v>1500</v>
      </c>
      <c r="B104" s="13">
        <v>283</v>
      </c>
      <c r="C104" s="389" t="s">
        <v>705</v>
      </c>
      <c r="D104" s="16">
        <v>2</v>
      </c>
      <c r="E104" s="14" t="s">
        <v>39</v>
      </c>
      <c r="F104" s="14" t="s">
        <v>225</v>
      </c>
      <c r="G104" s="370">
        <f>VLOOKUP(E104,'OTP FED Pre-Tax Balances'!$A:$K,6,FALSE)</f>
        <v>-2519917</v>
      </c>
      <c r="H104" s="2"/>
      <c r="I104" s="15">
        <f t="shared" si="48"/>
        <v>-881970.95</v>
      </c>
      <c r="J104" s="15">
        <f t="shared" si="49"/>
        <v>48508.402249999999</v>
      </c>
      <c r="K104" s="15">
        <f t="shared" si="50"/>
        <v>-138595.435</v>
      </c>
      <c r="L104" s="15">
        <f t="shared" si="51"/>
        <v>-972057.98274999997</v>
      </c>
      <c r="M104" s="11"/>
      <c r="N104" s="15">
        <f t="shared" si="52"/>
        <v>-529182.56999999995</v>
      </c>
      <c r="O104" s="15">
        <f t="shared" si="53"/>
        <v>29105.04135</v>
      </c>
      <c r="P104" s="15">
        <f t="shared" si="54"/>
        <v>-138595.435</v>
      </c>
      <c r="Q104" s="15">
        <f t="shared" si="55"/>
        <v>-638672.96364999993</v>
      </c>
      <c r="R104" s="11"/>
      <c r="S104" s="15">
        <f t="shared" si="56"/>
        <v>352788.38</v>
      </c>
      <c r="T104" s="15">
        <f t="shared" si="57"/>
        <v>-19403.3609</v>
      </c>
      <c r="U104" s="15">
        <f t="shared" si="58"/>
        <v>0</v>
      </c>
      <c r="V104" s="15">
        <f t="shared" si="59"/>
        <v>333385.01910000003</v>
      </c>
    </row>
    <row r="105" spans="1:22" s="12" customFormat="1" ht="14.1" customHeight="1" x14ac:dyDescent="0.2">
      <c r="A105" s="41">
        <v>1500</v>
      </c>
      <c r="B105" s="13">
        <v>283</v>
      </c>
      <c r="C105" s="389" t="s">
        <v>697</v>
      </c>
      <c r="D105" s="16">
        <v>5</v>
      </c>
      <c r="E105" s="14" t="s">
        <v>40</v>
      </c>
      <c r="F105" s="14" t="s">
        <v>226</v>
      </c>
      <c r="G105" s="370">
        <f>VLOOKUP(E105,'OTP FED Pre-Tax Balances'!$A:$K,6,FALSE)</f>
        <v>-92180381</v>
      </c>
      <c r="H105" s="2"/>
      <c r="I105" s="15">
        <f t="shared" si="48"/>
        <v>-32263133.349999998</v>
      </c>
      <c r="J105" s="15">
        <f t="shared" si="49"/>
        <v>1774472.3342499998</v>
      </c>
      <c r="K105" s="15">
        <f t="shared" si="50"/>
        <v>-5069920.9550000001</v>
      </c>
      <c r="L105" s="15">
        <f t="shared" si="51"/>
        <v>-35558581.970749997</v>
      </c>
      <c r="M105" s="11"/>
      <c r="N105" s="15">
        <f t="shared" si="52"/>
        <v>-19357880.009999998</v>
      </c>
      <c r="O105" s="15">
        <f t="shared" si="53"/>
        <v>1064683.4005499999</v>
      </c>
      <c r="P105" s="15">
        <f t="shared" si="54"/>
        <v>-5069920.9550000001</v>
      </c>
      <c r="Q105" s="15">
        <f t="shared" si="55"/>
        <v>-23363117.564449996</v>
      </c>
      <c r="R105" s="11"/>
      <c r="S105" s="15">
        <f t="shared" si="56"/>
        <v>12905253.34</v>
      </c>
      <c r="T105" s="15">
        <f t="shared" si="57"/>
        <v>-709788.93369999994</v>
      </c>
      <c r="U105" s="15">
        <f t="shared" si="58"/>
        <v>0</v>
      </c>
      <c r="V105" s="15">
        <f t="shared" si="59"/>
        <v>12195464.406300001</v>
      </c>
    </row>
    <row r="106" spans="1:22" s="12" customFormat="1" ht="14.1" customHeight="1" x14ac:dyDescent="0.2">
      <c r="A106" s="41">
        <v>1500</v>
      </c>
      <c r="B106" s="13">
        <v>283</v>
      </c>
      <c r="C106" s="389" t="s">
        <v>701</v>
      </c>
      <c r="D106" s="16">
        <v>30</v>
      </c>
      <c r="E106" s="14" t="s">
        <v>75</v>
      </c>
      <c r="F106" s="14" t="s">
        <v>261</v>
      </c>
      <c r="G106" s="370">
        <f>VLOOKUP(E106,'OTP FED Pre-Tax Balances'!$A:$K,6,FALSE)</f>
        <v>-1350835622</v>
      </c>
      <c r="H106" s="2"/>
      <c r="I106" s="15">
        <f t="shared" si="48"/>
        <v>-472792467.69999999</v>
      </c>
      <c r="J106" s="15">
        <f t="shared" si="49"/>
        <v>26003585.723499995</v>
      </c>
      <c r="K106" s="15">
        <f t="shared" si="50"/>
        <v>-74295959.209999993</v>
      </c>
      <c r="L106" s="15">
        <f t="shared" si="51"/>
        <v>-521084841.18649995</v>
      </c>
      <c r="M106" s="11"/>
      <c r="N106" s="15">
        <f t="shared" si="52"/>
        <v>-283675480.62</v>
      </c>
      <c r="O106" s="15">
        <f t="shared" si="53"/>
        <v>15602151.434099998</v>
      </c>
      <c r="P106" s="15">
        <f t="shared" si="54"/>
        <v>-74295959.209999993</v>
      </c>
      <c r="Q106" s="15">
        <f t="shared" si="55"/>
        <v>-342369288.39590001</v>
      </c>
      <c r="R106" s="11"/>
      <c r="S106" s="15">
        <f t="shared" si="56"/>
        <v>189116987.07999998</v>
      </c>
      <c r="T106" s="15">
        <f t="shared" si="57"/>
        <v>-10401434.289399996</v>
      </c>
      <c r="U106" s="15">
        <f t="shared" si="58"/>
        <v>0</v>
      </c>
      <c r="V106" s="15">
        <f t="shared" si="59"/>
        <v>178715552.7906</v>
      </c>
    </row>
    <row r="107" spans="1:22" s="12" customFormat="1" ht="14.1" customHeight="1" x14ac:dyDescent="0.2">
      <c r="A107" s="41">
        <v>1500</v>
      </c>
      <c r="B107" s="13">
        <v>283</v>
      </c>
      <c r="C107" s="389" t="s">
        <v>697</v>
      </c>
      <c r="D107" s="16">
        <v>5</v>
      </c>
      <c r="E107" s="14" t="s">
        <v>91</v>
      </c>
      <c r="F107" s="14" t="s">
        <v>277</v>
      </c>
      <c r="G107" s="370">
        <f>VLOOKUP(E107,'OTP FED Pre-Tax Balances'!$A:$K,6,FALSE)</f>
        <v>-1358477</v>
      </c>
      <c r="H107" s="2"/>
      <c r="I107" s="15">
        <f t="shared" si="48"/>
        <v>-475466.94999999995</v>
      </c>
      <c r="J107" s="15">
        <f t="shared" si="49"/>
        <v>26150.682249999998</v>
      </c>
      <c r="K107" s="15">
        <f t="shared" si="50"/>
        <v>-74716.235000000001</v>
      </c>
      <c r="L107" s="15">
        <f t="shared" si="51"/>
        <v>-524032.50274999993</v>
      </c>
      <c r="M107" s="11"/>
      <c r="N107" s="15">
        <f t="shared" si="52"/>
        <v>-285280.17</v>
      </c>
      <c r="O107" s="15">
        <f t="shared" si="53"/>
        <v>15690.40935</v>
      </c>
      <c r="P107" s="15">
        <f t="shared" si="54"/>
        <v>-74716.235000000001</v>
      </c>
      <c r="Q107" s="15">
        <f t="shared" si="55"/>
        <v>-344305.99565</v>
      </c>
      <c r="R107" s="11"/>
      <c r="S107" s="15">
        <f t="shared" si="56"/>
        <v>190186.77999999997</v>
      </c>
      <c r="T107" s="15">
        <f t="shared" si="57"/>
        <v>-10460.272899999998</v>
      </c>
      <c r="U107" s="15">
        <f t="shared" si="58"/>
        <v>0</v>
      </c>
      <c r="V107" s="15">
        <f t="shared" si="59"/>
        <v>179726.50709999996</v>
      </c>
    </row>
    <row r="108" spans="1:22" s="12" customFormat="1" ht="14.1" customHeight="1" x14ac:dyDescent="0.2">
      <c r="A108" s="41">
        <v>1500</v>
      </c>
      <c r="B108" s="13">
        <v>283</v>
      </c>
      <c r="C108" s="389" t="s">
        <v>700</v>
      </c>
      <c r="D108" s="16">
        <v>1</v>
      </c>
      <c r="E108" s="14" t="s">
        <v>94</v>
      </c>
      <c r="F108" s="14" t="s">
        <v>280</v>
      </c>
      <c r="G108" s="370">
        <f>VLOOKUP(E108,'OTP FED Pre-Tax Balances'!$A:$K,6,FALSE)</f>
        <v>-30351</v>
      </c>
      <c r="H108" s="2"/>
      <c r="I108" s="15">
        <f t="shared" si="48"/>
        <v>-10622.849999999999</v>
      </c>
      <c r="J108" s="15">
        <f t="shared" si="49"/>
        <v>584.25675000000001</v>
      </c>
      <c r="K108" s="15">
        <f t="shared" si="50"/>
        <v>-1669.3050000000001</v>
      </c>
      <c r="L108" s="15">
        <f t="shared" si="51"/>
        <v>-11707.898249999998</v>
      </c>
      <c r="M108" s="11"/>
      <c r="N108" s="15">
        <f t="shared" si="52"/>
        <v>-6373.71</v>
      </c>
      <c r="O108" s="15">
        <f t="shared" si="53"/>
        <v>350.55405000000002</v>
      </c>
      <c r="P108" s="15">
        <f t="shared" si="54"/>
        <v>-1669.3050000000001</v>
      </c>
      <c r="Q108" s="15">
        <f t="shared" si="55"/>
        <v>-7692.4609500000006</v>
      </c>
      <c r="R108" s="11"/>
      <c r="S108" s="15">
        <f t="shared" si="56"/>
        <v>4249.1399999999985</v>
      </c>
      <c r="T108" s="15">
        <f t="shared" si="57"/>
        <v>-233.70269999999999</v>
      </c>
      <c r="U108" s="15">
        <f t="shared" si="58"/>
        <v>0</v>
      </c>
      <c r="V108" s="15">
        <f t="shared" si="59"/>
        <v>4015.4372999999987</v>
      </c>
    </row>
    <row r="109" spans="1:22" s="12" customFormat="1" ht="14.1" customHeight="1" x14ac:dyDescent="0.2">
      <c r="A109" s="41">
        <v>1500</v>
      </c>
      <c r="B109" s="13">
        <v>283</v>
      </c>
      <c r="C109" s="389" t="s">
        <v>700</v>
      </c>
      <c r="D109" s="16">
        <v>1</v>
      </c>
      <c r="E109" s="14" t="s">
        <v>95</v>
      </c>
      <c r="F109" s="14" t="s">
        <v>281</v>
      </c>
      <c r="G109" s="370">
        <f>VLOOKUP(E109,'OTP FED Pre-Tax Balances'!$A:$K,6,FALSE)</f>
        <v>-6358244</v>
      </c>
      <c r="H109" s="2"/>
      <c r="I109" s="15">
        <f t="shared" si="48"/>
        <v>-2225385.4</v>
      </c>
      <c r="J109" s="15">
        <f t="shared" si="49"/>
        <v>122396.19699999999</v>
      </c>
      <c r="K109" s="15">
        <f t="shared" si="50"/>
        <v>-349703.42</v>
      </c>
      <c r="L109" s="15">
        <f t="shared" si="51"/>
        <v>-2452692.6229999997</v>
      </c>
      <c r="M109" s="11"/>
      <c r="N109" s="15">
        <f t="shared" si="52"/>
        <v>-1335231.24</v>
      </c>
      <c r="O109" s="15">
        <f t="shared" si="53"/>
        <v>73437.718199999988</v>
      </c>
      <c r="P109" s="15">
        <f t="shared" si="54"/>
        <v>-349703.42</v>
      </c>
      <c r="Q109" s="15">
        <f t="shared" si="55"/>
        <v>-1611496.9417999999</v>
      </c>
      <c r="R109" s="11"/>
      <c r="S109" s="15">
        <f t="shared" si="56"/>
        <v>890154.15999999992</v>
      </c>
      <c r="T109" s="15">
        <f t="shared" si="57"/>
        <v>-48958.478799999997</v>
      </c>
      <c r="U109" s="15">
        <f t="shared" si="58"/>
        <v>0</v>
      </c>
      <c r="V109" s="15">
        <f t="shared" si="59"/>
        <v>841195.68119999988</v>
      </c>
    </row>
    <row r="110" spans="1:22" s="12" customFormat="1" ht="14.1" customHeight="1" x14ac:dyDescent="0.2">
      <c r="A110" s="41">
        <v>1500</v>
      </c>
      <c r="B110" s="13">
        <v>283</v>
      </c>
      <c r="C110" s="389" t="s">
        <v>700</v>
      </c>
      <c r="D110" s="16">
        <v>1</v>
      </c>
      <c r="E110" s="14" t="s">
        <v>100</v>
      </c>
      <c r="F110" s="14" t="s">
        <v>286</v>
      </c>
      <c r="G110" s="370">
        <f>VLOOKUP(E110,'OTP FED Pre-Tax Balances'!$A:$K,6,FALSE)</f>
        <v>-1008527</v>
      </c>
      <c r="H110" s="2"/>
      <c r="I110" s="15">
        <f t="shared" si="48"/>
        <v>-352984.44999999995</v>
      </c>
      <c r="J110" s="15">
        <f t="shared" si="49"/>
        <v>19414.144749999999</v>
      </c>
      <c r="K110" s="15">
        <f t="shared" si="50"/>
        <v>-55468.985000000001</v>
      </c>
      <c r="L110" s="15">
        <f t="shared" si="51"/>
        <v>-389039.29024999996</v>
      </c>
      <c r="M110" s="11"/>
      <c r="N110" s="15">
        <f t="shared" si="52"/>
        <v>-211790.66999999998</v>
      </c>
      <c r="O110" s="15">
        <f t="shared" si="53"/>
        <v>11648.486849999999</v>
      </c>
      <c r="P110" s="15">
        <f t="shared" si="54"/>
        <v>-55468.985000000001</v>
      </c>
      <c r="Q110" s="15">
        <f t="shared" si="55"/>
        <v>-255611.16814999998</v>
      </c>
      <c r="R110" s="11"/>
      <c r="S110" s="15">
        <f t="shared" si="56"/>
        <v>141193.77999999997</v>
      </c>
      <c r="T110" s="15">
        <f t="shared" si="57"/>
        <v>-7765.6579000000002</v>
      </c>
      <c r="U110" s="15">
        <f t="shared" si="58"/>
        <v>0</v>
      </c>
      <c r="V110" s="15">
        <f t="shared" si="59"/>
        <v>133428.12209999998</v>
      </c>
    </row>
    <row r="111" spans="1:22" s="12" customFormat="1" ht="14.1" customHeight="1" x14ac:dyDescent="0.2">
      <c r="A111" s="41">
        <v>1500</v>
      </c>
      <c r="B111" s="13">
        <v>283</v>
      </c>
      <c r="C111" s="389" t="s">
        <v>700</v>
      </c>
      <c r="D111" s="16">
        <v>1</v>
      </c>
      <c r="E111" s="14" t="s">
        <v>102</v>
      </c>
      <c r="F111" s="14" t="s">
        <v>288</v>
      </c>
      <c r="G111" s="370">
        <f>VLOOKUP(E111,'OTP FED Pre-Tax Balances'!$A:$K,6,FALSE)</f>
        <v>-3389162</v>
      </c>
      <c r="H111" s="2"/>
      <c r="I111" s="15">
        <f t="shared" si="48"/>
        <v>-1186206.7</v>
      </c>
      <c r="J111" s="15">
        <f t="shared" si="49"/>
        <v>65241.368499999997</v>
      </c>
      <c r="K111" s="15">
        <f t="shared" si="50"/>
        <v>-186403.91</v>
      </c>
      <c r="L111" s="15">
        <f t="shared" si="51"/>
        <v>-1307369.2414999998</v>
      </c>
      <c r="M111" s="11"/>
      <c r="N111" s="15">
        <f t="shared" si="52"/>
        <v>-711724.02</v>
      </c>
      <c r="O111" s="15">
        <f t="shared" si="53"/>
        <v>39144.821100000001</v>
      </c>
      <c r="P111" s="15">
        <f t="shared" si="54"/>
        <v>-186403.91</v>
      </c>
      <c r="Q111" s="15">
        <f t="shared" si="55"/>
        <v>-858983.10889999999</v>
      </c>
      <c r="R111" s="11"/>
      <c r="S111" s="15">
        <f t="shared" si="56"/>
        <v>474482.67999999993</v>
      </c>
      <c r="T111" s="15">
        <f t="shared" si="57"/>
        <v>-26096.547399999996</v>
      </c>
      <c r="U111" s="15">
        <f t="shared" si="58"/>
        <v>0</v>
      </c>
      <c r="V111" s="15">
        <f t="shared" si="59"/>
        <v>448386.13259999995</v>
      </c>
    </row>
    <row r="112" spans="1:22" s="12" customFormat="1" ht="14.1" customHeight="1" x14ac:dyDescent="0.2">
      <c r="A112" s="41">
        <v>1500</v>
      </c>
      <c r="B112" s="13">
        <v>283</v>
      </c>
      <c r="C112" s="389" t="s">
        <v>700</v>
      </c>
      <c r="D112" s="16">
        <v>1</v>
      </c>
      <c r="E112" s="14" t="s">
        <v>106</v>
      </c>
      <c r="F112" s="14" t="s">
        <v>292</v>
      </c>
      <c r="G112" s="370">
        <f>VLOOKUP(E112,'OTP FED Pre-Tax Balances'!$A:$K,6,FALSE)</f>
        <v>-9656036</v>
      </c>
      <c r="H112" s="2"/>
      <c r="I112" s="15">
        <f t="shared" si="48"/>
        <v>-3379612.5999999996</v>
      </c>
      <c r="J112" s="15">
        <f t="shared" si="49"/>
        <v>185878.69299999997</v>
      </c>
      <c r="K112" s="15">
        <f t="shared" si="50"/>
        <v>-531081.98</v>
      </c>
      <c r="L112" s="15">
        <f t="shared" si="51"/>
        <v>-3724815.8869999996</v>
      </c>
      <c r="M112" s="11"/>
      <c r="N112" s="15">
        <f t="shared" si="52"/>
        <v>-2027767.5599999998</v>
      </c>
      <c r="O112" s="15">
        <f t="shared" si="53"/>
        <v>111527.21579999999</v>
      </c>
      <c r="P112" s="15">
        <f t="shared" si="54"/>
        <v>-531081.98</v>
      </c>
      <c r="Q112" s="15">
        <f t="shared" si="55"/>
        <v>-2447322.3241999997</v>
      </c>
      <c r="R112" s="11"/>
      <c r="S112" s="15">
        <f t="shared" si="56"/>
        <v>1351845.0399999998</v>
      </c>
      <c r="T112" s="15">
        <f t="shared" si="57"/>
        <v>-74351.477199999979</v>
      </c>
      <c r="U112" s="15">
        <f t="shared" si="58"/>
        <v>0</v>
      </c>
      <c r="V112" s="15">
        <f t="shared" si="59"/>
        <v>1277493.5627999997</v>
      </c>
    </row>
    <row r="113" spans="1:22" s="12" customFormat="1" ht="14.1" customHeight="1" x14ac:dyDescent="0.2">
      <c r="A113" s="41">
        <v>1500</v>
      </c>
      <c r="B113" s="13">
        <v>283</v>
      </c>
      <c r="C113" s="389" t="s">
        <v>700</v>
      </c>
      <c r="D113" s="16">
        <v>1</v>
      </c>
      <c r="E113" s="14" t="s">
        <v>107</v>
      </c>
      <c r="F113" s="14" t="s">
        <v>293</v>
      </c>
      <c r="G113" s="370">
        <f>VLOOKUP(E113,'OTP FED Pre-Tax Balances'!$A:$K,6,FALSE)</f>
        <v>-10101485</v>
      </c>
      <c r="H113" s="2"/>
      <c r="I113" s="15">
        <f t="shared" si="48"/>
        <v>-3535519.75</v>
      </c>
      <c r="J113" s="15">
        <f t="shared" si="49"/>
        <v>194453.58624999999</v>
      </c>
      <c r="K113" s="15">
        <f t="shared" si="50"/>
        <v>-555581.67500000005</v>
      </c>
      <c r="L113" s="15">
        <f t="shared" si="51"/>
        <v>-3896647.8387500001</v>
      </c>
      <c r="M113" s="11"/>
      <c r="N113" s="15">
        <f t="shared" si="52"/>
        <v>-2121311.85</v>
      </c>
      <c r="O113" s="15">
        <f t="shared" si="53"/>
        <v>116672.15175</v>
      </c>
      <c r="P113" s="15">
        <f t="shared" si="54"/>
        <v>-555581.67500000005</v>
      </c>
      <c r="Q113" s="15">
        <f t="shared" si="55"/>
        <v>-2560221.3732500002</v>
      </c>
      <c r="R113" s="11"/>
      <c r="S113" s="15">
        <f t="shared" si="56"/>
        <v>1414207.9</v>
      </c>
      <c r="T113" s="15">
        <f t="shared" si="57"/>
        <v>-77781.434499999988</v>
      </c>
      <c r="U113" s="15">
        <f t="shared" si="58"/>
        <v>0</v>
      </c>
      <c r="V113" s="15">
        <f t="shared" si="59"/>
        <v>1336426.4654999999</v>
      </c>
    </row>
    <row r="114" spans="1:22" s="12" customFormat="1" ht="14.1" customHeight="1" x14ac:dyDescent="0.2">
      <c r="A114" s="41">
        <v>1500</v>
      </c>
      <c r="B114" s="13">
        <v>283</v>
      </c>
      <c r="C114" s="389" t="s">
        <v>703</v>
      </c>
      <c r="D114" s="16">
        <v>21</v>
      </c>
      <c r="E114" s="14" t="s">
        <v>112</v>
      </c>
      <c r="F114" s="14" t="s">
        <v>298</v>
      </c>
      <c r="G114" s="370">
        <f>VLOOKUP(E114,'OTP FED Pre-Tax Balances'!$A:$K,6,FALSE)</f>
        <v>-26032853</v>
      </c>
      <c r="H114" s="2"/>
      <c r="I114" s="15">
        <f t="shared" si="48"/>
        <v>-9111498.5499999989</v>
      </c>
      <c r="J114" s="15">
        <f t="shared" si="49"/>
        <v>501132.42024999997</v>
      </c>
      <c r="K114" s="15">
        <f t="shared" si="50"/>
        <v>-1431806.915</v>
      </c>
      <c r="L114" s="15">
        <f t="shared" si="51"/>
        <v>-10042173.044749998</v>
      </c>
      <c r="M114" s="11"/>
      <c r="N114" s="15">
        <f t="shared" si="52"/>
        <v>-5466899.1299999999</v>
      </c>
      <c r="O114" s="15">
        <f t="shared" si="53"/>
        <v>300679.45214999997</v>
      </c>
      <c r="P114" s="15">
        <f t="shared" si="54"/>
        <v>-1431806.915</v>
      </c>
      <c r="Q114" s="15">
        <f t="shared" si="55"/>
        <v>-6598026.5928499997</v>
      </c>
      <c r="R114" s="11"/>
      <c r="S114" s="15">
        <f t="shared" si="56"/>
        <v>3644599.419999999</v>
      </c>
      <c r="T114" s="15">
        <f t="shared" si="57"/>
        <v>-200452.9681</v>
      </c>
      <c r="U114" s="15">
        <f t="shared" si="58"/>
        <v>0</v>
      </c>
      <c r="V114" s="15">
        <f t="shared" si="59"/>
        <v>3444146.4518999988</v>
      </c>
    </row>
    <row r="115" spans="1:22" s="12" customFormat="1" ht="14.1" customHeight="1" x14ac:dyDescent="0.2">
      <c r="A115" s="41">
        <v>1500</v>
      </c>
      <c r="B115" s="13">
        <v>283</v>
      </c>
      <c r="C115" s="389" t="s">
        <v>704</v>
      </c>
      <c r="D115" s="16">
        <v>22</v>
      </c>
      <c r="E115" s="14" t="s">
        <v>114</v>
      </c>
      <c r="F115" s="14" t="s">
        <v>300</v>
      </c>
      <c r="G115" s="370">
        <f>VLOOKUP(E115,'OTP FED Pre-Tax Balances'!$A:$K,6,FALSE)</f>
        <v>-11146139</v>
      </c>
      <c r="H115" s="2"/>
      <c r="I115" s="15">
        <f t="shared" si="48"/>
        <v>-3901148.65</v>
      </c>
      <c r="J115" s="15">
        <f t="shared" si="49"/>
        <v>214563.17574999999</v>
      </c>
      <c r="K115" s="15">
        <f t="shared" si="50"/>
        <v>-613037.64500000002</v>
      </c>
      <c r="L115" s="15">
        <f t="shared" si="51"/>
        <v>-4299623.1192499995</v>
      </c>
      <c r="M115" s="11"/>
      <c r="N115" s="15">
        <f t="shared" si="52"/>
        <v>-2340689.19</v>
      </c>
      <c r="O115" s="15">
        <f t="shared" si="53"/>
        <v>128737.90545000001</v>
      </c>
      <c r="P115" s="15">
        <f t="shared" si="54"/>
        <v>-613037.64500000002</v>
      </c>
      <c r="Q115" s="15">
        <f t="shared" si="55"/>
        <v>-2824988.92955</v>
      </c>
      <c r="R115" s="11"/>
      <c r="S115" s="15">
        <f t="shared" si="56"/>
        <v>1560459.46</v>
      </c>
      <c r="T115" s="15">
        <f t="shared" si="57"/>
        <v>-85825.270299999989</v>
      </c>
      <c r="U115" s="15">
        <f t="shared" si="58"/>
        <v>0</v>
      </c>
      <c r="V115" s="15">
        <f t="shared" si="59"/>
        <v>1474634.1897</v>
      </c>
    </row>
    <row r="116" spans="1:22" s="12" customFormat="1" ht="14.1" customHeight="1" x14ac:dyDescent="0.2">
      <c r="A116" s="41">
        <v>1500</v>
      </c>
      <c r="B116" s="13">
        <v>283</v>
      </c>
      <c r="C116" s="389" t="s">
        <v>703</v>
      </c>
      <c r="D116" s="16">
        <v>21</v>
      </c>
      <c r="E116" s="14" t="s">
        <v>116</v>
      </c>
      <c r="F116" s="14" t="s">
        <v>302</v>
      </c>
      <c r="G116" s="370">
        <f>VLOOKUP(E116,'OTP FED Pre-Tax Balances'!$A:$K,6,FALSE)</f>
        <v>-77040475</v>
      </c>
      <c r="H116" s="2"/>
      <c r="I116" s="15">
        <f t="shared" si="48"/>
        <v>-26964166.25</v>
      </c>
      <c r="J116" s="15">
        <f t="shared" si="49"/>
        <v>1483029.1437499998</v>
      </c>
      <c r="K116" s="15">
        <f t="shared" si="50"/>
        <v>-4237226.125</v>
      </c>
      <c r="L116" s="15">
        <f t="shared" si="51"/>
        <v>-29718363.231249999</v>
      </c>
      <c r="M116" s="11"/>
      <c r="N116" s="15">
        <f t="shared" si="52"/>
        <v>-16178499.75</v>
      </c>
      <c r="O116" s="15">
        <f t="shared" si="53"/>
        <v>889817.48624999996</v>
      </c>
      <c r="P116" s="15">
        <f t="shared" si="54"/>
        <v>-4237226.125</v>
      </c>
      <c r="Q116" s="15">
        <f t="shared" si="55"/>
        <v>-19525908.388750002</v>
      </c>
      <c r="R116" s="11"/>
      <c r="S116" s="15">
        <f t="shared" si="56"/>
        <v>10785666.5</v>
      </c>
      <c r="T116" s="15">
        <f t="shared" si="57"/>
        <v>-593211.65749999986</v>
      </c>
      <c r="U116" s="15">
        <f t="shared" si="58"/>
        <v>0</v>
      </c>
      <c r="V116" s="15">
        <f t="shared" si="59"/>
        <v>10192454.842499999</v>
      </c>
    </row>
    <row r="117" spans="1:22" s="12" customFormat="1" ht="14.1" customHeight="1" x14ac:dyDescent="0.2">
      <c r="A117" s="41">
        <v>1500</v>
      </c>
      <c r="B117" s="13">
        <v>283</v>
      </c>
      <c r="C117" s="389" t="s">
        <v>701</v>
      </c>
      <c r="D117" s="16">
        <v>30</v>
      </c>
      <c r="E117" s="14" t="s">
        <v>122</v>
      </c>
      <c r="F117" s="14" t="s">
        <v>308</v>
      </c>
      <c r="G117" s="370">
        <f>VLOOKUP(E117,'OTP FED Pre-Tax Balances'!$A:$K,6,FALSE)</f>
        <v>-29298885</v>
      </c>
      <c r="H117" s="2"/>
      <c r="I117" s="15">
        <f t="shared" si="48"/>
        <v>-10254609.75</v>
      </c>
      <c r="J117" s="15">
        <f t="shared" si="49"/>
        <v>564003.53625</v>
      </c>
      <c r="K117" s="15">
        <f t="shared" si="50"/>
        <v>-1611438.675</v>
      </c>
      <c r="L117" s="15">
        <f t="shared" si="51"/>
        <v>-11302044.88875</v>
      </c>
      <c r="M117" s="11"/>
      <c r="N117" s="15">
        <f t="shared" si="52"/>
        <v>-6152765.8499999996</v>
      </c>
      <c r="O117" s="15">
        <f t="shared" si="53"/>
        <v>338402.12174999999</v>
      </c>
      <c r="P117" s="15">
        <f t="shared" si="54"/>
        <v>-1611438.675</v>
      </c>
      <c r="Q117" s="15">
        <f t="shared" si="55"/>
        <v>-7425802.4032499995</v>
      </c>
      <c r="R117" s="11"/>
      <c r="S117" s="15">
        <f t="shared" si="56"/>
        <v>4101843.9000000004</v>
      </c>
      <c r="T117" s="15">
        <f t="shared" si="57"/>
        <v>-225601.41450000001</v>
      </c>
      <c r="U117" s="15">
        <f t="shared" si="58"/>
        <v>0</v>
      </c>
      <c r="V117" s="15">
        <f t="shared" si="59"/>
        <v>3876242.4855000004</v>
      </c>
    </row>
    <row r="118" spans="1:22" s="12" customFormat="1" ht="14.1" customHeight="1" x14ac:dyDescent="0.2">
      <c r="A118" s="41">
        <v>1500</v>
      </c>
      <c r="B118" s="13">
        <v>283</v>
      </c>
      <c r="C118" s="389" t="s">
        <v>700</v>
      </c>
      <c r="D118" s="16">
        <v>1</v>
      </c>
      <c r="E118" s="14" t="s">
        <v>125</v>
      </c>
      <c r="F118" s="14" t="s">
        <v>311</v>
      </c>
      <c r="G118" s="370">
        <f>VLOOKUP(E118,'OTP FED Pre-Tax Balances'!$A:$K,6,FALSE)</f>
        <v>-12825069</v>
      </c>
      <c r="H118" s="2"/>
      <c r="I118" s="15">
        <f t="shared" si="48"/>
        <v>-4488774.1499999994</v>
      </c>
      <c r="J118" s="15">
        <f t="shared" si="49"/>
        <v>246882.57824999999</v>
      </c>
      <c r="K118" s="15">
        <f t="shared" si="50"/>
        <v>-705378.79500000004</v>
      </c>
      <c r="L118" s="15">
        <f t="shared" si="51"/>
        <v>-4947270.3667499991</v>
      </c>
      <c r="M118" s="11"/>
      <c r="N118" s="15">
        <f t="shared" si="52"/>
        <v>-2693264.4899999998</v>
      </c>
      <c r="O118" s="15">
        <f t="shared" si="53"/>
        <v>148129.54694999999</v>
      </c>
      <c r="P118" s="15">
        <f t="shared" si="54"/>
        <v>-705378.79500000004</v>
      </c>
      <c r="Q118" s="15">
        <f t="shared" si="55"/>
        <v>-3250513.7380499998</v>
      </c>
      <c r="R118" s="11"/>
      <c r="S118" s="15">
        <f t="shared" si="56"/>
        <v>1795509.6599999997</v>
      </c>
      <c r="T118" s="15">
        <f t="shared" si="57"/>
        <v>-98753.031300000002</v>
      </c>
      <c r="U118" s="15">
        <f t="shared" si="58"/>
        <v>0</v>
      </c>
      <c r="V118" s="15">
        <f t="shared" si="59"/>
        <v>1696756.6286999998</v>
      </c>
    </row>
    <row r="119" spans="1:22" s="12" customFormat="1" ht="14.1" customHeight="1" x14ac:dyDescent="0.2">
      <c r="A119" s="41">
        <v>1500</v>
      </c>
      <c r="B119" s="13">
        <v>283</v>
      </c>
      <c r="C119" s="389" t="s">
        <v>700</v>
      </c>
      <c r="D119" s="16">
        <v>1</v>
      </c>
      <c r="E119" s="14" t="s">
        <v>127</v>
      </c>
      <c r="F119" s="14" t="s">
        <v>313</v>
      </c>
      <c r="G119" s="370">
        <f>VLOOKUP(E119,'OTP FED Pre-Tax Balances'!$A:$K,6,FALSE)</f>
        <v>-14597066</v>
      </c>
      <c r="H119" s="2"/>
      <c r="I119" s="15">
        <f t="shared" si="48"/>
        <v>-5108973.0999999996</v>
      </c>
      <c r="J119" s="15">
        <f t="shared" si="49"/>
        <v>280993.52049999998</v>
      </c>
      <c r="K119" s="15">
        <f t="shared" si="50"/>
        <v>-802838.63</v>
      </c>
      <c r="L119" s="15">
        <f t="shared" si="51"/>
        <v>-5630818.2094999999</v>
      </c>
      <c r="M119" s="11"/>
      <c r="N119" s="15">
        <f t="shared" si="52"/>
        <v>-3065383.86</v>
      </c>
      <c r="O119" s="15">
        <f t="shared" si="53"/>
        <v>168596.11230000001</v>
      </c>
      <c r="P119" s="15">
        <f t="shared" si="54"/>
        <v>-802838.63</v>
      </c>
      <c r="Q119" s="15">
        <f t="shared" si="55"/>
        <v>-3699626.3776999996</v>
      </c>
      <c r="R119" s="11"/>
      <c r="S119" s="15">
        <f t="shared" si="56"/>
        <v>2043589.2399999998</v>
      </c>
      <c r="T119" s="15">
        <f t="shared" si="57"/>
        <v>-112397.40819999998</v>
      </c>
      <c r="U119" s="15">
        <f t="shared" si="58"/>
        <v>0</v>
      </c>
      <c r="V119" s="15">
        <f t="shared" si="59"/>
        <v>1931191.8317999998</v>
      </c>
    </row>
    <row r="120" spans="1:22" s="12" customFormat="1" ht="14.1" customHeight="1" x14ac:dyDescent="0.2">
      <c r="A120" s="41">
        <v>1500</v>
      </c>
      <c r="B120" s="13">
        <v>283</v>
      </c>
      <c r="C120" s="389" t="s">
        <v>700</v>
      </c>
      <c r="D120" s="16">
        <v>1</v>
      </c>
      <c r="E120" s="14" t="s">
        <v>128</v>
      </c>
      <c r="F120" s="14" t="s">
        <v>314</v>
      </c>
      <c r="G120" s="370">
        <f>VLOOKUP(E120,'OTP FED Pre-Tax Balances'!$A:$K,6,FALSE)</f>
        <v>-742563</v>
      </c>
      <c r="H120" s="2"/>
      <c r="I120" s="15">
        <f t="shared" si="48"/>
        <v>-259897.05</v>
      </c>
      <c r="J120" s="15">
        <f t="shared" si="49"/>
        <v>14294.337750000001</v>
      </c>
      <c r="K120" s="15">
        <f t="shared" si="50"/>
        <v>-40840.965000000004</v>
      </c>
      <c r="L120" s="15">
        <f t="shared" si="51"/>
        <v>-286443.67725000001</v>
      </c>
      <c r="M120" s="11"/>
      <c r="N120" s="15">
        <f t="shared" si="52"/>
        <v>-155938.22999999998</v>
      </c>
      <c r="O120" s="15">
        <f t="shared" si="53"/>
        <v>8576.6026500000007</v>
      </c>
      <c r="P120" s="15">
        <f t="shared" si="54"/>
        <v>-40840.965000000004</v>
      </c>
      <c r="Q120" s="15">
        <f t="shared" si="55"/>
        <v>-188202.59234999996</v>
      </c>
      <c r="R120" s="11"/>
      <c r="S120" s="15">
        <f t="shared" si="56"/>
        <v>103958.82</v>
      </c>
      <c r="T120" s="15">
        <f t="shared" si="57"/>
        <v>-5717.7350999999999</v>
      </c>
      <c r="U120" s="15">
        <f t="shared" si="58"/>
        <v>0</v>
      </c>
      <c r="V120" s="15">
        <f t="shared" si="59"/>
        <v>98241.084900000002</v>
      </c>
    </row>
    <row r="121" spans="1:22" s="12" customFormat="1" ht="14.1" customHeight="1" x14ac:dyDescent="0.2">
      <c r="A121" s="41">
        <v>1500</v>
      </c>
      <c r="B121" s="13">
        <v>283</v>
      </c>
      <c r="C121" s="389" t="s">
        <v>701</v>
      </c>
      <c r="D121" s="16">
        <v>30</v>
      </c>
      <c r="E121" s="14" t="s">
        <v>163</v>
      </c>
      <c r="F121" s="14" t="s">
        <v>348</v>
      </c>
      <c r="G121" s="370">
        <f>VLOOKUP(E121,'OTP FED Pre-Tax Balances'!$A:$K,6,FALSE)</f>
        <v>-2804913</v>
      </c>
      <c r="H121" s="2"/>
      <c r="I121" s="15">
        <f t="shared" si="48"/>
        <v>-981719.54999999993</v>
      </c>
      <c r="J121" s="15">
        <f t="shared" si="49"/>
        <v>53994.575249999994</v>
      </c>
      <c r="K121" s="15">
        <f t="shared" si="50"/>
        <v>-154270.215</v>
      </c>
      <c r="L121" s="15">
        <f t="shared" si="51"/>
        <v>-1081995.1897499999</v>
      </c>
      <c r="M121" s="11"/>
      <c r="N121" s="15">
        <f t="shared" si="52"/>
        <v>-589031.73</v>
      </c>
      <c r="O121" s="15">
        <f t="shared" si="53"/>
        <v>32396.745149999999</v>
      </c>
      <c r="P121" s="15">
        <f t="shared" si="54"/>
        <v>-154270.215</v>
      </c>
      <c r="Q121" s="15">
        <f t="shared" si="55"/>
        <v>-710905.19984999998</v>
      </c>
      <c r="R121" s="11"/>
      <c r="S121" s="15">
        <f t="shared" si="56"/>
        <v>392687.81999999995</v>
      </c>
      <c r="T121" s="15">
        <f t="shared" si="57"/>
        <v>-21597.830099999996</v>
      </c>
      <c r="U121" s="15">
        <f t="shared" si="58"/>
        <v>0</v>
      </c>
      <c r="V121" s="15">
        <f t="shared" si="59"/>
        <v>371089.98989999993</v>
      </c>
    </row>
    <row r="122" spans="1:22" s="12" customFormat="1" ht="14.1" customHeight="1" x14ac:dyDescent="0.2">
      <c r="A122" s="41">
        <v>1500</v>
      </c>
      <c r="B122" s="13">
        <v>283</v>
      </c>
      <c r="C122" s="389" t="s">
        <v>700</v>
      </c>
      <c r="D122" s="16">
        <v>1</v>
      </c>
      <c r="E122" s="14" t="s">
        <v>176</v>
      </c>
      <c r="F122" s="14" t="s">
        <v>361</v>
      </c>
      <c r="G122" s="370">
        <f>VLOOKUP(E122,'OTP FED Pre-Tax Balances'!$A:$K,6,FALSE)</f>
        <v>-67547937</v>
      </c>
      <c r="H122" s="2"/>
      <c r="I122" s="15">
        <f t="shared" si="48"/>
        <v>-23641777.949999999</v>
      </c>
      <c r="J122" s="15">
        <f t="shared" si="49"/>
        <v>1300297.7872500001</v>
      </c>
      <c r="K122" s="15">
        <f t="shared" si="50"/>
        <v>-3715136.5350000001</v>
      </c>
      <c r="L122" s="15">
        <f t="shared" si="51"/>
        <v>-26056616.697749998</v>
      </c>
      <c r="M122" s="11"/>
      <c r="N122" s="15">
        <f t="shared" si="52"/>
        <v>-14185066.77</v>
      </c>
      <c r="O122" s="15">
        <f t="shared" si="53"/>
        <v>780178.67235000001</v>
      </c>
      <c r="P122" s="15">
        <f t="shared" si="54"/>
        <v>-3715136.5350000001</v>
      </c>
      <c r="Q122" s="15">
        <f t="shared" si="55"/>
        <v>-17120024.632649999</v>
      </c>
      <c r="R122" s="11"/>
      <c r="S122" s="15">
        <f t="shared" si="56"/>
        <v>9456711.1799999997</v>
      </c>
      <c r="T122" s="15">
        <f t="shared" si="57"/>
        <v>-520119.11490000004</v>
      </c>
      <c r="U122" s="15">
        <f t="shared" si="58"/>
        <v>0</v>
      </c>
      <c r="V122" s="15">
        <f t="shared" si="59"/>
        <v>8936592.0650999993</v>
      </c>
    </row>
    <row r="123" spans="1:22" s="12" customFormat="1" ht="14.1" customHeight="1" x14ac:dyDescent="0.2">
      <c r="A123" s="41">
        <v>1500</v>
      </c>
      <c r="B123" s="13">
        <v>283</v>
      </c>
      <c r="C123" s="389" t="s">
        <v>700</v>
      </c>
      <c r="D123" s="16">
        <v>1</v>
      </c>
      <c r="E123" s="14" t="s">
        <v>179</v>
      </c>
      <c r="F123" s="14" t="s">
        <v>364</v>
      </c>
      <c r="G123" s="370">
        <f>VLOOKUP(E123,'OTP FED Pre-Tax Balances'!$A:$K,6,FALSE)</f>
        <v>-115491986</v>
      </c>
      <c r="H123" s="2"/>
      <c r="I123" s="15">
        <f t="shared" si="48"/>
        <v>-40422195.099999994</v>
      </c>
      <c r="J123" s="15">
        <f t="shared" si="49"/>
        <v>2223220.7305000001</v>
      </c>
      <c r="K123" s="15">
        <f t="shared" si="50"/>
        <v>-6352059.2300000004</v>
      </c>
      <c r="L123" s="15">
        <f t="shared" si="51"/>
        <v>-44551033.5995</v>
      </c>
      <c r="M123" s="11"/>
      <c r="N123" s="15">
        <f t="shared" si="52"/>
        <v>-24253317.059999999</v>
      </c>
      <c r="O123" s="15">
        <f t="shared" si="53"/>
        <v>1333932.4383</v>
      </c>
      <c r="P123" s="15">
        <f t="shared" si="54"/>
        <v>-6352059.2300000004</v>
      </c>
      <c r="Q123" s="15">
        <f t="shared" si="55"/>
        <v>-29271443.8517</v>
      </c>
      <c r="R123" s="11"/>
      <c r="S123" s="15">
        <f t="shared" si="56"/>
        <v>16168878.039999995</v>
      </c>
      <c r="T123" s="15">
        <f t="shared" si="57"/>
        <v>-889288.29220000003</v>
      </c>
      <c r="U123" s="15">
        <f t="shared" si="58"/>
        <v>0</v>
      </c>
      <c r="V123" s="15">
        <f t="shared" si="59"/>
        <v>15279589.747799996</v>
      </c>
    </row>
    <row r="124" spans="1:22" s="12" customFormat="1" ht="14.1" customHeight="1" x14ac:dyDescent="0.2">
      <c r="A124" s="41">
        <v>1500</v>
      </c>
      <c r="B124" s="13">
        <v>283</v>
      </c>
      <c r="C124" s="389" t="s">
        <v>697</v>
      </c>
      <c r="D124" s="16">
        <v>5</v>
      </c>
      <c r="E124" s="14" t="s">
        <v>180</v>
      </c>
      <c r="F124" s="14" t="s">
        <v>365</v>
      </c>
      <c r="G124" s="370">
        <f>VLOOKUP(E124,'OTP FED Pre-Tax Balances'!$A:$K,6,FALSE)</f>
        <v>5224057</v>
      </c>
      <c r="H124" s="2"/>
      <c r="I124" s="15">
        <f t="shared" si="48"/>
        <v>1828419.95</v>
      </c>
      <c r="J124" s="15">
        <f t="shared" si="49"/>
        <v>-100563.09724999999</v>
      </c>
      <c r="K124" s="15">
        <f t="shared" si="50"/>
        <v>287323.13500000001</v>
      </c>
      <c r="L124" s="15">
        <f t="shared" si="51"/>
        <v>2015179.9877500001</v>
      </c>
      <c r="M124" s="11"/>
      <c r="N124" s="15">
        <f t="shared" si="52"/>
        <v>1097051.97</v>
      </c>
      <c r="O124" s="15">
        <f t="shared" si="53"/>
        <v>-60337.858350000002</v>
      </c>
      <c r="P124" s="15">
        <f t="shared" si="54"/>
        <v>287323.13500000001</v>
      </c>
      <c r="Q124" s="15">
        <f t="shared" si="55"/>
        <v>1324037.2466500001</v>
      </c>
      <c r="R124" s="11"/>
      <c r="S124" s="15">
        <f t="shared" si="56"/>
        <v>-731367.98</v>
      </c>
      <c r="T124" s="15">
        <f t="shared" si="57"/>
        <v>40225.238899999989</v>
      </c>
      <c r="U124" s="15">
        <f t="shared" si="58"/>
        <v>0</v>
      </c>
      <c r="V124" s="15">
        <f t="shared" si="59"/>
        <v>-691142.74109999998</v>
      </c>
    </row>
    <row r="125" spans="1:22" ht="14.1" customHeight="1" x14ac:dyDescent="0.2">
      <c r="A125" s="41"/>
      <c r="C125" s="446"/>
      <c r="D125" s="13"/>
      <c r="E125" s="14"/>
      <c r="F125" s="43" t="s">
        <v>460</v>
      </c>
      <c r="G125" s="42">
        <f>SUM(G88:G124)</f>
        <v>-5424897434</v>
      </c>
      <c r="I125" s="42">
        <f>SUM(I88:I124)</f>
        <v>-1898714101.8999999</v>
      </c>
      <c r="J125" s="42">
        <f>SUM(J88:J124)</f>
        <v>104429275.6045</v>
      </c>
      <c r="K125" s="42">
        <f>SUM(K88:K124)</f>
        <v>-298369358.87000012</v>
      </c>
      <c r="L125" s="42">
        <f>SUM(L88:L124)</f>
        <v>-2092654185.1654999</v>
      </c>
      <c r="N125" s="42">
        <f>SUM(N88:N124)</f>
        <v>-1139228461.1399996</v>
      </c>
      <c r="O125" s="42">
        <f>SUM(O88:O124)</f>
        <v>62657565.362699993</v>
      </c>
      <c r="P125" s="42">
        <f>SUM(P88:P124)</f>
        <v>-298369358.87000012</v>
      </c>
      <c r="Q125" s="42">
        <f>SUM(Q88:Q124)</f>
        <v>-1374940254.6473002</v>
      </c>
      <c r="S125" s="42">
        <f>SUM(S88:S124)</f>
        <v>759485640.75999975</v>
      </c>
      <c r="T125" s="42">
        <f>SUM(T88:T124)</f>
        <v>-41771710.241799988</v>
      </c>
      <c r="U125" s="42">
        <f>SUM(U88:U124)</f>
        <v>0</v>
      </c>
      <c r="V125" s="42">
        <f>SUM(V88:V124)</f>
        <v>717713930.51819992</v>
      </c>
    </row>
    <row r="126" spans="1:22" ht="14.1" customHeight="1" x14ac:dyDescent="0.2">
      <c r="A126" s="41"/>
      <c r="C126" s="446"/>
      <c r="D126" s="13"/>
      <c r="E126" s="14"/>
      <c r="F126" s="14"/>
      <c r="G126" s="15"/>
      <c r="V126" s="11"/>
    </row>
    <row r="127" spans="1:22" ht="14.1" customHeight="1" x14ac:dyDescent="0.2">
      <c r="C127" s="446"/>
      <c r="D127" s="13"/>
      <c r="V127" s="11"/>
    </row>
    <row r="128" spans="1:22" ht="14.1" customHeight="1" thickBot="1" x14ac:dyDescent="0.25">
      <c r="C128" s="446"/>
      <c r="D128" s="13"/>
      <c r="F128" s="33" t="s">
        <v>458</v>
      </c>
      <c r="G128" s="31">
        <f>G57+G86+G125</f>
        <v>-24591620125</v>
      </c>
      <c r="I128" s="31">
        <f>I57+I86+I125</f>
        <v>-8607067043.7499981</v>
      </c>
      <c r="J128" s="31">
        <f>J57+J86+J125</f>
        <v>473388687.40625</v>
      </c>
      <c r="K128" s="31">
        <f>K57+K86+K125</f>
        <v>-1352539106.8750007</v>
      </c>
      <c r="L128" s="31">
        <f>L57+L86+L125</f>
        <v>-9486217463.21875</v>
      </c>
      <c r="N128" s="31">
        <f>N57+N86+N125</f>
        <v>-5164240226.2499981</v>
      </c>
      <c r="O128" s="31">
        <f>O57+O86+O125</f>
        <v>284033212.44374996</v>
      </c>
      <c r="P128" s="31">
        <f>P57+P86+P125</f>
        <v>-1352539106.8750007</v>
      </c>
      <c r="Q128" s="31">
        <f>Q57+Q86+Q125</f>
        <v>-6232746120.6812496</v>
      </c>
      <c r="S128" s="31">
        <f>S57+S86+S125</f>
        <v>3442826817.4999995</v>
      </c>
      <c r="T128" s="31">
        <f>T57+T86+T125</f>
        <v>-189355474.96250004</v>
      </c>
      <c r="U128" s="31">
        <f>U57+U86+U125</f>
        <v>0</v>
      </c>
      <c r="V128" s="31">
        <f>V57+V86+V125</f>
        <v>3253471342.5374994</v>
      </c>
    </row>
    <row r="129" spans="1:22" ht="14.1" customHeight="1" thickTop="1" x14ac:dyDescent="0.2">
      <c r="C129" s="446"/>
      <c r="D129" s="13"/>
      <c r="F129" s="66" t="s">
        <v>433</v>
      </c>
      <c r="G129" s="15">
        <f>'OTP FED Pre-Tax Balances'!F197-'FPL Excess ADIT'!G128</f>
        <v>1</v>
      </c>
      <c r="I129" s="32"/>
      <c r="J129" s="32"/>
      <c r="K129" s="32"/>
      <c r="L129" s="32"/>
      <c r="N129" s="32"/>
      <c r="O129" s="32"/>
      <c r="P129" s="32"/>
      <c r="Q129" s="32"/>
      <c r="S129" s="32"/>
      <c r="T129" s="32"/>
      <c r="U129" s="32"/>
      <c r="V129" s="32"/>
    </row>
    <row r="130" spans="1:22" ht="14.1" customHeight="1" x14ac:dyDescent="0.2">
      <c r="A130" s="37" t="s">
        <v>457</v>
      </c>
      <c r="C130" s="446"/>
      <c r="D130" s="13"/>
      <c r="G130" s="32"/>
      <c r="I130" s="32"/>
      <c r="J130" s="32"/>
      <c r="K130" s="32"/>
      <c r="L130" s="32"/>
      <c r="N130" s="32"/>
      <c r="O130" s="32"/>
      <c r="P130" s="32"/>
      <c r="Q130" s="32"/>
      <c r="S130" s="32"/>
      <c r="T130" s="32"/>
      <c r="U130" s="32"/>
      <c r="V130" s="32"/>
    </row>
    <row r="131" spans="1:22" ht="14.1" customHeight="1" x14ac:dyDescent="0.2">
      <c r="A131" s="36" t="s">
        <v>444</v>
      </c>
      <c r="B131" s="13">
        <v>282</v>
      </c>
      <c r="C131" s="389" t="s">
        <v>695</v>
      </c>
      <c r="D131" s="16">
        <v>30</v>
      </c>
      <c r="E131" s="14" t="s">
        <v>45</v>
      </c>
      <c r="F131" s="14" t="s">
        <v>231</v>
      </c>
      <c r="G131" s="370">
        <f>VLOOKUP(E131,'OTP State Pre-Tax'!$A:$M,13,FALSE)</f>
        <v>-204526</v>
      </c>
      <c r="I131" s="15"/>
      <c r="J131" s="15">
        <f t="shared" ref="J131:J136" si="60">-K131*$I$7</f>
        <v>3937.1254999999996</v>
      </c>
      <c r="K131" s="15">
        <f t="shared" ref="K131:K136" si="61">G131*$K$7</f>
        <v>-11248.93</v>
      </c>
      <c r="L131" s="15">
        <f t="shared" ref="L131:L136" si="62">SUM(I131:K131)</f>
        <v>-7311.8045000000002</v>
      </c>
      <c r="N131" s="15"/>
      <c r="O131" s="15">
        <f t="shared" ref="O131:O136" si="63">-P131*$N$7</f>
        <v>2362.2752999999998</v>
      </c>
      <c r="P131" s="15">
        <f t="shared" ref="P131:P136" si="64">G131*$P$7</f>
        <v>-11248.93</v>
      </c>
      <c r="Q131" s="15">
        <f t="shared" ref="Q131:Q136" si="65">SUM(N131:P131)</f>
        <v>-8886.654700000001</v>
      </c>
      <c r="S131" s="15">
        <f t="shared" ref="S131:U136" si="66">N131-I131</f>
        <v>0</v>
      </c>
      <c r="T131" s="15">
        <f t="shared" si="66"/>
        <v>-1574.8501999999999</v>
      </c>
      <c r="U131" s="15">
        <f t="shared" si="66"/>
        <v>0</v>
      </c>
      <c r="V131" s="17">
        <f t="shared" ref="V131:V136" si="67">SUM(S131:U131)</f>
        <v>-1574.8501999999999</v>
      </c>
    </row>
    <row r="132" spans="1:22" ht="14.1" customHeight="1" x14ac:dyDescent="0.2">
      <c r="A132" s="36" t="s">
        <v>444</v>
      </c>
      <c r="B132" s="13">
        <v>282</v>
      </c>
      <c r="C132" s="389" t="s">
        <v>695</v>
      </c>
      <c r="D132" s="16">
        <v>30</v>
      </c>
      <c r="E132" s="14" t="s">
        <v>456</v>
      </c>
      <c r="F132" s="14" t="s">
        <v>455</v>
      </c>
      <c r="G132" s="370">
        <f>VLOOKUP(E132,'OTP State Pre-Tax'!$A:$M,13,FALSE)</f>
        <v>16312165</v>
      </c>
      <c r="I132" s="15"/>
      <c r="J132" s="15">
        <f t="shared" si="60"/>
        <v>-314009.17624999996</v>
      </c>
      <c r="K132" s="15">
        <f t="shared" si="61"/>
        <v>897169.07499999995</v>
      </c>
      <c r="L132" s="15">
        <f t="shared" si="62"/>
        <v>583159.89874999993</v>
      </c>
      <c r="N132" s="15"/>
      <c r="O132" s="15">
        <f t="shared" si="63"/>
        <v>-188405.50574999998</v>
      </c>
      <c r="P132" s="15">
        <f t="shared" si="64"/>
        <v>897169.07499999995</v>
      </c>
      <c r="Q132" s="15">
        <f t="shared" si="65"/>
        <v>708763.56924999994</v>
      </c>
      <c r="S132" s="15">
        <f t="shared" si="66"/>
        <v>0</v>
      </c>
      <c r="T132" s="15">
        <f t="shared" si="66"/>
        <v>125603.67049999998</v>
      </c>
      <c r="U132" s="15">
        <f t="shared" si="66"/>
        <v>0</v>
      </c>
      <c r="V132" s="17">
        <f t="shared" si="67"/>
        <v>125603.67049999998</v>
      </c>
    </row>
    <row r="133" spans="1:22" ht="14.1" customHeight="1" x14ac:dyDescent="0.2">
      <c r="A133" s="36" t="s">
        <v>444</v>
      </c>
      <c r="B133" s="13">
        <v>282</v>
      </c>
      <c r="C133" s="389" t="s">
        <v>454</v>
      </c>
      <c r="D133" s="16">
        <v>6</v>
      </c>
      <c r="E133" s="14" t="s">
        <v>424</v>
      </c>
      <c r="F133" s="14" t="s">
        <v>453</v>
      </c>
      <c r="G133" s="370">
        <f>VLOOKUP(E133,'OTP State Pre-Tax'!$A:$M,13,FALSE)</f>
        <v>4674495003</v>
      </c>
      <c r="I133" s="15"/>
      <c r="J133" s="15">
        <f t="shared" si="60"/>
        <v>-89984028.807749987</v>
      </c>
      <c r="K133" s="15">
        <f t="shared" si="61"/>
        <v>257097225.16499999</v>
      </c>
      <c r="L133" s="15">
        <f t="shared" si="62"/>
        <v>167113196.35725001</v>
      </c>
      <c r="N133" s="15"/>
      <c r="O133" s="15">
        <f t="shared" si="63"/>
        <v>-53990417.284649998</v>
      </c>
      <c r="P133" s="15">
        <f t="shared" si="64"/>
        <v>257097225.16499999</v>
      </c>
      <c r="Q133" s="15">
        <f t="shared" si="65"/>
        <v>203106807.88034999</v>
      </c>
      <c r="S133" s="15">
        <f t="shared" si="66"/>
        <v>0</v>
      </c>
      <c r="T133" s="15">
        <f t="shared" si="66"/>
        <v>35993611.523099989</v>
      </c>
      <c r="U133" s="15">
        <f t="shared" si="66"/>
        <v>0</v>
      </c>
      <c r="V133" s="17">
        <f t="shared" si="67"/>
        <v>35993611.523099989</v>
      </c>
    </row>
    <row r="134" spans="1:22" ht="14.1" customHeight="1" x14ac:dyDescent="0.2">
      <c r="A134" s="36" t="s">
        <v>444</v>
      </c>
      <c r="B134" s="13">
        <v>282</v>
      </c>
      <c r="C134" s="389" t="s">
        <v>452</v>
      </c>
      <c r="D134" s="16">
        <v>2</v>
      </c>
      <c r="E134" s="14" t="s">
        <v>412</v>
      </c>
      <c r="F134" s="14" t="s">
        <v>411</v>
      </c>
      <c r="G134" s="370">
        <f>VLOOKUP(E134,'OTP State Pre-Tax'!$A:$M,13,FALSE)</f>
        <v>23579500</v>
      </c>
      <c r="I134" s="15"/>
      <c r="J134" s="15">
        <f t="shared" si="60"/>
        <v>-453905.375</v>
      </c>
      <c r="K134" s="15">
        <f t="shared" si="61"/>
        <v>1296872.5</v>
      </c>
      <c r="L134" s="15">
        <f t="shared" si="62"/>
        <v>842967.125</v>
      </c>
      <c r="N134" s="15"/>
      <c r="O134" s="15">
        <f t="shared" si="63"/>
        <v>-272343.22499999998</v>
      </c>
      <c r="P134" s="15">
        <f t="shared" si="64"/>
        <v>1296872.5</v>
      </c>
      <c r="Q134" s="15">
        <f t="shared" si="65"/>
        <v>1024529.275</v>
      </c>
      <c r="S134" s="15">
        <f t="shared" si="66"/>
        <v>0</v>
      </c>
      <c r="T134" s="15">
        <f t="shared" si="66"/>
        <v>181562.15000000002</v>
      </c>
      <c r="U134" s="15">
        <f t="shared" si="66"/>
        <v>0</v>
      </c>
      <c r="V134" s="17">
        <f t="shared" si="67"/>
        <v>181562.15000000002</v>
      </c>
    </row>
    <row r="135" spans="1:22" ht="14.1" customHeight="1" x14ac:dyDescent="0.2">
      <c r="A135" s="36" t="s">
        <v>444</v>
      </c>
      <c r="B135" s="13">
        <v>282</v>
      </c>
      <c r="C135" s="389" t="s">
        <v>451</v>
      </c>
      <c r="D135" s="16">
        <v>3</v>
      </c>
      <c r="E135" s="14" t="s">
        <v>410</v>
      </c>
      <c r="F135" s="14" t="s">
        <v>409</v>
      </c>
      <c r="G135" s="370">
        <f>VLOOKUP(E135,'OTP State Pre-Tax'!$A:$M,13,FALSE)</f>
        <v>-3929917</v>
      </c>
      <c r="I135" s="15"/>
      <c r="J135" s="15">
        <f t="shared" si="60"/>
        <v>75650.902249999999</v>
      </c>
      <c r="K135" s="15">
        <f t="shared" si="61"/>
        <v>-216145.435</v>
      </c>
      <c r="L135" s="15">
        <f t="shared" si="62"/>
        <v>-140494.53275000001</v>
      </c>
      <c r="N135" s="15"/>
      <c r="O135" s="15">
        <f t="shared" si="63"/>
        <v>45390.54135</v>
      </c>
      <c r="P135" s="15">
        <f t="shared" si="64"/>
        <v>-216145.435</v>
      </c>
      <c r="Q135" s="15">
        <f t="shared" si="65"/>
        <v>-170754.89364999998</v>
      </c>
      <c r="S135" s="15">
        <f t="shared" si="66"/>
        <v>0</v>
      </c>
      <c r="T135" s="15">
        <f t="shared" si="66"/>
        <v>-30260.3609</v>
      </c>
      <c r="U135" s="15">
        <f t="shared" si="66"/>
        <v>0</v>
      </c>
      <c r="V135" s="17">
        <f t="shared" si="67"/>
        <v>-30260.3609</v>
      </c>
    </row>
    <row r="136" spans="1:22" ht="14.1" customHeight="1" x14ac:dyDescent="0.2">
      <c r="A136" s="36" t="s">
        <v>444</v>
      </c>
      <c r="B136" s="13">
        <v>282</v>
      </c>
      <c r="C136" s="389" t="s">
        <v>695</v>
      </c>
      <c r="D136" s="16">
        <v>30</v>
      </c>
      <c r="E136" s="14" t="s">
        <v>166</v>
      </c>
      <c r="F136" s="14" t="s">
        <v>351</v>
      </c>
      <c r="G136" s="370">
        <f>VLOOKUP(E136,'OTP State Pre-Tax'!$A:$M,13,FALSE)</f>
        <v>23504</v>
      </c>
      <c r="I136" s="15"/>
      <c r="J136" s="15">
        <f t="shared" si="60"/>
        <v>-452.452</v>
      </c>
      <c r="K136" s="15">
        <f t="shared" si="61"/>
        <v>1292.72</v>
      </c>
      <c r="L136" s="15">
        <f t="shared" si="62"/>
        <v>840.26800000000003</v>
      </c>
      <c r="N136" s="15"/>
      <c r="O136" s="15">
        <f t="shared" si="63"/>
        <v>-271.47120000000001</v>
      </c>
      <c r="P136" s="15">
        <f t="shared" si="64"/>
        <v>1292.72</v>
      </c>
      <c r="Q136" s="15">
        <f t="shared" si="65"/>
        <v>1021.2488000000001</v>
      </c>
      <c r="S136" s="15">
        <f t="shared" si="66"/>
        <v>0</v>
      </c>
      <c r="T136" s="15">
        <f t="shared" si="66"/>
        <v>180.98079999999999</v>
      </c>
      <c r="U136" s="15">
        <f t="shared" si="66"/>
        <v>0</v>
      </c>
      <c r="V136" s="15">
        <f t="shared" si="67"/>
        <v>180.98079999999999</v>
      </c>
    </row>
    <row r="137" spans="1:22" ht="14.1" customHeight="1" thickBot="1" x14ac:dyDescent="0.25">
      <c r="C137" s="446"/>
      <c r="D137" s="13"/>
      <c r="F137" s="33" t="s">
        <v>449</v>
      </c>
      <c r="G137" s="38">
        <f>SUM(G131:G136)</f>
        <v>4710275729</v>
      </c>
      <c r="I137" s="38">
        <f>SUM(I131:I136)</f>
        <v>0</v>
      </c>
      <c r="J137" s="38">
        <f>SUM(J131:J136)</f>
        <v>-90672807.783249989</v>
      </c>
      <c r="K137" s="38">
        <f>SUM(K131:K136)</f>
        <v>259065165.095</v>
      </c>
      <c r="L137" s="38">
        <f>SUM(L131:L136)</f>
        <v>168392357.31174999</v>
      </c>
      <c r="N137" s="38">
        <f>SUM(N131:N136)</f>
        <v>0</v>
      </c>
      <c r="O137" s="38">
        <f>SUM(O131:O136)</f>
        <v>-54403684.669949993</v>
      </c>
      <c r="P137" s="38">
        <f>SUM(P131:P136)</f>
        <v>259065165.095</v>
      </c>
      <c r="Q137" s="38">
        <f>SUM(Q131:Q136)</f>
        <v>204661480.42505002</v>
      </c>
      <c r="S137" s="38">
        <f>SUM(S131:S136)</f>
        <v>0</v>
      </c>
      <c r="T137" s="38">
        <f>SUM(T131:T136)</f>
        <v>36269123.113299988</v>
      </c>
      <c r="U137" s="38">
        <f>SUM(U131:U136)</f>
        <v>0</v>
      </c>
      <c r="V137" s="38">
        <f>SUM(V131:V136)</f>
        <v>36269123.113299988</v>
      </c>
    </row>
    <row r="138" spans="1:22" s="12" customFormat="1" ht="14.1" customHeight="1" thickTop="1" x14ac:dyDescent="0.2">
      <c r="A138" s="11"/>
      <c r="B138" s="11"/>
      <c r="C138" s="446"/>
      <c r="D138" s="13"/>
      <c r="E138" s="11"/>
      <c r="F138" s="11"/>
      <c r="G138" s="32"/>
      <c r="H138" s="2"/>
      <c r="I138" s="32"/>
      <c r="J138" s="32"/>
      <c r="K138" s="32"/>
      <c r="L138" s="32"/>
      <c r="M138" s="11"/>
      <c r="N138" s="32"/>
      <c r="O138" s="32"/>
      <c r="P138" s="32"/>
      <c r="Q138" s="32"/>
      <c r="R138" s="11"/>
      <c r="S138" s="32"/>
      <c r="T138" s="32"/>
      <c r="U138" s="32"/>
      <c r="V138" s="32"/>
    </row>
    <row r="139" spans="1:22" s="12" customFormat="1" ht="14.1" customHeight="1" thickBot="1" x14ac:dyDescent="0.25">
      <c r="A139" s="11"/>
      <c r="B139" s="11"/>
      <c r="C139" s="446"/>
      <c r="D139" s="13"/>
      <c r="E139" s="11"/>
      <c r="F139" s="33" t="s">
        <v>448</v>
      </c>
      <c r="G139" s="31">
        <f>G128+G137</f>
        <v>-19881344396</v>
      </c>
      <c r="H139" s="2"/>
      <c r="I139" s="31">
        <f>I128+I137</f>
        <v>-8607067043.7499981</v>
      </c>
      <c r="J139" s="31">
        <f>J128+J137</f>
        <v>382715879.62300003</v>
      </c>
      <c r="K139" s="31">
        <f>K128+K137</f>
        <v>-1093473941.7800007</v>
      </c>
      <c r="L139" s="31">
        <f>L128+L137</f>
        <v>-9317825105.9069996</v>
      </c>
      <c r="M139" s="11"/>
      <c r="N139" s="31">
        <f>N128+N137</f>
        <v>-5164240226.2499981</v>
      </c>
      <c r="O139" s="31">
        <f>O128+O137</f>
        <v>229629527.77379996</v>
      </c>
      <c r="P139" s="31">
        <f>P128+P137</f>
        <v>-1093473941.7800007</v>
      </c>
      <c r="Q139" s="31">
        <f>Q128+Q137</f>
        <v>-6028084640.2561998</v>
      </c>
      <c r="R139" s="11"/>
      <c r="S139" s="31">
        <f>S128+S137</f>
        <v>3442826817.4999995</v>
      </c>
      <c r="T139" s="31">
        <f>T128+T137</f>
        <v>-153086351.84920004</v>
      </c>
      <c r="U139" s="31">
        <f>U128+U137</f>
        <v>0</v>
      </c>
      <c r="V139" s="31">
        <f>V128+V137</f>
        <v>3289740465.6507993</v>
      </c>
    </row>
    <row r="140" spans="1:22" s="39" customFormat="1" ht="14.1" customHeight="1" thickTop="1" x14ac:dyDescent="0.2">
      <c r="A140" s="67"/>
      <c r="B140" s="67"/>
      <c r="C140" s="446"/>
      <c r="D140" s="375"/>
      <c r="E140" s="67"/>
      <c r="F140" s="66" t="s">
        <v>433</v>
      </c>
      <c r="G140" s="32">
        <f>'OTP State Pre-Tax'!E204-'FPL Excess ADIT'!G139</f>
        <v>1</v>
      </c>
      <c r="H140" s="2"/>
      <c r="I140" s="32"/>
      <c r="J140" s="32"/>
      <c r="K140" s="32"/>
      <c r="L140" s="32"/>
      <c r="M140" s="67"/>
      <c r="N140" s="32"/>
      <c r="O140" s="32"/>
      <c r="P140" s="32"/>
      <c r="Q140" s="32"/>
      <c r="R140" s="67"/>
      <c r="S140" s="32"/>
      <c r="T140" s="32"/>
      <c r="U140" s="32"/>
      <c r="V140" s="32"/>
    </row>
    <row r="141" spans="1:22" s="12" customFormat="1" ht="14.1" customHeight="1" x14ac:dyDescent="0.2">
      <c r="A141" s="37" t="s">
        <v>446</v>
      </c>
      <c r="B141" s="11"/>
      <c r="C141" s="446"/>
      <c r="D141" s="13"/>
      <c r="E141" s="14"/>
      <c r="F141" s="14"/>
      <c r="G141" s="34"/>
      <c r="H141" s="2"/>
      <c r="I141" s="34"/>
      <c r="J141" s="34"/>
      <c r="K141" s="34"/>
      <c r="L141" s="34"/>
      <c r="M141" s="11"/>
      <c r="N141" s="34"/>
      <c r="O141" s="34"/>
      <c r="P141" s="34"/>
      <c r="Q141" s="34"/>
      <c r="R141" s="11"/>
      <c r="S141" s="34"/>
      <c r="T141" s="34"/>
      <c r="U141" s="34"/>
      <c r="V141" s="34"/>
    </row>
    <row r="142" spans="1:22" s="12" customFormat="1" ht="14.1" customHeight="1" x14ac:dyDescent="0.2">
      <c r="A142" s="36" t="s">
        <v>444</v>
      </c>
      <c r="B142" s="13">
        <v>282</v>
      </c>
      <c r="C142" s="389" t="s">
        <v>701</v>
      </c>
      <c r="D142" s="16">
        <v>30</v>
      </c>
      <c r="E142" s="14" t="s">
        <v>406</v>
      </c>
      <c r="F142" s="14" t="s">
        <v>405</v>
      </c>
      <c r="G142" s="34"/>
      <c r="H142" s="2" t="s">
        <v>447</v>
      </c>
      <c r="I142" s="34"/>
      <c r="J142" s="34">
        <f>-K142*0.35</f>
        <v>1656711.7</v>
      </c>
      <c r="K142" s="34">
        <v>-4733462</v>
      </c>
      <c r="L142" s="15">
        <f>SUM(I142:K142)</f>
        <v>-3076750.3</v>
      </c>
      <c r="M142" s="11"/>
      <c r="N142" s="34"/>
      <c r="O142" s="34">
        <f>-P142*$N$7</f>
        <v>994027.02</v>
      </c>
      <c r="P142" s="34">
        <f>K142</f>
        <v>-4733462</v>
      </c>
      <c r="Q142" s="15">
        <f>SUM(N142:P142)</f>
        <v>-3739434.98</v>
      </c>
      <c r="R142" s="11"/>
      <c r="S142" s="15">
        <f>N142-I142</f>
        <v>0</v>
      </c>
      <c r="T142" s="15">
        <f>O142-J142</f>
        <v>-662684.67999999993</v>
      </c>
      <c r="U142" s="15">
        <f>P142-K142</f>
        <v>0</v>
      </c>
      <c r="V142" s="15">
        <f>SUM(S142:U142)</f>
        <v>-662684.67999999993</v>
      </c>
    </row>
    <row r="143" spans="1:22" s="12" customFormat="1" ht="14.1" customHeight="1" thickBot="1" x14ac:dyDescent="0.25">
      <c r="A143" s="36"/>
      <c r="B143" s="11"/>
      <c r="C143" s="446"/>
      <c r="D143" s="13"/>
      <c r="E143" s="14"/>
      <c r="F143" s="33" t="s">
        <v>445</v>
      </c>
      <c r="G143" s="34"/>
      <c r="H143" s="2"/>
      <c r="I143" s="35">
        <f>SUM(I142:I142)</f>
        <v>0</v>
      </c>
      <c r="J143" s="35">
        <f>SUM(J142:J142)</f>
        <v>1656711.7</v>
      </c>
      <c r="K143" s="35">
        <f>SUM(K142:K142)</f>
        <v>-4733462</v>
      </c>
      <c r="L143" s="35">
        <f>SUM(L142:L142)</f>
        <v>-3076750.3</v>
      </c>
      <c r="M143" s="11"/>
      <c r="N143" s="35">
        <f>SUM(N142:N142)</f>
        <v>0</v>
      </c>
      <c r="O143" s="35">
        <f>SUM(O142:O142)</f>
        <v>994027.02</v>
      </c>
      <c r="P143" s="35">
        <f>SUM(P142:P142)</f>
        <v>-4733462</v>
      </c>
      <c r="Q143" s="35">
        <f>SUM(Q142:Q142)</f>
        <v>-3739434.98</v>
      </c>
      <c r="R143" s="11"/>
      <c r="S143" s="35">
        <f>SUM(S142:S142)</f>
        <v>0</v>
      </c>
      <c r="T143" s="35">
        <f>SUM(T142:T142)</f>
        <v>-662684.67999999993</v>
      </c>
      <c r="U143" s="35">
        <f>SUM(U142:U142)</f>
        <v>0</v>
      </c>
      <c r="V143" s="35">
        <f>SUM(V142:V142)</f>
        <v>-662684.67999999993</v>
      </c>
    </row>
    <row r="144" spans="1:22" s="39" customFormat="1" ht="14.1" customHeight="1" thickTop="1" x14ac:dyDescent="0.2">
      <c r="A144" s="36"/>
      <c r="B144" s="67"/>
      <c r="C144" s="446"/>
      <c r="D144" s="13"/>
      <c r="E144" s="14"/>
      <c r="F144" s="55"/>
      <c r="G144" s="34"/>
      <c r="H144" s="2"/>
      <c r="I144" s="34"/>
      <c r="J144" s="34"/>
      <c r="K144" s="34"/>
      <c r="L144" s="34"/>
      <c r="M144" s="67"/>
      <c r="N144" s="34"/>
      <c r="O144" s="34"/>
      <c r="P144" s="34"/>
      <c r="Q144" s="34"/>
      <c r="R144" s="67"/>
      <c r="S144" s="34"/>
      <c r="T144" s="34"/>
      <c r="U144" s="34"/>
      <c r="V144" s="34"/>
    </row>
    <row r="145" spans="1:22" s="12" customFormat="1" ht="14.1" customHeight="1" thickBot="1" x14ac:dyDescent="0.25">
      <c r="A145" s="11"/>
      <c r="B145" s="11"/>
      <c r="C145" s="446"/>
      <c r="D145" s="13"/>
      <c r="E145" s="14"/>
      <c r="F145" s="55" t="s">
        <v>629</v>
      </c>
      <c r="G145" s="34"/>
      <c r="H145" s="2"/>
      <c r="I145" s="31">
        <f>I139+I143</f>
        <v>-8607067043.7499981</v>
      </c>
      <c r="J145" s="31">
        <f>J139+J143</f>
        <v>384372591.32300001</v>
      </c>
      <c r="K145" s="31">
        <f>K139+K143</f>
        <v>-1098207403.7800007</v>
      </c>
      <c r="L145" s="1">
        <f>L139+L143</f>
        <v>-9320901856.2069988</v>
      </c>
      <c r="M145" s="11"/>
      <c r="N145" s="31">
        <f>N139+N143</f>
        <v>-5164240226.2499981</v>
      </c>
      <c r="O145" s="31">
        <f>O139+O143</f>
        <v>230623554.79379997</v>
      </c>
      <c r="P145" s="31">
        <f>P139+P143</f>
        <v>-1098207403.7800007</v>
      </c>
      <c r="Q145" s="31">
        <f>Q139+Q143</f>
        <v>-6031824075.2361994</v>
      </c>
      <c r="R145" s="11"/>
      <c r="S145" s="31">
        <f>S139+S143</f>
        <v>3442826817.4999995</v>
      </c>
      <c r="T145" s="31">
        <f>T139+T143</f>
        <v>-153749036.52920005</v>
      </c>
      <c r="U145" s="31">
        <f>U139+U143</f>
        <v>0</v>
      </c>
      <c r="V145" s="31">
        <f>V139+V143</f>
        <v>3289077780.9707994</v>
      </c>
    </row>
    <row r="146" spans="1:22" s="39" customFormat="1" ht="14.1" customHeight="1" thickTop="1" x14ac:dyDescent="0.2">
      <c r="A146" s="67"/>
      <c r="B146" s="67"/>
      <c r="C146" s="446"/>
      <c r="D146" s="375"/>
      <c r="E146" s="14"/>
      <c r="F146" s="372"/>
      <c r="G146" s="34"/>
      <c r="H146" s="2"/>
      <c r="I146" s="32"/>
      <c r="J146" s="32"/>
      <c r="K146" s="32"/>
      <c r="L146" s="32"/>
      <c r="M146" s="67"/>
      <c r="N146" s="32"/>
      <c r="O146" s="32"/>
      <c r="P146" s="32"/>
      <c r="Q146" s="32"/>
      <c r="R146" s="67"/>
      <c r="S146" s="32"/>
      <c r="T146" s="32"/>
      <c r="U146" s="32"/>
      <c r="V146" s="32"/>
    </row>
    <row r="147" spans="1:22" s="39" customFormat="1" ht="14.1" customHeight="1" x14ac:dyDescent="0.2">
      <c r="A147" s="37" t="s">
        <v>609</v>
      </c>
      <c r="B147" s="67"/>
      <c r="C147" s="446"/>
      <c r="D147" s="375"/>
      <c r="E147" s="14"/>
      <c r="F147" s="372"/>
      <c r="G147" s="34"/>
      <c r="H147" s="2"/>
      <c r="I147" s="32"/>
      <c r="J147" s="32"/>
      <c r="K147" s="32"/>
      <c r="L147" s="32"/>
      <c r="M147" s="67"/>
      <c r="N147" s="32"/>
      <c r="O147" s="32"/>
      <c r="P147" s="32"/>
      <c r="Q147" s="32"/>
      <c r="R147" s="67"/>
      <c r="S147" s="32"/>
      <c r="T147" s="32"/>
      <c r="U147" s="32"/>
      <c r="V147" s="32"/>
    </row>
    <row r="148" spans="1:22" s="12" customFormat="1" ht="14.1" customHeight="1" x14ac:dyDescent="0.2">
      <c r="A148" s="36" t="s">
        <v>444</v>
      </c>
      <c r="B148" s="13">
        <v>282</v>
      </c>
      <c r="C148" s="389" t="s">
        <v>695</v>
      </c>
      <c r="D148" s="16">
        <v>4</v>
      </c>
      <c r="E148" s="14" t="s">
        <v>431</v>
      </c>
      <c r="F148" s="14" t="s">
        <v>401</v>
      </c>
      <c r="G148" s="34"/>
      <c r="H148" s="2"/>
      <c r="I148" s="34">
        <f>-'FPL FAS109 B4 Tax Reform'!D106</f>
        <v>-7949858.9000000004</v>
      </c>
      <c r="J148" s="34"/>
      <c r="K148" s="34"/>
      <c r="L148" s="15">
        <f>SUM(I148:K148)</f>
        <v>-7949858.9000000004</v>
      </c>
      <c r="M148" s="11"/>
      <c r="N148" s="34">
        <f>-'FPL FAS109 w Tax Reform'!D117</f>
        <v>-7635859.3399999999</v>
      </c>
      <c r="O148" s="34"/>
      <c r="P148" s="34"/>
      <c r="Q148" s="15">
        <f>SUM(N148:P148)</f>
        <v>-7635859.3399999999</v>
      </c>
      <c r="R148" s="11"/>
      <c r="S148" s="15"/>
      <c r="T148" s="15"/>
      <c r="U148" s="15"/>
      <c r="V148" s="17">
        <f>SUM(S148:U148)</f>
        <v>0</v>
      </c>
    </row>
    <row r="149" spans="1:22" s="12" customFormat="1" ht="14.1" customHeight="1" x14ac:dyDescent="0.2">
      <c r="A149" s="36" t="s">
        <v>444</v>
      </c>
      <c r="B149" s="13">
        <v>282</v>
      </c>
      <c r="C149" s="389" t="s">
        <v>695</v>
      </c>
      <c r="D149" s="16">
        <v>4</v>
      </c>
      <c r="E149" s="14" t="s">
        <v>402</v>
      </c>
      <c r="F149" s="14" t="s">
        <v>401</v>
      </c>
      <c r="G149" s="34"/>
      <c r="H149" s="2"/>
      <c r="I149" s="34"/>
      <c r="J149" s="34">
        <f>-'FPL FAS109 B4 Tax Reform'!E106</f>
        <v>784998.89999999991</v>
      </c>
      <c r="K149" s="34">
        <f>-'FPL FAS109 B4 Tax Reform'!E91</f>
        <v>-2242854</v>
      </c>
      <c r="L149" s="15">
        <f>SUM(I149:K149)</f>
        <v>-1457855.1</v>
      </c>
      <c r="M149" s="11"/>
      <c r="N149" s="34"/>
      <c r="O149" s="34">
        <f>-'FPL FAS109 w Tax Reform'!E117</f>
        <v>470999.33999999997</v>
      </c>
      <c r="P149" s="34">
        <f>-'FPL FAS109 w Tax Reform'!E102</f>
        <v>-2242854</v>
      </c>
      <c r="Q149" s="15">
        <f>SUM(N149:P149)</f>
        <v>-1771854.6600000001</v>
      </c>
      <c r="R149" s="11"/>
      <c r="S149" s="15"/>
      <c r="T149" s="15"/>
      <c r="U149" s="15"/>
      <c r="V149" s="17">
        <f>SUM(S149:U149)</f>
        <v>0</v>
      </c>
    </row>
    <row r="150" spans="1:22" s="39" customFormat="1" ht="14.1" customHeight="1" thickBot="1" x14ac:dyDescent="0.25">
      <c r="A150" s="36"/>
      <c r="B150" s="375"/>
      <c r="C150" s="389"/>
      <c r="D150" s="376"/>
      <c r="E150" s="14"/>
      <c r="F150" s="14"/>
      <c r="G150" s="34"/>
      <c r="H150" s="2"/>
      <c r="I150" s="68">
        <f>SUM(I148:I149)</f>
        <v>-7949858.9000000004</v>
      </c>
      <c r="J150" s="68">
        <f t="shared" ref="J150:L150" si="68">SUM(J148:J149)</f>
        <v>784998.89999999991</v>
      </c>
      <c r="K150" s="68">
        <f t="shared" si="68"/>
        <v>-2242854</v>
      </c>
      <c r="L150" s="68">
        <f t="shared" si="68"/>
        <v>-9407714</v>
      </c>
      <c r="M150" s="67"/>
      <c r="N150" s="68">
        <f>SUM(N148:N149)</f>
        <v>-7635859.3399999999</v>
      </c>
      <c r="O150" s="68">
        <f t="shared" ref="O150" si="69">SUM(O148:O149)</f>
        <v>470999.33999999997</v>
      </c>
      <c r="P150" s="68">
        <f t="shared" ref="P150" si="70">SUM(P148:P149)</f>
        <v>-2242854</v>
      </c>
      <c r="Q150" s="379">
        <f t="shared" ref="Q150" si="71">SUM(Q148:Q149)</f>
        <v>-9407714</v>
      </c>
      <c r="R150" s="67"/>
      <c r="S150" s="68">
        <f>SUM(S148:S149)</f>
        <v>0</v>
      </c>
      <c r="T150" s="68">
        <f t="shared" ref="T150" si="72">SUM(T148:T149)</f>
        <v>0</v>
      </c>
      <c r="U150" s="68">
        <f t="shared" ref="U150" si="73">SUM(U148:U149)</f>
        <v>0</v>
      </c>
      <c r="V150" s="68">
        <f t="shared" ref="V150" si="74">SUM(V148:V149)</f>
        <v>0</v>
      </c>
    </row>
    <row r="151" spans="1:22" s="39" customFormat="1" ht="14.1" customHeight="1" thickTop="1" x14ac:dyDescent="0.2">
      <c r="A151" s="36"/>
      <c r="B151" s="375"/>
      <c r="C151" s="389"/>
      <c r="D151" s="376"/>
      <c r="E151" s="14"/>
      <c r="F151" s="14"/>
      <c r="G151" s="34"/>
      <c r="H151" s="2"/>
      <c r="I151" s="34"/>
      <c r="J151" s="34"/>
      <c r="K151" s="34"/>
      <c r="L151" s="370"/>
      <c r="M151" s="67"/>
      <c r="N151" s="34"/>
      <c r="O151" s="34"/>
      <c r="P151" s="34"/>
      <c r="Q151" s="370"/>
      <c r="R151" s="67"/>
      <c r="S151" s="370"/>
      <c r="T151" s="370"/>
      <c r="U151" s="370"/>
      <c r="V151" s="17"/>
    </row>
    <row r="152" spans="1:22" s="12" customFormat="1" ht="14.1" customHeight="1" x14ac:dyDescent="0.2">
      <c r="A152" s="37" t="s">
        <v>443</v>
      </c>
      <c r="B152" s="11"/>
      <c r="C152" s="446"/>
      <c r="D152" s="13"/>
      <c r="E152" s="14"/>
      <c r="F152" s="14"/>
      <c r="G152" s="34"/>
      <c r="H152" s="2"/>
      <c r="I152" s="34"/>
      <c r="J152" s="34"/>
      <c r="K152" s="34"/>
      <c r="L152" s="34"/>
      <c r="M152" s="11"/>
      <c r="N152" s="11"/>
      <c r="O152" s="34"/>
      <c r="P152" s="34"/>
      <c r="Q152" s="34"/>
      <c r="R152" s="11"/>
      <c r="S152" s="34"/>
      <c r="T152" s="34"/>
      <c r="U152" s="34"/>
      <c r="V152" s="34"/>
    </row>
    <row r="153" spans="1:22" s="12" customFormat="1" ht="14.1" customHeight="1" x14ac:dyDescent="0.2">
      <c r="A153" s="36" t="s">
        <v>444</v>
      </c>
      <c r="B153" s="13">
        <v>190</v>
      </c>
      <c r="C153" s="389"/>
      <c r="D153" s="16">
        <v>30</v>
      </c>
      <c r="E153" s="14" t="s">
        <v>396</v>
      </c>
      <c r="F153" s="14" t="s">
        <v>395</v>
      </c>
      <c r="G153" s="34"/>
      <c r="H153" s="2"/>
      <c r="I153" s="34">
        <f>'FPL FAS109 B4 Tax Reform'!Q106</f>
        <v>73167013.900000006</v>
      </c>
      <c r="J153" s="34"/>
      <c r="K153" s="34"/>
      <c r="L153" s="15">
        <f t="shared" ref="L153:L158" si="75">SUM(I153:K153)</f>
        <v>73167013.900000006</v>
      </c>
      <c r="M153" s="11"/>
      <c r="N153" s="34">
        <f>'FPL FAS109 w Tax Reform'!Q117</f>
        <v>724559919.25999999</v>
      </c>
      <c r="O153" s="34"/>
      <c r="P153" s="34"/>
      <c r="Q153" s="15">
        <f t="shared" ref="Q153:Q158" si="76">SUM(N153:P153)</f>
        <v>724559919.25999999</v>
      </c>
      <c r="R153" s="11"/>
      <c r="S153" s="15"/>
      <c r="T153" s="15"/>
      <c r="U153" s="15"/>
      <c r="V153" s="15">
        <f t="shared" ref="V153:V158" si="77">SUM(S153:U153)</f>
        <v>0</v>
      </c>
    </row>
    <row r="154" spans="1:22" s="12" customFormat="1" ht="14.1" customHeight="1" x14ac:dyDescent="0.2">
      <c r="A154" s="36" t="s">
        <v>444</v>
      </c>
      <c r="B154" s="13">
        <v>282</v>
      </c>
      <c r="C154" s="389"/>
      <c r="D154" s="16">
        <v>30</v>
      </c>
      <c r="E154" s="14" t="s">
        <v>394</v>
      </c>
      <c r="F154" s="14" t="s">
        <v>393</v>
      </c>
      <c r="G154" s="34"/>
      <c r="H154" s="2"/>
      <c r="I154" s="34">
        <f>'FPL FAS109 B4 Tax Reform'!S106</f>
        <v>-199508476.34999999</v>
      </c>
      <c r="J154" s="34"/>
      <c r="K154" s="34"/>
      <c r="L154" s="15">
        <f t="shared" si="75"/>
        <v>-199508476.34999999</v>
      </c>
      <c r="M154" s="11"/>
      <c r="N154" s="34">
        <f>'FPL FAS109 w Tax Reform'!S117</f>
        <v>2783947559.3899999</v>
      </c>
      <c r="O154" s="34"/>
      <c r="P154" s="34"/>
      <c r="Q154" s="15">
        <f t="shared" si="76"/>
        <v>2783947559.3899999</v>
      </c>
      <c r="R154" s="11"/>
      <c r="S154" s="15"/>
      <c r="T154" s="15"/>
      <c r="U154" s="15"/>
      <c r="V154" s="15">
        <f t="shared" si="77"/>
        <v>0</v>
      </c>
    </row>
    <row r="155" spans="1:22" s="12" customFormat="1" ht="14.1" customHeight="1" x14ac:dyDescent="0.2">
      <c r="A155" s="36" t="s">
        <v>444</v>
      </c>
      <c r="B155" s="13">
        <v>283</v>
      </c>
      <c r="C155" s="389"/>
      <c r="D155" s="16">
        <v>30</v>
      </c>
      <c r="E155" s="14" t="s">
        <v>392</v>
      </c>
      <c r="F155" s="14" t="s">
        <v>391</v>
      </c>
      <c r="G155" s="34"/>
      <c r="H155" s="2"/>
      <c r="I155" s="34">
        <f>'FPL FAS109 B4 Tax Reform'!U106</f>
        <v>-130284171.45</v>
      </c>
      <c r="J155" s="34"/>
      <c r="K155" s="34"/>
      <c r="L155" s="15">
        <f t="shared" si="75"/>
        <v>-130284171.45</v>
      </c>
      <c r="M155" s="11"/>
      <c r="N155" s="34">
        <f>'FPL FAS109 w Tax Reform'!U117</f>
        <v>582790634.45000005</v>
      </c>
      <c r="O155" s="34"/>
      <c r="P155" s="34"/>
      <c r="Q155" s="15">
        <f t="shared" si="76"/>
        <v>582790634.45000005</v>
      </c>
      <c r="R155" s="11"/>
      <c r="S155" s="15"/>
      <c r="T155" s="15"/>
      <c r="U155" s="15"/>
      <c r="V155" s="15">
        <f t="shared" si="77"/>
        <v>0</v>
      </c>
    </row>
    <row r="156" spans="1:22" s="12" customFormat="1" ht="14.1" customHeight="1" x14ac:dyDescent="0.2">
      <c r="A156" s="36" t="s">
        <v>444</v>
      </c>
      <c r="B156" s="13">
        <v>190</v>
      </c>
      <c r="C156" s="389"/>
      <c r="D156" s="16">
        <v>30</v>
      </c>
      <c r="E156" s="14" t="s">
        <v>386</v>
      </c>
      <c r="F156" s="14" t="s">
        <v>395</v>
      </c>
      <c r="G156" s="34"/>
      <c r="H156" s="2"/>
      <c r="I156" s="34"/>
      <c r="J156" s="34">
        <f>'FPL FAS109 B4 Tax Reform'!R106</f>
        <v>-4024185.9</v>
      </c>
      <c r="K156" s="34">
        <f>'FPL FAS109 B4 Tax Reform'!R100</f>
        <v>11497674</v>
      </c>
      <c r="L156" s="15">
        <f t="shared" si="75"/>
        <v>7473488.0999999996</v>
      </c>
      <c r="M156" s="11"/>
      <c r="N156" s="34"/>
      <c r="O156" s="34">
        <f>'FPL FAS109 w Tax Reform'!R117</f>
        <v>-57969052.259999998</v>
      </c>
      <c r="P156" s="34">
        <f>'FPL FAS109 w Tax Reform'!R111</f>
        <v>276043106</v>
      </c>
      <c r="Q156" s="15">
        <f t="shared" si="76"/>
        <v>218074053.74000001</v>
      </c>
      <c r="R156" s="11"/>
      <c r="S156" s="15"/>
      <c r="T156" s="15"/>
      <c r="U156" s="15"/>
      <c r="V156" s="15">
        <f t="shared" si="77"/>
        <v>0</v>
      </c>
    </row>
    <row r="157" spans="1:22" s="12" customFormat="1" ht="14.1" customHeight="1" x14ac:dyDescent="0.2">
      <c r="A157" s="36" t="s">
        <v>444</v>
      </c>
      <c r="B157" s="13">
        <v>282</v>
      </c>
      <c r="C157" s="389"/>
      <c r="D157" s="16">
        <v>30</v>
      </c>
      <c r="E157" s="14" t="s">
        <v>384</v>
      </c>
      <c r="F157" s="14" t="s">
        <v>393</v>
      </c>
      <c r="G157" s="34"/>
      <c r="H157" s="2"/>
      <c r="I157" s="34"/>
      <c r="J157" s="34">
        <f>'FPL FAS109 B4 Tax Reform'!T106</f>
        <v>10625209.35</v>
      </c>
      <c r="K157" s="34">
        <f>'FPL FAS109 B4 Tax Reform'!T100</f>
        <v>-30357741</v>
      </c>
      <c r="L157" s="15">
        <f t="shared" si="75"/>
        <v>-19732531.649999999</v>
      </c>
      <c r="M157" s="11"/>
      <c r="N157" s="34"/>
      <c r="O157" s="34">
        <f>'FPL FAS109 w Tax Reform'!T117</f>
        <v>6375125.6099999994</v>
      </c>
      <c r="P157" s="34">
        <f>'FPL FAS109 w Tax Reform'!T111</f>
        <v>-30357741</v>
      </c>
      <c r="Q157" s="15">
        <f t="shared" si="76"/>
        <v>-23982615.390000001</v>
      </c>
      <c r="R157" s="11"/>
      <c r="S157" s="15"/>
      <c r="T157" s="15"/>
      <c r="U157" s="15"/>
      <c r="V157" s="15">
        <f t="shared" si="77"/>
        <v>0</v>
      </c>
    </row>
    <row r="158" spans="1:22" s="12" customFormat="1" ht="14.1" customHeight="1" x14ac:dyDescent="0.2">
      <c r="A158" s="36" t="s">
        <v>444</v>
      </c>
      <c r="B158" s="13">
        <v>283</v>
      </c>
      <c r="C158" s="389"/>
      <c r="D158" s="16">
        <v>30</v>
      </c>
      <c r="E158" s="14" t="s">
        <v>382</v>
      </c>
      <c r="F158" s="14" t="s">
        <v>391</v>
      </c>
      <c r="G158" s="34"/>
      <c r="H158" s="2"/>
      <c r="I158" s="34"/>
      <c r="J158" s="34">
        <f>'FPL FAS109 B4 Tax Reform'!V106</f>
        <v>7165629.4499999993</v>
      </c>
      <c r="K158" s="34">
        <f>'FPL FAS109 B4 Tax Reform'!V100</f>
        <v>-20473227</v>
      </c>
      <c r="L158" s="15">
        <f t="shared" si="75"/>
        <v>-13307597.550000001</v>
      </c>
      <c r="M158" s="11"/>
      <c r="N158" s="34"/>
      <c r="O158" s="34">
        <f>'FPL FAS109 w Tax Reform'!V117</f>
        <v>7420781.5499999998</v>
      </c>
      <c r="P158" s="34">
        <f>'FPL FAS109 w Tax Reform'!V111</f>
        <v>-35337055</v>
      </c>
      <c r="Q158" s="15">
        <f t="shared" si="76"/>
        <v>-27916273.449999999</v>
      </c>
      <c r="R158" s="11"/>
      <c r="S158" s="15"/>
      <c r="T158" s="15"/>
      <c r="U158" s="15"/>
      <c r="V158" s="15">
        <f t="shared" si="77"/>
        <v>0</v>
      </c>
    </row>
    <row r="159" spans="1:22" s="13" customFormat="1" ht="14.1" customHeight="1" thickBot="1" x14ac:dyDescent="0.25">
      <c r="C159" s="446"/>
      <c r="E159" s="11"/>
      <c r="F159" s="33" t="s">
        <v>442</v>
      </c>
      <c r="G159" s="34"/>
      <c r="H159" s="2"/>
      <c r="I159" s="38">
        <f>SUM(I153:I158)</f>
        <v>-256625633.89999998</v>
      </c>
      <c r="J159" s="38">
        <f>SUM(J153:J158)</f>
        <v>13766652.899999999</v>
      </c>
      <c r="K159" s="38">
        <f>SUM(K153:K158)</f>
        <v>-39333294</v>
      </c>
      <c r="L159" s="38">
        <f>SUM(L153:L158)</f>
        <v>-282192275</v>
      </c>
      <c r="M159" s="11"/>
      <c r="N159" s="38">
        <f>SUM(N153:N158)</f>
        <v>4091298113.0999994</v>
      </c>
      <c r="O159" s="38">
        <f>SUM(O153:O158)</f>
        <v>-44173145.100000001</v>
      </c>
      <c r="P159" s="38">
        <f>SUM(P153:P158)</f>
        <v>210348310</v>
      </c>
      <c r="Q159" s="9">
        <f>SUM(Q153:Q158)</f>
        <v>4257473277.9999995</v>
      </c>
      <c r="R159" s="11"/>
      <c r="S159" s="35">
        <f>SUM(S153:S158)</f>
        <v>0</v>
      </c>
      <c r="T159" s="35">
        <f>SUM(T153:T158)</f>
        <v>0</v>
      </c>
      <c r="U159" s="35">
        <f>SUM(U153:U158)</f>
        <v>0</v>
      </c>
      <c r="V159" s="35">
        <f>SUM(V153:V158)</f>
        <v>0</v>
      </c>
    </row>
    <row r="160" spans="1:22" s="13" customFormat="1" ht="14.1" customHeight="1" thickTop="1" x14ac:dyDescent="0.2">
      <c r="C160" s="446"/>
      <c r="E160" s="11"/>
      <c r="F160" s="11"/>
      <c r="G160" s="34"/>
      <c r="H160" s="2"/>
      <c r="I160" s="34"/>
      <c r="J160" s="34"/>
      <c r="K160" s="34"/>
      <c r="L160" s="34"/>
      <c r="M160" s="11"/>
      <c r="N160" s="34"/>
      <c r="O160" s="34"/>
      <c r="P160" s="34"/>
      <c r="Q160" s="34"/>
      <c r="R160" s="11"/>
      <c r="S160" s="34"/>
      <c r="T160" s="34"/>
      <c r="U160" s="34"/>
      <c r="V160" s="34"/>
    </row>
    <row r="161" spans="2:22" s="13" customFormat="1" ht="14.1" customHeight="1" thickBot="1" x14ac:dyDescent="0.25">
      <c r="C161" s="446"/>
      <c r="E161" s="11"/>
      <c r="F161" s="33" t="s">
        <v>441</v>
      </c>
      <c r="G161" s="32"/>
      <c r="H161" s="2"/>
      <c r="I161" s="31">
        <f>I145+I150+I159</f>
        <v>-8871642536.5499973</v>
      </c>
      <c r="J161" s="31">
        <f>J145+J150+J159</f>
        <v>398924243.12299997</v>
      </c>
      <c r="K161" s="31">
        <f>K145+K150+K159</f>
        <v>-1139783551.7800007</v>
      </c>
      <c r="L161" s="31">
        <f>L145+L150+L159</f>
        <v>-9612501845.2069988</v>
      </c>
      <c r="M161" s="11"/>
      <c r="N161" s="31"/>
      <c r="O161" s="31"/>
      <c r="P161" s="31"/>
      <c r="Q161" s="31"/>
      <c r="R161" s="11"/>
      <c r="S161" s="31">
        <f>S145+S150+S159</f>
        <v>3442826817.4999995</v>
      </c>
      <c r="T161" s="31">
        <f>T145+T150+T159</f>
        <v>-153749036.52920005</v>
      </c>
      <c r="U161" s="31">
        <f>U145+U150+U159</f>
        <v>0</v>
      </c>
      <c r="V161" s="31">
        <f>V145+V150+V159</f>
        <v>3289077780.9707994</v>
      </c>
    </row>
    <row r="162" spans="2:22" s="13" customFormat="1" ht="14.1" customHeight="1" thickTop="1" x14ac:dyDescent="0.2">
      <c r="D162" s="11"/>
      <c r="E162" s="11"/>
      <c r="F162" s="11"/>
      <c r="G162" s="11"/>
      <c r="H162" s="2"/>
      <c r="I162" s="11"/>
      <c r="J162" s="11"/>
      <c r="K162" s="11"/>
      <c r="L162" s="15"/>
      <c r="M162" s="11"/>
      <c r="N162" s="11"/>
      <c r="O162" s="11"/>
      <c r="P162" s="11"/>
      <c r="Q162" s="15"/>
      <c r="R162" s="11"/>
      <c r="S162" s="11"/>
      <c r="T162" s="11"/>
      <c r="U162" s="11"/>
      <c r="V162" s="14"/>
    </row>
    <row r="163" spans="2:22" s="13" customFormat="1" ht="14.1" customHeight="1" thickBot="1" x14ac:dyDescent="0.25">
      <c r="C163" s="11"/>
      <c r="D163" s="11"/>
      <c r="E163" s="11"/>
      <c r="F163" s="11"/>
      <c r="G163" s="11"/>
      <c r="H163" s="2"/>
      <c r="I163" s="11"/>
      <c r="J163" s="11"/>
      <c r="K163" s="11"/>
      <c r="L163" s="11"/>
      <c r="M163" s="11"/>
      <c r="N163" s="11"/>
      <c r="O163" s="11"/>
      <c r="P163" s="11"/>
      <c r="Q163" s="60"/>
      <c r="R163" s="11"/>
      <c r="S163" s="15"/>
      <c r="T163" s="15"/>
      <c r="U163" s="11"/>
      <c r="V163" s="17"/>
    </row>
    <row r="164" spans="2:22" s="13" customFormat="1" ht="14.1" customHeight="1" thickTop="1" x14ac:dyDescent="0.2">
      <c r="C164" s="11"/>
      <c r="D164" s="11"/>
      <c r="E164" s="11"/>
      <c r="F164" s="30" t="s">
        <v>440</v>
      </c>
      <c r="G164" s="29"/>
      <c r="H164" s="3"/>
      <c r="I164" s="28"/>
      <c r="J164" s="11"/>
      <c r="K164" s="11"/>
      <c r="L164" s="11"/>
      <c r="M164" s="11"/>
      <c r="N164" s="11"/>
      <c r="O164" s="11"/>
      <c r="P164" s="11"/>
      <c r="Q164" s="15"/>
      <c r="R164" s="11"/>
      <c r="S164" s="15"/>
      <c r="T164" s="15"/>
      <c r="U164" s="11"/>
      <c r="V164" s="17"/>
    </row>
    <row r="165" spans="2:22" s="13" customFormat="1" ht="14.1" customHeight="1" x14ac:dyDescent="0.2">
      <c r="C165" s="11"/>
      <c r="D165" s="11"/>
      <c r="F165" s="27" t="s">
        <v>439</v>
      </c>
      <c r="G165" s="12"/>
      <c r="H165" s="4"/>
      <c r="I165" s="26"/>
      <c r="J165" s="11"/>
      <c r="K165" s="11"/>
      <c r="L165" s="11"/>
      <c r="M165" s="11"/>
      <c r="N165" s="11"/>
      <c r="O165" s="11"/>
      <c r="P165" s="11"/>
      <c r="Q165" s="11"/>
      <c r="R165" s="11"/>
      <c r="U165" s="11"/>
      <c r="V165" s="17"/>
    </row>
    <row r="166" spans="2:22" s="13" customFormat="1" ht="14.1" customHeight="1" x14ac:dyDescent="0.2">
      <c r="C166" s="11"/>
      <c r="D166" s="11"/>
      <c r="E166" s="13" t="s">
        <v>438</v>
      </c>
      <c r="F166" s="21" t="s">
        <v>436</v>
      </c>
      <c r="G166" s="12"/>
      <c r="H166" s="4"/>
      <c r="I166" s="22">
        <f>-S57-T57</f>
        <v>329422850.14590007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7"/>
    </row>
    <row r="167" spans="2:22" s="13" customFormat="1" ht="14.1" customHeight="1" x14ac:dyDescent="0.2">
      <c r="C167" s="11"/>
      <c r="D167" s="11"/>
      <c r="E167" s="13" t="s">
        <v>438</v>
      </c>
      <c r="F167" s="21" t="s">
        <v>435</v>
      </c>
      <c r="G167" s="12"/>
      <c r="H167" s="4"/>
      <c r="I167" s="22">
        <f>-S86-T86-T137-T143</f>
        <v>-2900786700.5984998</v>
      </c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4"/>
    </row>
    <row r="168" spans="2:22" s="13" customFormat="1" ht="14.1" customHeight="1" x14ac:dyDescent="0.2">
      <c r="C168" s="11"/>
      <c r="D168" s="11"/>
      <c r="E168" s="13" t="s">
        <v>438</v>
      </c>
      <c r="F168" s="21" t="s">
        <v>434</v>
      </c>
      <c r="G168" s="12"/>
      <c r="H168" s="4"/>
      <c r="I168" s="22">
        <f>-S125-T125</f>
        <v>-717713930.5181998</v>
      </c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7"/>
    </row>
    <row r="169" spans="2:22" s="13" customFormat="1" ht="14.1" customHeight="1" thickBot="1" x14ac:dyDescent="0.25">
      <c r="C169" s="11"/>
      <c r="D169" s="11"/>
      <c r="F169" s="24" t="s">
        <v>437</v>
      </c>
      <c r="G169" s="12"/>
      <c r="H169" s="4"/>
      <c r="I169" s="23">
        <f>SUM(I166:I168)</f>
        <v>-3289077780.9707994</v>
      </c>
      <c r="J169" s="11"/>
      <c r="K169" s="11"/>
      <c r="L169" s="15"/>
      <c r="M169" s="11"/>
      <c r="N169" s="11"/>
      <c r="O169" s="11"/>
      <c r="P169" s="11"/>
      <c r="Q169" s="11"/>
      <c r="R169" s="11"/>
      <c r="S169" s="11"/>
      <c r="T169" s="11"/>
      <c r="U169" s="11"/>
      <c r="V169" s="17"/>
    </row>
    <row r="170" spans="2:22" s="13" customFormat="1" ht="14.1" customHeight="1" thickTop="1" x14ac:dyDescent="0.2">
      <c r="C170" s="11"/>
      <c r="D170" s="11"/>
      <c r="F170" s="21"/>
      <c r="G170" s="12"/>
      <c r="H170" s="4"/>
      <c r="I170" s="25"/>
      <c r="J170" s="11"/>
      <c r="K170" s="15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7"/>
    </row>
    <row r="171" spans="2:22" s="12" customFormat="1" ht="14.1" customHeight="1" thickBot="1" x14ac:dyDescent="0.25">
      <c r="E171" s="11"/>
      <c r="F171" s="20"/>
      <c r="G171" s="19" t="s">
        <v>433</v>
      </c>
      <c r="H171" s="5"/>
      <c r="I171" s="6">
        <f>I169+V145</f>
        <v>0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7"/>
    </row>
    <row r="172" spans="2:22" s="12" customFormat="1" ht="14.1" customHeight="1" thickTop="1" x14ac:dyDescent="0.2">
      <c r="E172" s="11"/>
      <c r="F172" s="11"/>
      <c r="G172" s="11"/>
      <c r="H172" s="2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4"/>
    </row>
    <row r="173" spans="2:22" s="12" customFormat="1" ht="14.1" customHeight="1" x14ac:dyDescent="0.2">
      <c r="E173" s="11"/>
      <c r="F173" s="11"/>
      <c r="G173" s="11"/>
      <c r="H173" s="2"/>
      <c r="I173" s="452" t="s">
        <v>565</v>
      </c>
      <c r="J173" s="452"/>
      <c r="K173" s="452"/>
      <c r="L173" s="452"/>
      <c r="N173" s="452" t="s">
        <v>588</v>
      </c>
      <c r="O173" s="452"/>
      <c r="P173" s="452"/>
      <c r="Q173" s="452"/>
      <c r="S173" s="452" t="s">
        <v>587</v>
      </c>
      <c r="T173" s="452"/>
      <c r="U173" s="452"/>
      <c r="V173" s="452"/>
    </row>
    <row r="174" spans="2:22" s="12" customFormat="1" ht="14.1" customHeight="1" x14ac:dyDescent="0.2">
      <c r="E174" s="11"/>
      <c r="F174" s="11"/>
      <c r="G174" s="11"/>
      <c r="H174" s="2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4"/>
    </row>
    <row r="175" spans="2:22" s="12" customFormat="1" ht="14.1" customHeight="1" x14ac:dyDescent="0.2">
      <c r="E175" s="11"/>
      <c r="F175" s="69" t="s">
        <v>498</v>
      </c>
      <c r="G175" s="11"/>
      <c r="H175" s="2"/>
      <c r="I175" s="45" t="s">
        <v>467</v>
      </c>
      <c r="J175" s="45" t="s">
        <v>466</v>
      </c>
      <c r="K175" s="45" t="s">
        <v>465</v>
      </c>
      <c r="L175" s="45" t="s">
        <v>187</v>
      </c>
      <c r="M175" s="46"/>
      <c r="N175" s="45" t="s">
        <v>467</v>
      </c>
      <c r="O175" s="45" t="s">
        <v>466</v>
      </c>
      <c r="P175" s="45" t="s">
        <v>465</v>
      </c>
      <c r="Q175" s="45" t="s">
        <v>187</v>
      </c>
      <c r="R175" s="46"/>
      <c r="S175" s="45" t="s">
        <v>467</v>
      </c>
      <c r="T175" s="45" t="s">
        <v>466</v>
      </c>
      <c r="U175" s="45" t="s">
        <v>465</v>
      </c>
      <c r="V175" s="45" t="s">
        <v>187</v>
      </c>
    </row>
    <row r="176" spans="2:22" ht="14.1" customHeight="1" x14ac:dyDescent="0.2">
      <c r="B176" s="13">
        <v>190</v>
      </c>
      <c r="G176" s="11" t="s">
        <v>494</v>
      </c>
      <c r="I176" s="15">
        <f t="shared" ref="I176:L178" si="78">SUMIF($B$10:$B$158,$B176,I$10:I$159)</f>
        <v>944656035.44999993</v>
      </c>
      <c r="J176" s="15">
        <f t="shared" si="78"/>
        <v>-51956082.085249983</v>
      </c>
      <c r="K176" s="15">
        <f t="shared" si="78"/>
        <v>148445948.815</v>
      </c>
      <c r="L176" s="15">
        <f t="shared" si="78"/>
        <v>1041145902.1797501</v>
      </c>
      <c r="N176" s="15">
        <f>I176-I153+N153</f>
        <v>1596048940.8099999</v>
      </c>
      <c r="O176" s="221">
        <f>J176-J156+O156</f>
        <v>-105900948.44524997</v>
      </c>
      <c r="P176" s="221">
        <f>K176-K156+P156</f>
        <v>412991380.815</v>
      </c>
      <c r="Q176" s="15">
        <f>SUM(N176:P176)</f>
        <v>1903139373.17975</v>
      </c>
      <c r="S176" s="15">
        <f t="shared" ref="S176:S178" si="79">N176-I176</f>
        <v>651392905.36000001</v>
      </c>
      <c r="T176" s="15">
        <f t="shared" ref="T176:T178" si="80">O176-J176</f>
        <v>-53944866.359999992</v>
      </c>
      <c r="U176" s="15">
        <f t="shared" ref="U176:U178" si="81">P176-K176</f>
        <v>264545432</v>
      </c>
      <c r="V176" s="15">
        <f>SUM(S176:U176)</f>
        <v>861993471</v>
      </c>
    </row>
    <row r="177" spans="2:22" s="12" customFormat="1" ht="14.1" customHeight="1" x14ac:dyDescent="0.2">
      <c r="B177" s="13">
        <v>282</v>
      </c>
      <c r="E177" s="11"/>
      <c r="F177" s="11"/>
      <c r="G177" s="11" t="s">
        <v>495</v>
      </c>
      <c r="H177" s="2"/>
      <c r="I177" s="15">
        <f t="shared" si="78"/>
        <v>-7787300298.6499987</v>
      </c>
      <c r="J177" s="15">
        <f t="shared" si="78"/>
        <v>339285420.15375</v>
      </c>
      <c r="K177" s="15">
        <f t="shared" si="78"/>
        <v>-969386914.72500062</v>
      </c>
      <c r="L177" s="15">
        <f t="shared" si="78"/>
        <v>-8417401793.2212505</v>
      </c>
      <c r="M177" s="11"/>
      <c r="N177" s="221">
        <f t="shared" ref="N177:N178" si="82">I177-I154+N154</f>
        <v>-4803844262.9099979</v>
      </c>
      <c r="O177" s="221">
        <f t="shared" ref="O177:O178" si="83">J177-J157+O157</f>
        <v>335035336.41374999</v>
      </c>
      <c r="P177" s="221">
        <f t="shared" ref="P177:P178" si="84">K177-K157+P157</f>
        <v>-969386914.72500062</v>
      </c>
      <c r="Q177" s="15">
        <f>SUM(N177:P177)</f>
        <v>-5438195841.2212486</v>
      </c>
      <c r="R177" s="11"/>
      <c r="S177" s="15">
        <f t="shared" si="79"/>
        <v>2983456035.7400007</v>
      </c>
      <c r="T177" s="15">
        <f t="shared" si="80"/>
        <v>-4250083.7400000095</v>
      </c>
      <c r="U177" s="15">
        <f t="shared" si="81"/>
        <v>0</v>
      </c>
      <c r="V177" s="15">
        <f>SUM(S177:U177)</f>
        <v>2979205952.000001</v>
      </c>
    </row>
    <row r="178" spans="2:22" s="12" customFormat="1" ht="14.1" customHeight="1" x14ac:dyDescent="0.2">
      <c r="B178" s="13">
        <v>283</v>
      </c>
      <c r="E178" s="11"/>
      <c r="F178" s="11"/>
      <c r="G178" s="11" t="s">
        <v>496</v>
      </c>
      <c r="H178" s="2"/>
      <c r="I178" s="15">
        <f t="shared" si="78"/>
        <v>-2028998273.3499999</v>
      </c>
      <c r="J178" s="15">
        <f t="shared" si="78"/>
        <v>111594905.0545</v>
      </c>
      <c r="K178" s="15">
        <f t="shared" si="78"/>
        <v>-318842585.87000012</v>
      </c>
      <c r="L178" s="15">
        <f t="shared" si="78"/>
        <v>-2236245954.1655002</v>
      </c>
      <c r="M178" s="11"/>
      <c r="N178" s="221">
        <f t="shared" si="82"/>
        <v>-1315923467.4499998</v>
      </c>
      <c r="O178" s="221">
        <f t="shared" si="83"/>
        <v>111850057.15449999</v>
      </c>
      <c r="P178" s="221">
        <f t="shared" si="84"/>
        <v>-333706413.87000012</v>
      </c>
      <c r="Q178" s="15">
        <f>SUM(N178:P178)</f>
        <v>-1537779824.1654999</v>
      </c>
      <c r="R178" s="11"/>
      <c r="S178" s="15">
        <f t="shared" si="79"/>
        <v>713074805.9000001</v>
      </c>
      <c r="T178" s="15">
        <f t="shared" si="80"/>
        <v>255152.09999999404</v>
      </c>
      <c r="U178" s="15">
        <f t="shared" si="81"/>
        <v>-14863828</v>
      </c>
      <c r="V178" s="15">
        <f>SUM(S178:U178)</f>
        <v>698466130.00000012</v>
      </c>
    </row>
    <row r="179" spans="2:22" s="12" customFormat="1" ht="14.1" customHeight="1" thickBot="1" x14ac:dyDescent="0.25">
      <c r="E179" s="11"/>
      <c r="F179" s="11"/>
      <c r="G179" s="11"/>
      <c r="H179" s="2"/>
      <c r="I179" s="68">
        <f>SUM(I176:I178)</f>
        <v>-8871642536.5499992</v>
      </c>
      <c r="J179" s="68">
        <f t="shared" ref="J179:L179" si="85">SUM(J176:J178)</f>
        <v>398924243.12300003</v>
      </c>
      <c r="K179" s="68">
        <f t="shared" si="85"/>
        <v>-1139783551.7800007</v>
      </c>
      <c r="L179" s="72">
        <f t="shared" si="85"/>
        <v>-9612501845.2070007</v>
      </c>
      <c r="M179" s="11"/>
      <c r="N179" s="68">
        <f>SUM(N176:N178)</f>
        <v>-4523718789.5499973</v>
      </c>
      <c r="O179" s="68">
        <f t="shared" ref="O179" si="86">SUM(O176:O178)</f>
        <v>340984445.12300003</v>
      </c>
      <c r="P179" s="68">
        <f t="shared" ref="P179" si="87">SUM(P176:P178)</f>
        <v>-890101947.78000069</v>
      </c>
      <c r="Q179" s="72">
        <f t="shared" ref="Q179" si="88">SUM(Q176:Q178)</f>
        <v>-5072836292.2069988</v>
      </c>
      <c r="R179" s="11"/>
      <c r="S179" s="68">
        <f>SUM(S176:S178)</f>
        <v>4347923747.000001</v>
      </c>
      <c r="T179" s="68">
        <f t="shared" ref="T179" si="89">SUM(T176:T178)</f>
        <v>-57939798.000000007</v>
      </c>
      <c r="U179" s="68">
        <f t="shared" ref="U179:V179" si="90">SUM(U176:U178)</f>
        <v>249681604</v>
      </c>
      <c r="V179" s="68">
        <f t="shared" si="90"/>
        <v>4539665553.000001</v>
      </c>
    </row>
    <row r="180" spans="2:22" s="12" customFormat="1" ht="14.1" customHeight="1" thickTop="1" x14ac:dyDescent="0.2">
      <c r="E180" s="11"/>
      <c r="F180" s="11"/>
      <c r="G180" s="11"/>
      <c r="H180" s="2"/>
      <c r="I180" s="15"/>
      <c r="J180" s="15"/>
      <c r="K180" s="15"/>
      <c r="L180" s="15"/>
      <c r="M180" s="11"/>
      <c r="N180" s="11"/>
      <c r="O180" s="11"/>
      <c r="P180" s="11"/>
      <c r="Q180" s="11"/>
      <c r="R180" s="11"/>
      <c r="S180" s="15"/>
      <c r="T180" s="15"/>
      <c r="U180" s="15"/>
      <c r="V180" s="17"/>
    </row>
    <row r="181" spans="2:22" ht="14.1" customHeight="1" x14ac:dyDescent="0.2">
      <c r="I181" s="15"/>
      <c r="J181" s="15"/>
      <c r="K181" s="15"/>
      <c r="L181" s="15"/>
    </row>
    <row r="182" spans="2:22" ht="14.1" customHeight="1" x14ac:dyDescent="0.2">
      <c r="I182" s="15"/>
      <c r="J182" s="15"/>
      <c r="K182" s="15"/>
      <c r="L182" s="15"/>
      <c r="N182" s="11" t="s">
        <v>606</v>
      </c>
    </row>
    <row r="183" spans="2:22" ht="14.1" customHeight="1" x14ac:dyDescent="0.2">
      <c r="I183" s="15"/>
      <c r="J183" s="15"/>
      <c r="K183" s="15"/>
      <c r="L183" s="15"/>
    </row>
    <row r="184" spans="2:22" ht="14.1" customHeight="1" x14ac:dyDescent="0.2">
      <c r="I184" s="15"/>
      <c r="J184" s="15"/>
      <c r="K184" s="15"/>
      <c r="L184" s="15"/>
    </row>
    <row r="185" spans="2:22" ht="14.1" customHeight="1" x14ac:dyDescent="0.2">
      <c r="I185" s="15"/>
      <c r="J185" s="15"/>
      <c r="K185" s="15"/>
      <c r="L185" s="15"/>
    </row>
    <row r="186" spans="2:22" ht="14.1" customHeight="1" x14ac:dyDescent="0.2">
      <c r="I186" s="15"/>
      <c r="J186" s="15"/>
      <c r="K186" s="15"/>
      <c r="L186" s="15"/>
    </row>
    <row r="191" spans="2:22" ht="14.1" customHeight="1" x14ac:dyDescent="0.2">
      <c r="C191" s="15"/>
      <c r="D191" s="15"/>
    </row>
    <row r="192" spans="2:22" ht="14.1" customHeight="1" x14ac:dyDescent="0.2">
      <c r="C192" s="15"/>
      <c r="D192" s="15"/>
    </row>
  </sheetData>
  <autoFilter ref="A9:V161"/>
  <mergeCells count="6">
    <mergeCell ref="I5:L5"/>
    <mergeCell ref="N5:Q5"/>
    <mergeCell ref="S5:V5"/>
    <mergeCell ref="I173:L173"/>
    <mergeCell ref="N173:Q173"/>
    <mergeCell ref="S173:V173"/>
  </mergeCells>
  <pageMargins left="0.25" right="0" top="0.25" bottom="0.25" header="0.3" footer="0"/>
  <pageSetup paperSize="5" scale="73" orientation="landscape" r:id="rId1"/>
  <headerFooter>
    <oddFooter>&amp;L&amp;"Calibri,Regular"&amp;9&amp;Z&amp;F&amp;R&amp;"Calibri,Regular"&amp;9&amp;A</oddFooter>
  </headerFooter>
  <ignoredErrors>
    <ignoredError sqref="O176:O178 G62:G63 G68:G69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E1" sqref="E1:F2"/>
    </sheetView>
  </sheetViews>
  <sheetFormatPr defaultColWidth="9" defaultRowHeight="14.1" customHeight="1" x14ac:dyDescent="0.2"/>
  <cols>
    <col min="1" max="1" width="5.140625" style="11" customWidth="1"/>
    <col min="2" max="2" width="6.7109375" style="11" customWidth="1"/>
    <col min="3" max="3" width="15.7109375" style="11" customWidth="1"/>
    <col min="4" max="4" width="7.7109375" style="11" customWidth="1"/>
    <col min="5" max="5" width="11.5703125" style="11" customWidth="1"/>
    <col min="6" max="6" width="24.140625" style="11" customWidth="1"/>
    <col min="7" max="7" width="12.42578125" style="11" customWidth="1"/>
    <col min="8" max="8" width="3.42578125" style="11" customWidth="1"/>
    <col min="9" max="12" width="10.42578125" style="11" customWidth="1"/>
    <col min="13" max="13" width="3.42578125" style="11" customWidth="1"/>
    <col min="14" max="17" width="10.42578125" style="11" customWidth="1"/>
    <col min="18" max="18" width="3.42578125" style="11" customWidth="1"/>
    <col min="19" max="22" width="10.42578125" style="11" customWidth="1"/>
    <col min="23" max="16384" width="9" style="11"/>
  </cols>
  <sheetData>
    <row r="1" spans="1:22" ht="14.1" customHeight="1" x14ac:dyDescent="0.2">
      <c r="A1" s="33" t="s">
        <v>481</v>
      </c>
      <c r="E1" s="455" t="s">
        <v>715</v>
      </c>
      <c r="F1" s="455"/>
    </row>
    <row r="2" spans="1:22" ht="14.1" customHeight="1" x14ac:dyDescent="0.2">
      <c r="A2" s="33" t="s">
        <v>482</v>
      </c>
      <c r="E2" s="455" t="s">
        <v>710</v>
      </c>
      <c r="F2" s="455"/>
    </row>
    <row r="3" spans="1:22" ht="14.1" customHeight="1" x14ac:dyDescent="0.2">
      <c r="A3" s="33" t="s">
        <v>478</v>
      </c>
      <c r="E3" s="14"/>
      <c r="F3" s="53"/>
    </row>
    <row r="4" spans="1:22" ht="14.1" customHeight="1" x14ac:dyDescent="0.2">
      <c r="A4" s="52" t="s">
        <v>477</v>
      </c>
      <c r="E4" s="14"/>
      <c r="F4" s="53"/>
      <c r="I4" s="450" t="s">
        <v>476</v>
      </c>
      <c r="J4" s="450"/>
      <c r="K4" s="450"/>
      <c r="L4" s="450"/>
      <c r="N4" s="450" t="s">
        <v>475</v>
      </c>
      <c r="O4" s="450"/>
      <c r="P4" s="450"/>
      <c r="Q4" s="450"/>
      <c r="S4" s="450" t="s">
        <v>474</v>
      </c>
      <c r="T4" s="450"/>
      <c r="U4" s="450"/>
      <c r="V4" s="450"/>
    </row>
    <row r="5" spans="1:22" ht="14.1" customHeight="1" x14ac:dyDescent="0.2">
      <c r="A5" s="52"/>
      <c r="E5" s="51"/>
      <c r="F5" s="14"/>
    </row>
    <row r="6" spans="1:22" ht="14.1" customHeight="1" x14ac:dyDescent="0.2">
      <c r="E6" s="14"/>
      <c r="F6" s="435" t="s">
        <v>512</v>
      </c>
      <c r="I6" s="65">
        <v>0.35</v>
      </c>
      <c r="J6" s="388">
        <f>K6*-I6</f>
        <v>-1.925E-2</v>
      </c>
      <c r="K6" s="65">
        <v>5.5E-2</v>
      </c>
      <c r="L6" s="388">
        <f>I6+K6+(K6*-I6)</f>
        <v>0.38574999999999998</v>
      </c>
      <c r="M6" s="67"/>
      <c r="N6" s="65">
        <v>0.21</v>
      </c>
      <c r="O6" s="388">
        <f>P6*-N6</f>
        <v>-1.155E-2</v>
      </c>
      <c r="P6" s="65">
        <v>5.5E-2</v>
      </c>
      <c r="Q6" s="388">
        <f>N6+P6+(P6*-N6)</f>
        <v>0.25345000000000001</v>
      </c>
      <c r="R6" s="67"/>
      <c r="S6" s="65">
        <f>N6-I6</f>
        <v>-0.13999999999999999</v>
      </c>
      <c r="T6" s="388">
        <f>O6-J6</f>
        <v>7.7000000000000002E-3</v>
      </c>
      <c r="U6" s="65">
        <f>P6-K6</f>
        <v>0</v>
      </c>
      <c r="V6" s="447">
        <f>Q6-L6</f>
        <v>-0.13229999999999997</v>
      </c>
    </row>
    <row r="7" spans="1:22" ht="14.1" customHeight="1" x14ac:dyDescent="0.2">
      <c r="E7" s="14"/>
      <c r="F7" s="14"/>
      <c r="J7" s="50"/>
      <c r="K7" s="49"/>
      <c r="O7" s="50"/>
      <c r="P7" s="49"/>
    </row>
    <row r="8" spans="1:22" ht="36" customHeight="1" x14ac:dyDescent="0.2">
      <c r="A8" s="48" t="s">
        <v>473</v>
      </c>
      <c r="B8" s="48" t="s">
        <v>497</v>
      </c>
      <c r="C8" s="44" t="s">
        <v>472</v>
      </c>
      <c r="D8" s="377" t="s">
        <v>694</v>
      </c>
      <c r="E8" s="45" t="s">
        <v>2</v>
      </c>
      <c r="F8" s="45" t="s">
        <v>188</v>
      </c>
      <c r="G8" s="47" t="s">
        <v>471</v>
      </c>
      <c r="H8" s="46" t="s">
        <v>470</v>
      </c>
      <c r="I8" s="45" t="s">
        <v>467</v>
      </c>
      <c r="J8" s="45" t="s">
        <v>466</v>
      </c>
      <c r="K8" s="45" t="s">
        <v>465</v>
      </c>
      <c r="L8" s="45" t="s">
        <v>187</v>
      </c>
      <c r="M8" s="46" t="s">
        <v>469</v>
      </c>
      <c r="N8" s="45" t="s">
        <v>467</v>
      </c>
      <c r="O8" s="45" t="s">
        <v>466</v>
      </c>
      <c r="P8" s="45" t="s">
        <v>465</v>
      </c>
      <c r="Q8" s="45" t="s">
        <v>187</v>
      </c>
      <c r="R8" s="46" t="s">
        <v>468</v>
      </c>
      <c r="S8" s="45" t="s">
        <v>467</v>
      </c>
      <c r="T8" s="45" t="s">
        <v>466</v>
      </c>
      <c r="U8" s="45" t="s">
        <v>465</v>
      </c>
      <c r="V8" s="45" t="s">
        <v>187</v>
      </c>
    </row>
    <row r="9" spans="1:22" ht="14.1" customHeight="1" x14ac:dyDescent="0.2">
      <c r="A9" s="63" t="s">
        <v>483</v>
      </c>
      <c r="B9" s="13">
        <v>190</v>
      </c>
      <c r="C9" s="389" t="s">
        <v>699</v>
      </c>
      <c r="D9" s="16">
        <v>1</v>
      </c>
      <c r="E9" s="14" t="s">
        <v>24</v>
      </c>
      <c r="F9" s="14" t="s">
        <v>210</v>
      </c>
      <c r="G9" s="15">
        <f>VLOOKUP(E9,'OTP FED Pre-Tax Balances'!$A:$K,7,FALSE)</f>
        <v>14074913</v>
      </c>
      <c r="I9" s="15">
        <f>G9*$I$6</f>
        <v>4926219.55</v>
      </c>
      <c r="J9" s="15">
        <f>-K9*$I$6</f>
        <v>-270942.07524999999</v>
      </c>
      <c r="K9" s="15">
        <f>G9*$K$6</f>
        <v>774120.21499999997</v>
      </c>
      <c r="L9" s="15">
        <f t="shared" ref="L9:L14" si="0">SUM(I9:K9)</f>
        <v>5429397.6897499999</v>
      </c>
      <c r="N9" s="15">
        <f>G9*$N$6</f>
        <v>2955731.73</v>
      </c>
      <c r="O9" s="15">
        <f>-P9*$N$6</f>
        <v>-162565.24514999997</v>
      </c>
      <c r="P9" s="15">
        <f>G9*$P$6</f>
        <v>774120.21499999997</v>
      </c>
      <c r="Q9" s="15">
        <f t="shared" ref="Q9:Q14" si="1">SUM(N9:P9)</f>
        <v>3567286.69985</v>
      </c>
      <c r="S9" s="15">
        <f t="shared" ref="S9:U14" si="2">N9-I9</f>
        <v>-1970487.8199999998</v>
      </c>
      <c r="T9" s="15">
        <f t="shared" si="2"/>
        <v>108376.83010000002</v>
      </c>
      <c r="U9" s="15">
        <f t="shared" si="2"/>
        <v>0</v>
      </c>
      <c r="V9" s="15">
        <f t="shared" ref="V9:V14" si="3">SUM(S9:U9)</f>
        <v>-1862110.9898999999</v>
      </c>
    </row>
    <row r="10" spans="1:22" ht="14.1" customHeight="1" x14ac:dyDescent="0.2">
      <c r="A10" s="63" t="s">
        <v>483</v>
      </c>
      <c r="B10" s="13">
        <v>190</v>
      </c>
      <c r="C10" s="389" t="s">
        <v>699</v>
      </c>
      <c r="D10" s="16">
        <v>1</v>
      </c>
      <c r="E10" s="14" t="s">
        <v>27</v>
      </c>
      <c r="F10" s="14" t="s">
        <v>213</v>
      </c>
      <c r="G10" s="370">
        <f>VLOOKUP(E10,'OTP FED Pre-Tax Balances'!$A:$K,7,FALSE)</f>
        <v>1893506</v>
      </c>
      <c r="I10" s="15">
        <f t="shared" ref="I10:I14" si="4">G10*$I$6</f>
        <v>662727.1</v>
      </c>
      <c r="J10" s="15">
        <f t="shared" ref="J10:J14" si="5">-K10*$I$6</f>
        <v>-36449.9905</v>
      </c>
      <c r="K10" s="15">
        <f t="shared" ref="K10:K14" si="6">G10*$K$6</f>
        <v>104142.83</v>
      </c>
      <c r="L10" s="15">
        <f t="shared" si="0"/>
        <v>730419.93949999998</v>
      </c>
      <c r="N10" s="15">
        <f t="shared" ref="N10:N14" si="7">G10*$N$6</f>
        <v>397636.26</v>
      </c>
      <c r="O10" s="15">
        <f t="shared" ref="O10:O14" si="8">-P10*$N$6</f>
        <v>-21869.994299999998</v>
      </c>
      <c r="P10" s="15">
        <f t="shared" ref="P10:P14" si="9">G10*$P$6</f>
        <v>104142.83</v>
      </c>
      <c r="Q10" s="15">
        <f t="shared" si="1"/>
        <v>479909.09570000001</v>
      </c>
      <c r="S10" s="15">
        <f t="shared" si="2"/>
        <v>-265090.83999999997</v>
      </c>
      <c r="T10" s="15">
        <f t="shared" si="2"/>
        <v>14579.996200000001</v>
      </c>
      <c r="U10" s="15">
        <f t="shared" si="2"/>
        <v>0</v>
      </c>
      <c r="V10" s="15">
        <f t="shared" si="3"/>
        <v>-250510.84379999997</v>
      </c>
    </row>
    <row r="11" spans="1:22" ht="14.1" customHeight="1" x14ac:dyDescent="0.2">
      <c r="A11" s="63"/>
      <c r="B11" s="14"/>
      <c r="C11" s="446"/>
      <c r="D11" s="16"/>
      <c r="E11" s="14"/>
      <c r="F11" s="61" t="s">
        <v>479</v>
      </c>
      <c r="G11" s="42">
        <f>SUM(G9:G10)</f>
        <v>15968419</v>
      </c>
      <c r="I11" s="42">
        <f t="shared" ref="I11:L11" si="10">SUM(I9:I10)</f>
        <v>5588946.6499999994</v>
      </c>
      <c r="J11" s="42">
        <f t="shared" si="10"/>
        <v>-307392.06575000001</v>
      </c>
      <c r="K11" s="42">
        <f t="shared" si="10"/>
        <v>878263.04499999993</v>
      </c>
      <c r="L11" s="42">
        <f t="shared" si="10"/>
        <v>6159817.6292500002</v>
      </c>
      <c r="N11" s="42">
        <f t="shared" ref="N11:Q11" si="11">SUM(N9:N10)</f>
        <v>3353367.99</v>
      </c>
      <c r="O11" s="42">
        <f t="shared" si="11"/>
        <v>-184435.23944999996</v>
      </c>
      <c r="P11" s="42">
        <f t="shared" si="11"/>
        <v>878263.04499999993</v>
      </c>
      <c r="Q11" s="42">
        <f t="shared" si="11"/>
        <v>4047195.7955499999</v>
      </c>
      <c r="S11" s="42">
        <f t="shared" ref="S11:V11" si="12">SUM(S9:S10)</f>
        <v>-2235578.6599999997</v>
      </c>
      <c r="T11" s="42">
        <f t="shared" si="12"/>
        <v>122956.82630000002</v>
      </c>
      <c r="U11" s="42">
        <f t="shared" si="12"/>
        <v>0</v>
      </c>
      <c r="V11" s="42">
        <f t="shared" si="12"/>
        <v>-2112621.8336999998</v>
      </c>
    </row>
    <row r="12" spans="1:22" ht="14.1" customHeight="1" x14ac:dyDescent="0.2">
      <c r="A12" s="63"/>
      <c r="B12" s="14"/>
      <c r="C12" s="446"/>
      <c r="D12" s="16"/>
      <c r="E12" s="14"/>
      <c r="F12" s="14"/>
      <c r="G12" s="15"/>
      <c r="I12" s="15"/>
      <c r="J12" s="15"/>
      <c r="K12" s="15"/>
      <c r="L12" s="15"/>
      <c r="N12" s="15"/>
      <c r="O12" s="15"/>
      <c r="P12" s="15"/>
      <c r="Q12" s="15"/>
      <c r="S12" s="15"/>
      <c r="T12" s="15"/>
      <c r="U12" s="15"/>
      <c r="V12" s="15"/>
    </row>
    <row r="13" spans="1:22" ht="14.1" customHeight="1" x14ac:dyDescent="0.2">
      <c r="A13" s="63" t="s">
        <v>483</v>
      </c>
      <c r="B13" s="13">
        <v>282</v>
      </c>
      <c r="C13" s="389" t="s">
        <v>699</v>
      </c>
      <c r="D13" s="16">
        <v>1</v>
      </c>
      <c r="E13" s="14" t="s">
        <v>45</v>
      </c>
      <c r="F13" s="14" t="s">
        <v>231</v>
      </c>
      <c r="G13" s="370">
        <f>VLOOKUP(E13,'OTP FED Pre-Tax Balances'!$A:$K,7,FALSE)</f>
        <v>-10855470</v>
      </c>
      <c r="I13" s="15">
        <f t="shared" si="4"/>
        <v>-3799414.4999999995</v>
      </c>
      <c r="J13" s="15">
        <f t="shared" si="5"/>
        <v>208967.79749999999</v>
      </c>
      <c r="K13" s="15">
        <f t="shared" si="6"/>
        <v>-597050.85</v>
      </c>
      <c r="L13" s="15">
        <f t="shared" si="0"/>
        <v>-4187497.5524999998</v>
      </c>
      <c r="N13" s="15">
        <f t="shared" si="7"/>
        <v>-2279648.6999999997</v>
      </c>
      <c r="O13" s="15">
        <f t="shared" si="8"/>
        <v>125380.67849999999</v>
      </c>
      <c r="P13" s="15">
        <f t="shared" si="9"/>
        <v>-597050.85</v>
      </c>
      <c r="Q13" s="15">
        <f t="shared" si="1"/>
        <v>-2751318.8714999999</v>
      </c>
      <c r="S13" s="15">
        <f t="shared" si="2"/>
        <v>1519765.7999999998</v>
      </c>
      <c r="T13" s="15">
        <f t="shared" si="2"/>
        <v>-83587.118999999992</v>
      </c>
      <c r="U13" s="15">
        <f t="shared" si="2"/>
        <v>0</v>
      </c>
      <c r="V13" s="15">
        <f t="shared" si="3"/>
        <v>1436178.6809999999</v>
      </c>
    </row>
    <row r="14" spans="1:22" ht="14.1" customHeight="1" x14ac:dyDescent="0.2">
      <c r="A14" s="63" t="s">
        <v>483</v>
      </c>
      <c r="B14" s="13">
        <v>282</v>
      </c>
      <c r="C14" s="389" t="s">
        <v>699</v>
      </c>
      <c r="D14" s="16">
        <v>1</v>
      </c>
      <c r="E14" s="14" t="s">
        <v>46</v>
      </c>
      <c r="F14" s="14" t="s">
        <v>232</v>
      </c>
      <c r="G14" s="370">
        <f>VLOOKUP(E14,'OTP FED Pre-Tax Balances'!$A:$K,7,FALSE)</f>
        <v>-5540839</v>
      </c>
      <c r="I14" s="15">
        <f t="shared" si="4"/>
        <v>-1939293.65</v>
      </c>
      <c r="J14" s="15">
        <f t="shared" si="5"/>
        <v>106661.15075</v>
      </c>
      <c r="K14" s="15">
        <f t="shared" si="6"/>
        <v>-304746.14500000002</v>
      </c>
      <c r="L14" s="15">
        <f t="shared" si="0"/>
        <v>-2137378.6442499999</v>
      </c>
      <c r="N14" s="15">
        <f t="shared" si="7"/>
        <v>-1163576.19</v>
      </c>
      <c r="O14" s="15">
        <f t="shared" si="8"/>
        <v>63996.690450000002</v>
      </c>
      <c r="P14" s="15">
        <f t="shared" si="9"/>
        <v>-304746.14500000002</v>
      </c>
      <c r="Q14" s="15">
        <f t="shared" si="1"/>
        <v>-1404325.6445499999</v>
      </c>
      <c r="S14" s="15">
        <f t="shared" si="2"/>
        <v>775717.46</v>
      </c>
      <c r="T14" s="15">
        <f t="shared" si="2"/>
        <v>-42664.460299999999</v>
      </c>
      <c r="U14" s="15">
        <f t="shared" si="2"/>
        <v>0</v>
      </c>
      <c r="V14" s="15">
        <f t="shared" si="3"/>
        <v>733052.99969999993</v>
      </c>
    </row>
    <row r="15" spans="1:22" ht="14.1" customHeight="1" x14ac:dyDescent="0.2">
      <c r="D15" s="13"/>
      <c r="F15" s="61" t="s">
        <v>480</v>
      </c>
      <c r="G15" s="42">
        <f>SUM(G13:G14)</f>
        <v>-16396309</v>
      </c>
      <c r="I15" s="42">
        <f>SUM(I13:I14)</f>
        <v>-5738708.1499999994</v>
      </c>
      <c r="J15" s="42">
        <f>SUM(J13:J14)</f>
        <v>315628.94825000002</v>
      </c>
      <c r="K15" s="42">
        <f>SUM(K13:K14)</f>
        <v>-901796.995</v>
      </c>
      <c r="L15" s="42">
        <f>SUM(L13:L14)</f>
        <v>-6324876.1967500001</v>
      </c>
      <c r="N15" s="42">
        <f>SUM(N13:N14)</f>
        <v>-3443224.8899999997</v>
      </c>
      <c r="O15" s="42">
        <f>SUM(O13:O14)</f>
        <v>189377.36895</v>
      </c>
      <c r="P15" s="42">
        <f>SUM(P13:P14)</f>
        <v>-901796.995</v>
      </c>
      <c r="Q15" s="42">
        <f>SUM(Q13:Q14)</f>
        <v>-4155644.5160499997</v>
      </c>
      <c r="S15" s="42">
        <f>SUM(S13:S14)</f>
        <v>2295483.2599999998</v>
      </c>
      <c r="T15" s="42">
        <f>SUM(T13:T14)</f>
        <v>-126251.57929999998</v>
      </c>
      <c r="U15" s="42">
        <f>SUM(U13:U14)</f>
        <v>0</v>
      </c>
      <c r="V15" s="42">
        <f>SUM(V13:V14)</f>
        <v>2169231.6806999999</v>
      </c>
    </row>
    <row r="18" spans="1:22" ht="14.1" customHeight="1" thickBot="1" x14ac:dyDescent="0.25">
      <c r="F18" s="372" t="s">
        <v>485</v>
      </c>
      <c r="G18" s="31">
        <f>G11+G15</f>
        <v>-427890</v>
      </c>
      <c r="I18" s="31">
        <f>I11+I15</f>
        <v>-149761.5</v>
      </c>
      <c r="J18" s="31">
        <f>J11+J15</f>
        <v>8236.882500000007</v>
      </c>
      <c r="K18" s="31">
        <f>K11+K15</f>
        <v>-23533.95000000007</v>
      </c>
      <c r="L18" s="31">
        <f>L11+L15</f>
        <v>-165058.56749999989</v>
      </c>
      <c r="N18" s="31">
        <f>N11+N15</f>
        <v>-89856.899999999441</v>
      </c>
      <c r="O18" s="31">
        <f>O11+O15</f>
        <v>4942.1295000000391</v>
      </c>
      <c r="P18" s="31">
        <f>P11+P15</f>
        <v>-23533.95000000007</v>
      </c>
      <c r="Q18" s="31">
        <f>Q11+Q15</f>
        <v>-108448.72049999982</v>
      </c>
      <c r="S18" s="31">
        <f>S11+S15</f>
        <v>59904.600000000093</v>
      </c>
      <c r="T18" s="31">
        <f>T11+T15</f>
        <v>-3294.7529999999679</v>
      </c>
      <c r="U18" s="31">
        <f>U11+U15</f>
        <v>0</v>
      </c>
      <c r="V18" s="31">
        <f>V11+V15</f>
        <v>56609.847000000067</v>
      </c>
    </row>
    <row r="19" spans="1:22" ht="14.1" customHeight="1" thickTop="1" x14ac:dyDescent="0.2"/>
    <row r="20" spans="1:22" ht="14.1" customHeight="1" thickBot="1" x14ac:dyDescent="0.25">
      <c r="V20" s="15"/>
    </row>
    <row r="21" spans="1:22" ht="14.1" customHeight="1" thickTop="1" x14ac:dyDescent="0.2">
      <c r="F21" s="30" t="s">
        <v>486</v>
      </c>
      <c r="G21" s="29"/>
      <c r="H21" s="29"/>
      <c r="I21" s="28"/>
      <c r="V21" s="15"/>
    </row>
    <row r="22" spans="1:22" ht="14.1" customHeight="1" x14ac:dyDescent="0.2">
      <c r="F22" s="27" t="s">
        <v>439</v>
      </c>
      <c r="G22" s="12"/>
      <c r="H22" s="12"/>
      <c r="I22" s="26"/>
    </row>
    <row r="23" spans="1:22" ht="14.1" customHeight="1" x14ac:dyDescent="0.2">
      <c r="F23" s="21" t="s">
        <v>436</v>
      </c>
      <c r="G23" s="12"/>
      <c r="H23" s="12"/>
      <c r="I23" s="22">
        <f>-S11-T11</f>
        <v>2112621.8336999998</v>
      </c>
    </row>
    <row r="24" spans="1:22" ht="14.1" customHeight="1" x14ac:dyDescent="0.2">
      <c r="F24" s="21" t="s">
        <v>435</v>
      </c>
      <c r="G24" s="12"/>
      <c r="H24" s="12"/>
      <c r="I24" s="22">
        <f>-S15-T15</f>
        <v>-2169231.6806999999</v>
      </c>
    </row>
    <row r="25" spans="1:22" ht="14.1" customHeight="1" x14ac:dyDescent="0.2">
      <c r="F25" s="21" t="s">
        <v>434</v>
      </c>
      <c r="G25" s="12"/>
      <c r="H25" s="12"/>
      <c r="I25" s="22"/>
    </row>
    <row r="26" spans="1:22" ht="14.1" customHeight="1" thickBot="1" x14ac:dyDescent="0.25">
      <c r="F26" s="21"/>
      <c r="G26" s="12"/>
      <c r="H26" s="12"/>
      <c r="I26" s="443">
        <f>SUM(I23:I25)</f>
        <v>-56609.847000000067</v>
      </c>
    </row>
    <row r="27" spans="1:22" ht="14.1" customHeight="1" thickTop="1" thickBot="1" x14ac:dyDescent="0.25">
      <c r="F27" s="20"/>
      <c r="G27" s="18"/>
      <c r="H27" s="18"/>
      <c r="I27" s="62"/>
    </row>
    <row r="28" spans="1:22" ht="14.1" customHeight="1" thickTop="1" x14ac:dyDescent="0.2"/>
    <row r="29" spans="1:22" ht="14.1" customHeight="1" x14ac:dyDescent="0.2">
      <c r="A29" s="37" t="s">
        <v>443</v>
      </c>
      <c r="F29" s="13"/>
    </row>
    <row r="30" spans="1:22" ht="14.1" customHeight="1" x14ac:dyDescent="0.2">
      <c r="A30" s="36" t="s">
        <v>483</v>
      </c>
      <c r="B30" s="13">
        <v>190</v>
      </c>
      <c r="D30" s="16">
        <v>30</v>
      </c>
      <c r="E30" s="14" t="s">
        <v>396</v>
      </c>
      <c r="F30" s="14" t="s">
        <v>395</v>
      </c>
      <c r="N30" s="15">
        <f>'CBAS FAS109 Entry'!P27</f>
        <v>-1502430.3136999998</v>
      </c>
      <c r="Q30" s="15">
        <f t="shared" ref="Q30:Q35" si="13">SUM(N30:P30)</f>
        <v>-1502430.3136999998</v>
      </c>
    </row>
    <row r="31" spans="1:22" ht="14.1" customHeight="1" x14ac:dyDescent="0.2">
      <c r="A31" s="36" t="s">
        <v>483</v>
      </c>
      <c r="B31" s="13">
        <v>282</v>
      </c>
      <c r="D31" s="16">
        <v>30</v>
      </c>
      <c r="E31" s="14" t="s">
        <v>394</v>
      </c>
      <c r="F31" s="14" t="s">
        <v>393</v>
      </c>
      <c r="N31" s="15">
        <f>'CBAS FAS109 Entry'!P28</f>
        <v>2169231.6806999999</v>
      </c>
      <c r="Q31" s="15">
        <f t="shared" si="13"/>
        <v>2169231.6806999999</v>
      </c>
    </row>
    <row r="32" spans="1:22" ht="14.1" customHeight="1" x14ac:dyDescent="0.2">
      <c r="A32" s="36" t="s">
        <v>483</v>
      </c>
      <c r="B32" s="13">
        <v>283</v>
      </c>
      <c r="D32" s="16">
        <v>30</v>
      </c>
      <c r="E32" s="14" t="s">
        <v>392</v>
      </c>
      <c r="F32" s="14" t="s">
        <v>391</v>
      </c>
      <c r="N32" s="15">
        <f>'CBAS FAS109 Entry'!P29</f>
        <v>-594267.81999999995</v>
      </c>
      <c r="Q32" s="15">
        <f t="shared" si="13"/>
        <v>-594267.81999999995</v>
      </c>
    </row>
    <row r="33" spans="1:22" ht="14.1" customHeight="1" x14ac:dyDescent="0.2">
      <c r="A33" s="36" t="s">
        <v>483</v>
      </c>
      <c r="B33" s="13">
        <v>190</v>
      </c>
      <c r="D33" s="16">
        <v>30</v>
      </c>
      <c r="E33" s="14" t="s">
        <v>386</v>
      </c>
      <c r="F33" s="14" t="s">
        <v>395</v>
      </c>
      <c r="O33" s="15">
        <f>'CBAS FAS109 Entry'!Q37</f>
        <v>-33560.519999999997</v>
      </c>
      <c r="P33" s="15">
        <f>'CBAS FAS109 Entry'!R31</f>
        <v>159812</v>
      </c>
      <c r="Q33" s="15">
        <f t="shared" si="13"/>
        <v>126251.48000000001</v>
      </c>
    </row>
    <row r="34" spans="1:22" ht="14.1" customHeight="1" x14ac:dyDescent="0.2">
      <c r="A34" s="36" t="s">
        <v>483</v>
      </c>
      <c r="B34" s="13">
        <v>282</v>
      </c>
      <c r="D34" s="16">
        <v>30</v>
      </c>
      <c r="E34" s="14" t="s">
        <v>384</v>
      </c>
      <c r="F34" s="14" t="s">
        <v>393</v>
      </c>
      <c r="O34" s="15">
        <f>'CBAS FAS109 Entry'!Q38</f>
        <v>0</v>
      </c>
      <c r="P34" s="15">
        <f>'CBAS FAS109 Entry'!R32</f>
        <v>0</v>
      </c>
      <c r="Q34" s="15">
        <f t="shared" si="13"/>
        <v>0</v>
      </c>
    </row>
    <row r="35" spans="1:22" ht="14.1" customHeight="1" x14ac:dyDescent="0.2">
      <c r="A35" s="36" t="s">
        <v>483</v>
      </c>
      <c r="B35" s="13">
        <v>283</v>
      </c>
      <c r="D35" s="16">
        <v>30</v>
      </c>
      <c r="E35" s="14" t="s">
        <v>382</v>
      </c>
      <c r="F35" s="14" t="s">
        <v>391</v>
      </c>
      <c r="O35" s="15">
        <f>'CBAS FAS109 Entry'!Q39</f>
        <v>32684.82</v>
      </c>
      <c r="P35" s="15">
        <f>'CBAS FAS109 Entry'!R33</f>
        <v>-155642</v>
      </c>
      <c r="Q35" s="15">
        <f t="shared" si="13"/>
        <v>-122957.18</v>
      </c>
    </row>
    <row r="36" spans="1:22" ht="14.1" customHeight="1" thickBot="1" x14ac:dyDescent="0.25">
      <c r="A36" s="13"/>
      <c r="B36" s="13"/>
      <c r="C36" s="13"/>
      <c r="D36" s="13"/>
      <c r="F36" s="33" t="s">
        <v>442</v>
      </c>
      <c r="N36" s="35">
        <f>SUM(N30:N35)</f>
        <v>72533.547000000137</v>
      </c>
      <c r="O36" s="35">
        <f>SUM(O30:O35)</f>
        <v>-875.69999999999709</v>
      </c>
      <c r="P36" s="35">
        <f>SUM(P30:P35)</f>
        <v>4170</v>
      </c>
      <c r="Q36" s="35">
        <f>SUM(Q30:Q35)</f>
        <v>75827.847000000154</v>
      </c>
    </row>
    <row r="37" spans="1:22" ht="14.1" customHeight="1" thickTop="1" x14ac:dyDescent="0.2"/>
    <row r="39" spans="1:22" ht="14.1" customHeight="1" x14ac:dyDescent="0.2">
      <c r="I39" s="452" t="s">
        <v>565</v>
      </c>
      <c r="J39" s="452"/>
      <c r="K39" s="452"/>
      <c r="L39" s="452"/>
      <c r="M39" s="12"/>
      <c r="N39" s="452" t="s">
        <v>588</v>
      </c>
      <c r="O39" s="452"/>
      <c r="P39" s="452"/>
      <c r="Q39" s="452"/>
      <c r="R39" s="12"/>
      <c r="S39" s="452" t="s">
        <v>587</v>
      </c>
      <c r="T39" s="452"/>
      <c r="U39" s="452"/>
      <c r="V39" s="452"/>
    </row>
    <row r="40" spans="1:22" ht="14.1" customHeight="1" x14ac:dyDescent="0.2">
      <c r="V40" s="14"/>
    </row>
    <row r="41" spans="1:22" ht="14.1" customHeight="1" x14ac:dyDescent="0.2">
      <c r="F41" s="69" t="s">
        <v>498</v>
      </c>
      <c r="I41" s="45" t="s">
        <v>467</v>
      </c>
      <c r="J41" s="45" t="s">
        <v>466</v>
      </c>
      <c r="K41" s="45" t="s">
        <v>465</v>
      </c>
      <c r="L41" s="45" t="s">
        <v>187</v>
      </c>
      <c r="M41" s="46"/>
      <c r="N41" s="45" t="s">
        <v>467</v>
      </c>
      <c r="O41" s="45" t="s">
        <v>466</v>
      </c>
      <c r="P41" s="45" t="s">
        <v>465</v>
      </c>
      <c r="Q41" s="45" t="s">
        <v>187</v>
      </c>
      <c r="R41" s="46"/>
      <c r="S41" s="45" t="s">
        <v>467</v>
      </c>
      <c r="T41" s="45" t="s">
        <v>466</v>
      </c>
      <c r="U41" s="45" t="s">
        <v>465</v>
      </c>
      <c r="V41" s="45" t="s">
        <v>187</v>
      </c>
    </row>
    <row r="42" spans="1:22" ht="14.1" customHeight="1" x14ac:dyDescent="0.2">
      <c r="G42" s="11" t="s">
        <v>494</v>
      </c>
      <c r="I42" s="15">
        <f>I11</f>
        <v>5588946.6499999994</v>
      </c>
      <c r="J42" s="15">
        <f>J11</f>
        <v>-307392.06575000001</v>
      </c>
      <c r="K42" s="15">
        <f>K11</f>
        <v>878263.04499999993</v>
      </c>
      <c r="L42" s="15">
        <f>SUM(I42:K42)</f>
        <v>6159817.6292499993</v>
      </c>
      <c r="N42" s="15">
        <f>I42+N30</f>
        <v>4086516.3362999996</v>
      </c>
      <c r="O42" s="15">
        <f t="shared" ref="O42:P44" si="14">J42+O33</f>
        <v>-340952.58575000003</v>
      </c>
      <c r="P42" s="15">
        <f t="shared" si="14"/>
        <v>1038075.0449999999</v>
      </c>
      <c r="Q42" s="15">
        <f>SUM(N42:P42)</f>
        <v>4783638.7955499999</v>
      </c>
      <c r="S42" s="15">
        <f t="shared" ref="S42:U44" si="15">N42-I42</f>
        <v>-1502430.3136999998</v>
      </c>
      <c r="T42" s="15">
        <f t="shared" si="15"/>
        <v>-33560.520000000019</v>
      </c>
      <c r="U42" s="15">
        <f t="shared" si="15"/>
        <v>159812</v>
      </c>
      <c r="V42" s="15">
        <f>SUM(S42:U42)</f>
        <v>-1376178.8336999998</v>
      </c>
    </row>
    <row r="43" spans="1:22" ht="14.1" customHeight="1" x14ac:dyDescent="0.2">
      <c r="G43" s="11" t="s">
        <v>495</v>
      </c>
      <c r="I43" s="15">
        <f>I15</f>
        <v>-5738708.1499999994</v>
      </c>
      <c r="J43" s="15">
        <f>J15</f>
        <v>315628.94825000002</v>
      </c>
      <c r="K43" s="15">
        <f>K15</f>
        <v>-901796.995</v>
      </c>
      <c r="L43" s="15">
        <f>SUM(I43:K43)</f>
        <v>-6324876.1967499992</v>
      </c>
      <c r="N43" s="15">
        <f>I43+N31</f>
        <v>-3569476.4692999995</v>
      </c>
      <c r="O43" s="15">
        <f t="shared" si="14"/>
        <v>315628.94825000002</v>
      </c>
      <c r="P43" s="15">
        <f t="shared" si="14"/>
        <v>-901796.995</v>
      </c>
      <c r="Q43" s="15">
        <f>SUM(N43:P43)</f>
        <v>-4155644.5160499997</v>
      </c>
      <c r="S43" s="15">
        <f t="shared" si="15"/>
        <v>2169231.6806999999</v>
      </c>
      <c r="T43" s="15">
        <f t="shared" si="15"/>
        <v>0</v>
      </c>
      <c r="U43" s="15">
        <f t="shared" si="15"/>
        <v>0</v>
      </c>
      <c r="V43" s="15">
        <f>SUM(S43:U43)</f>
        <v>2169231.6806999999</v>
      </c>
    </row>
    <row r="44" spans="1:22" ht="14.1" customHeight="1" x14ac:dyDescent="0.2">
      <c r="G44" s="11" t="s">
        <v>496</v>
      </c>
      <c r="I44" s="15"/>
      <c r="J44" s="15"/>
      <c r="K44" s="15"/>
      <c r="L44" s="15">
        <f>SUM(I44:K44)</f>
        <v>0</v>
      </c>
      <c r="N44" s="15">
        <f>I44+N32</f>
        <v>-594267.81999999995</v>
      </c>
      <c r="O44" s="15">
        <f t="shared" si="14"/>
        <v>32684.82</v>
      </c>
      <c r="P44" s="15">
        <f t="shared" si="14"/>
        <v>-155642</v>
      </c>
      <c r="Q44" s="15">
        <f>SUM(N44:P44)</f>
        <v>-717225</v>
      </c>
      <c r="S44" s="15">
        <f t="shared" si="15"/>
        <v>-594267.81999999995</v>
      </c>
      <c r="T44" s="15">
        <f t="shared" si="15"/>
        <v>32684.82</v>
      </c>
      <c r="U44" s="15">
        <f t="shared" si="15"/>
        <v>-155642</v>
      </c>
      <c r="V44" s="15">
        <f>SUM(S44:U44)</f>
        <v>-717225</v>
      </c>
    </row>
    <row r="45" spans="1:22" ht="14.1" customHeight="1" thickBot="1" x14ac:dyDescent="0.25">
      <c r="I45" s="68">
        <f>SUM(I42:I44)</f>
        <v>-149761.5</v>
      </c>
      <c r="J45" s="68">
        <f t="shared" ref="J45:L45" si="16">SUM(J42:J44)</f>
        <v>8236.882500000007</v>
      </c>
      <c r="K45" s="68">
        <f t="shared" si="16"/>
        <v>-23533.95000000007</v>
      </c>
      <c r="L45" s="68">
        <f t="shared" si="16"/>
        <v>-165058.56749999989</v>
      </c>
      <c r="N45" s="68">
        <f>SUM(N42:N44)</f>
        <v>-77227.952999999863</v>
      </c>
      <c r="O45" s="68">
        <f t="shared" ref="O45:Q45" si="17">SUM(O42:O44)</f>
        <v>7361.1824999999881</v>
      </c>
      <c r="P45" s="68">
        <f t="shared" si="17"/>
        <v>-19363.95000000007</v>
      </c>
      <c r="Q45" s="68">
        <f t="shared" si="17"/>
        <v>-89230.720499999821</v>
      </c>
      <c r="S45" s="68">
        <f>SUM(S42:S44)</f>
        <v>72533.547000000137</v>
      </c>
      <c r="T45" s="68">
        <f t="shared" ref="T45:V45" si="18">SUM(T42:T44)</f>
        <v>-875.70000000001892</v>
      </c>
      <c r="U45" s="68">
        <f t="shared" si="18"/>
        <v>4170</v>
      </c>
      <c r="V45" s="68">
        <f t="shared" si="18"/>
        <v>75827.847000000067</v>
      </c>
    </row>
    <row r="46" spans="1:22" ht="14.1" customHeight="1" thickTop="1" x14ac:dyDescent="0.2">
      <c r="I46" s="15"/>
      <c r="J46" s="15"/>
      <c r="K46" s="15"/>
      <c r="L46" s="15"/>
      <c r="S46" s="15"/>
      <c r="T46" s="15"/>
      <c r="U46" s="15"/>
      <c r="V46" s="17"/>
    </row>
    <row r="47" spans="1:22" ht="14.1" customHeight="1" x14ac:dyDescent="0.2">
      <c r="I47" s="15"/>
      <c r="J47" s="15"/>
      <c r="K47" s="15"/>
      <c r="L47" s="15"/>
      <c r="V47" s="14"/>
    </row>
    <row r="48" spans="1:22" ht="14.1" customHeight="1" x14ac:dyDescent="0.2">
      <c r="I48" s="15"/>
      <c r="J48" s="15"/>
      <c r="K48" s="15"/>
      <c r="L48" s="15"/>
      <c r="N48" s="11" t="s">
        <v>606</v>
      </c>
      <c r="V48" s="14"/>
    </row>
  </sheetData>
  <mergeCells count="6">
    <mergeCell ref="I4:L4"/>
    <mergeCell ref="N4:Q4"/>
    <mergeCell ref="S4:V4"/>
    <mergeCell ref="I39:L39"/>
    <mergeCell ref="N39:Q39"/>
    <mergeCell ref="S39:V39"/>
  </mergeCells>
  <pageMargins left="0.25" right="0" top="0.25" bottom="0.25" header="0.3" footer="0"/>
  <pageSetup paperSize="5" scale="80" orientation="landscape" r:id="rId1"/>
  <headerFooter>
    <oddFooter>&amp;L&amp;"Calibri,Regular"&amp;9&amp;Z&amp;F&amp;R&amp;"Calibri,Regular"&amp;9&amp;A</oddFooter>
  </headerFooter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workbookViewId="0">
      <selection activeCell="E1" sqref="E1:F2"/>
    </sheetView>
  </sheetViews>
  <sheetFormatPr defaultColWidth="9" defaultRowHeight="14.1" customHeight="1" x14ac:dyDescent="0.2"/>
  <cols>
    <col min="1" max="1" width="5.140625" style="11" customWidth="1"/>
    <col min="2" max="2" width="4.7109375" style="11" customWidth="1"/>
    <col min="3" max="3" width="20.42578125" style="11" customWidth="1"/>
    <col min="4" max="4" width="7.85546875" style="11" customWidth="1"/>
    <col min="5" max="5" width="11.140625" style="11" customWidth="1"/>
    <col min="6" max="6" width="19.42578125" style="11" customWidth="1"/>
    <col min="7" max="7" width="12.42578125" style="11" customWidth="1"/>
    <col min="8" max="8" width="3.42578125" style="11" customWidth="1"/>
    <col min="9" max="12" width="10.42578125" style="11" customWidth="1"/>
    <col min="13" max="13" width="3.42578125" style="11" customWidth="1"/>
    <col min="14" max="17" width="10.42578125" style="11" customWidth="1"/>
    <col min="18" max="18" width="3.42578125" style="11" customWidth="1"/>
    <col min="19" max="22" width="10.42578125" style="11" customWidth="1"/>
    <col min="23" max="16384" width="9" style="11"/>
  </cols>
  <sheetData>
    <row r="1" spans="1:22" ht="14.1" customHeight="1" x14ac:dyDescent="0.2">
      <c r="A1" s="33" t="s">
        <v>487</v>
      </c>
      <c r="E1" s="455" t="s">
        <v>716</v>
      </c>
      <c r="F1" s="455"/>
    </row>
    <row r="2" spans="1:22" ht="14.1" customHeight="1" x14ac:dyDescent="0.2">
      <c r="A2" s="33" t="s">
        <v>488</v>
      </c>
      <c r="E2" s="455" t="s">
        <v>710</v>
      </c>
      <c r="F2" s="455"/>
    </row>
    <row r="3" spans="1:22" ht="14.1" customHeight="1" x14ac:dyDescent="0.2">
      <c r="A3" s="33" t="s">
        <v>478</v>
      </c>
      <c r="E3" s="14"/>
      <c r="F3" s="53"/>
    </row>
    <row r="4" spans="1:22" ht="14.1" customHeight="1" x14ac:dyDescent="0.2">
      <c r="A4" s="52" t="s">
        <v>477</v>
      </c>
      <c r="E4" s="14"/>
      <c r="F4" s="53"/>
      <c r="I4" s="450" t="s">
        <v>476</v>
      </c>
      <c r="J4" s="450"/>
      <c r="K4" s="450"/>
      <c r="L4" s="450"/>
      <c r="N4" s="450" t="s">
        <v>475</v>
      </c>
      <c r="O4" s="450"/>
      <c r="P4" s="450"/>
      <c r="Q4" s="450"/>
      <c r="S4" s="450" t="s">
        <v>474</v>
      </c>
      <c r="T4" s="450"/>
      <c r="U4" s="450"/>
      <c r="V4" s="450"/>
    </row>
    <row r="5" spans="1:22" ht="14.1" customHeight="1" x14ac:dyDescent="0.2">
      <c r="A5" s="52"/>
      <c r="E5" s="51"/>
      <c r="F5" s="14"/>
    </row>
    <row r="6" spans="1:22" ht="14.1" customHeight="1" x14ac:dyDescent="0.2">
      <c r="E6" s="14"/>
      <c r="F6" s="435" t="s">
        <v>512</v>
      </c>
      <c r="I6" s="65">
        <v>0.35</v>
      </c>
      <c r="J6" s="388">
        <f>K6*-I6</f>
        <v>-1.925E-2</v>
      </c>
      <c r="K6" s="65">
        <v>5.5E-2</v>
      </c>
      <c r="L6" s="388">
        <f>I6+K6+(K6*-I6)</f>
        <v>0.38574999999999998</v>
      </c>
      <c r="M6" s="67"/>
      <c r="N6" s="65">
        <v>0.21</v>
      </c>
      <c r="O6" s="388">
        <f>P6*-N6</f>
        <v>-1.155E-2</v>
      </c>
      <c r="P6" s="65">
        <v>5.5E-2</v>
      </c>
      <c r="Q6" s="388">
        <f>N6+P6+(P6*-N6)</f>
        <v>0.25345000000000001</v>
      </c>
      <c r="R6" s="67"/>
      <c r="S6" s="65">
        <f>N6-I6</f>
        <v>-0.13999999999999999</v>
      </c>
      <c r="T6" s="388">
        <f>O6-J6</f>
        <v>7.7000000000000002E-3</v>
      </c>
      <c r="U6" s="65">
        <f>P6-K6</f>
        <v>0</v>
      </c>
      <c r="V6" s="447">
        <f>Q6-L6</f>
        <v>-0.13229999999999997</v>
      </c>
    </row>
    <row r="7" spans="1:22" ht="14.1" customHeight="1" x14ac:dyDescent="0.2">
      <c r="E7" s="14"/>
      <c r="F7" s="14"/>
      <c r="J7" s="50"/>
      <c r="K7" s="49"/>
      <c r="O7" s="50"/>
      <c r="P7" s="49"/>
    </row>
    <row r="8" spans="1:22" ht="36" customHeight="1" x14ac:dyDescent="0.2">
      <c r="A8" s="48" t="s">
        <v>473</v>
      </c>
      <c r="B8" s="48" t="s">
        <v>497</v>
      </c>
      <c r="C8" s="44" t="s">
        <v>472</v>
      </c>
      <c r="D8" s="377" t="s">
        <v>694</v>
      </c>
      <c r="E8" s="45" t="s">
        <v>2</v>
      </c>
      <c r="F8" s="45" t="s">
        <v>188</v>
      </c>
      <c r="G8" s="47" t="s">
        <v>471</v>
      </c>
      <c r="H8" s="46" t="s">
        <v>470</v>
      </c>
      <c r="I8" s="45" t="s">
        <v>467</v>
      </c>
      <c r="J8" s="45" t="s">
        <v>466</v>
      </c>
      <c r="K8" s="45" t="s">
        <v>465</v>
      </c>
      <c r="L8" s="45" t="s">
        <v>187</v>
      </c>
      <c r="M8" s="46" t="s">
        <v>470</v>
      </c>
      <c r="N8" s="45" t="s">
        <v>467</v>
      </c>
      <c r="O8" s="45" t="s">
        <v>466</v>
      </c>
      <c r="P8" s="45" t="s">
        <v>465</v>
      </c>
      <c r="Q8" s="45" t="s">
        <v>187</v>
      </c>
      <c r="R8" s="46" t="s">
        <v>470</v>
      </c>
      <c r="S8" s="45" t="s">
        <v>467</v>
      </c>
      <c r="T8" s="45" t="s">
        <v>466</v>
      </c>
      <c r="U8" s="45" t="s">
        <v>465</v>
      </c>
      <c r="V8" s="45" t="s">
        <v>187</v>
      </c>
    </row>
    <row r="9" spans="1:22" ht="14.1" customHeight="1" x14ac:dyDescent="0.2">
      <c r="A9" s="36"/>
      <c r="B9" s="14"/>
      <c r="C9" s="15"/>
      <c r="D9" s="15"/>
      <c r="E9" s="14"/>
      <c r="F9" s="14"/>
      <c r="G9" s="15"/>
      <c r="I9" s="15"/>
      <c r="J9" s="15"/>
      <c r="K9" s="15"/>
      <c r="L9" s="15"/>
      <c r="N9" s="15"/>
      <c r="O9" s="15"/>
      <c r="P9" s="15"/>
      <c r="Q9" s="15"/>
      <c r="S9" s="15"/>
      <c r="T9" s="15"/>
      <c r="U9" s="15"/>
      <c r="V9" s="15"/>
    </row>
    <row r="10" spans="1:22" ht="14.1" customHeight="1" x14ac:dyDescent="0.2">
      <c r="A10" s="36"/>
      <c r="B10" s="14"/>
      <c r="D10" s="16"/>
      <c r="E10" s="14"/>
      <c r="F10" s="14"/>
      <c r="G10" s="15"/>
      <c r="I10" s="15"/>
      <c r="J10" s="15"/>
      <c r="K10" s="15"/>
      <c r="L10" s="15"/>
      <c r="N10" s="15"/>
      <c r="O10" s="15"/>
      <c r="P10" s="15"/>
      <c r="Q10" s="15"/>
      <c r="S10" s="15"/>
      <c r="T10" s="15"/>
      <c r="U10" s="15"/>
      <c r="V10" s="15"/>
    </row>
    <row r="11" spans="1:22" ht="14.1" customHeight="1" x14ac:dyDescent="0.2">
      <c r="A11" s="63">
        <v>1508</v>
      </c>
      <c r="B11" s="13">
        <v>282</v>
      </c>
      <c r="C11" s="15" t="s">
        <v>489</v>
      </c>
      <c r="D11" s="16">
        <v>20</v>
      </c>
      <c r="E11" s="14" t="s">
        <v>45</v>
      </c>
      <c r="F11" s="14" t="s">
        <v>231</v>
      </c>
      <c r="G11" s="15">
        <f>VLOOKUP(E11,'OTP FED Pre-Tax Balances'!$A:$K,8,FALSE)</f>
        <v>434568750</v>
      </c>
      <c r="I11" s="15">
        <f t="shared" ref="I11:I13" si="0">G11*$I$6</f>
        <v>152099062.5</v>
      </c>
      <c r="J11" s="15">
        <f t="shared" ref="J11:J13" si="1">-K11*$I$6</f>
        <v>-8365448.4374999991</v>
      </c>
      <c r="K11" s="15">
        <f t="shared" ref="K11:K13" si="2">G11*$K$6</f>
        <v>23901281.25</v>
      </c>
      <c r="L11" s="15">
        <f t="shared" ref="L11:L13" si="3">SUM(I11:K11)</f>
        <v>167634895.3125</v>
      </c>
      <c r="N11" s="15">
        <f t="shared" ref="N11:N13" si="4">G11*$N$6</f>
        <v>91259437.5</v>
      </c>
      <c r="O11" s="15">
        <f t="shared" ref="O11:O13" si="5">-P11*$N$6</f>
        <v>-5019269.0625</v>
      </c>
      <c r="P11" s="15">
        <f t="shared" ref="P11:P13" si="6">G11*$P$6</f>
        <v>23901281.25</v>
      </c>
      <c r="Q11" s="15">
        <f t="shared" ref="Q11:Q13" si="7">SUM(N11:P11)</f>
        <v>110141449.6875</v>
      </c>
      <c r="S11" s="15">
        <f t="shared" ref="S11:U13" si="8">N11-I11</f>
        <v>-60839625</v>
      </c>
      <c r="T11" s="15">
        <f t="shared" si="8"/>
        <v>3346179.3749999991</v>
      </c>
      <c r="U11" s="15">
        <f t="shared" si="8"/>
        <v>0</v>
      </c>
      <c r="V11" s="15">
        <f t="shared" ref="V11:V13" si="9">SUM(S11:U11)</f>
        <v>-57493445.625</v>
      </c>
    </row>
    <row r="12" spans="1:22" ht="14.1" customHeight="1" x14ac:dyDescent="0.2">
      <c r="A12" s="63">
        <v>1508</v>
      </c>
      <c r="B12" s="13">
        <v>282</v>
      </c>
      <c r="C12" s="15" t="s">
        <v>699</v>
      </c>
      <c r="D12" s="16">
        <v>20</v>
      </c>
      <c r="E12" s="14" t="s">
        <v>60</v>
      </c>
      <c r="F12" s="14" t="s">
        <v>246</v>
      </c>
      <c r="G12" s="370">
        <f>VLOOKUP(E12,'OTP FED Pre-Tax Balances'!$A:$K,8,FALSE)</f>
        <v>10885315</v>
      </c>
      <c r="I12" s="15">
        <f t="shared" si="0"/>
        <v>3809860.2499999995</v>
      </c>
      <c r="J12" s="15">
        <f t="shared" si="1"/>
        <v>-209542.31374999997</v>
      </c>
      <c r="K12" s="15">
        <f t="shared" si="2"/>
        <v>598692.32499999995</v>
      </c>
      <c r="L12" s="15">
        <f t="shared" si="3"/>
        <v>4199010.2612499995</v>
      </c>
      <c r="N12" s="15">
        <f t="shared" si="4"/>
        <v>2285916.15</v>
      </c>
      <c r="O12" s="15">
        <f t="shared" si="5"/>
        <v>-125725.38824999999</v>
      </c>
      <c r="P12" s="15">
        <f t="shared" si="6"/>
        <v>598692.32499999995</v>
      </c>
      <c r="Q12" s="15">
        <f t="shared" si="7"/>
        <v>2758883.0867499998</v>
      </c>
      <c r="S12" s="15">
        <f t="shared" si="8"/>
        <v>-1523944.0999999996</v>
      </c>
      <c r="T12" s="15">
        <f t="shared" si="8"/>
        <v>83816.925499999983</v>
      </c>
      <c r="U12" s="15">
        <f t="shared" si="8"/>
        <v>0</v>
      </c>
      <c r="V12" s="15">
        <f t="shared" si="9"/>
        <v>-1440127.1744999997</v>
      </c>
    </row>
    <row r="13" spans="1:22" ht="14.1" customHeight="1" x14ac:dyDescent="0.2">
      <c r="A13" s="63">
        <v>1508</v>
      </c>
      <c r="B13" s="13">
        <v>282</v>
      </c>
      <c r="C13" s="15" t="s">
        <v>699</v>
      </c>
      <c r="D13" s="16">
        <v>20</v>
      </c>
      <c r="E13" s="14" t="s">
        <v>61</v>
      </c>
      <c r="F13" s="14" t="s">
        <v>247</v>
      </c>
      <c r="G13" s="370">
        <f>VLOOKUP(E13,'OTP FED Pre-Tax Balances'!$A:$K,8,FALSE)</f>
        <v>-10885315</v>
      </c>
      <c r="I13" s="15">
        <f t="shared" si="0"/>
        <v>-3809860.2499999995</v>
      </c>
      <c r="J13" s="15">
        <f t="shared" si="1"/>
        <v>209542.31374999997</v>
      </c>
      <c r="K13" s="15">
        <f t="shared" si="2"/>
        <v>-598692.32499999995</v>
      </c>
      <c r="L13" s="15">
        <f t="shared" si="3"/>
        <v>-4199010.2612499995</v>
      </c>
      <c r="N13" s="15">
        <f t="shared" si="4"/>
        <v>-2285916.15</v>
      </c>
      <c r="O13" s="15">
        <f t="shared" si="5"/>
        <v>125725.38824999999</v>
      </c>
      <c r="P13" s="15">
        <f t="shared" si="6"/>
        <v>-598692.32499999995</v>
      </c>
      <c r="Q13" s="15">
        <f t="shared" si="7"/>
        <v>-2758883.0867499998</v>
      </c>
      <c r="S13" s="15">
        <f t="shared" si="8"/>
        <v>1523944.0999999996</v>
      </c>
      <c r="T13" s="15">
        <f t="shared" si="8"/>
        <v>-83816.925499999983</v>
      </c>
      <c r="U13" s="15">
        <f t="shared" si="8"/>
        <v>0</v>
      </c>
      <c r="V13" s="15">
        <f t="shared" si="9"/>
        <v>1440127.1744999997</v>
      </c>
    </row>
    <row r="14" spans="1:22" ht="14.1" customHeight="1" x14ac:dyDescent="0.2">
      <c r="D14" s="13"/>
      <c r="F14" s="61" t="s">
        <v>480</v>
      </c>
      <c r="G14" s="42">
        <f>SUM(G11:G13)</f>
        <v>434568750</v>
      </c>
      <c r="I14" s="42">
        <f>SUM(I11:I13)</f>
        <v>152099062.5</v>
      </c>
      <c r="J14" s="42">
        <f>SUM(J11:J13)</f>
        <v>-8365448.4374999991</v>
      </c>
      <c r="K14" s="42">
        <f>SUM(K11:K13)</f>
        <v>23901281.25</v>
      </c>
      <c r="L14" s="42">
        <f>SUM(L11:L13)</f>
        <v>167634895.3125</v>
      </c>
      <c r="N14" s="42">
        <f>SUM(N11:N13)</f>
        <v>91259437.5</v>
      </c>
      <c r="O14" s="42">
        <f>SUM(O11:O13)</f>
        <v>-5019269.0625</v>
      </c>
      <c r="P14" s="42">
        <f>SUM(P11:P13)</f>
        <v>23901281.25</v>
      </c>
      <c r="Q14" s="42">
        <f>SUM(Q11:Q13)</f>
        <v>110141449.6875</v>
      </c>
      <c r="S14" s="42">
        <f>SUM(S11:S13)</f>
        <v>-60839625</v>
      </c>
      <c r="T14" s="42">
        <f>SUM(T11:T13)</f>
        <v>3346179.3749999991</v>
      </c>
      <c r="U14" s="42">
        <f>SUM(U11:U13)</f>
        <v>0</v>
      </c>
      <c r="V14" s="42">
        <f>SUM(V11:V13)</f>
        <v>-57493445.625</v>
      </c>
    </row>
    <row r="15" spans="1:22" ht="14.1" customHeight="1" x14ac:dyDescent="0.2">
      <c r="D15" s="13"/>
    </row>
    <row r="17" spans="1:22" ht="14.1" customHeight="1" thickBot="1" x14ac:dyDescent="0.25">
      <c r="F17" s="372" t="s">
        <v>485</v>
      </c>
      <c r="G17" s="31">
        <f>G14</f>
        <v>434568750</v>
      </c>
      <c r="I17" s="31">
        <f>I14</f>
        <v>152099062.5</v>
      </c>
      <c r="J17" s="31">
        <f>J14</f>
        <v>-8365448.4374999991</v>
      </c>
      <c r="K17" s="31">
        <f>K14</f>
        <v>23901281.25</v>
      </c>
      <c r="L17" s="31">
        <f>L14</f>
        <v>167634895.3125</v>
      </c>
      <c r="N17" s="31">
        <f>N14</f>
        <v>91259437.5</v>
      </c>
      <c r="O17" s="31">
        <f>O14</f>
        <v>-5019269.0625</v>
      </c>
      <c r="P17" s="31">
        <f>P14</f>
        <v>23901281.25</v>
      </c>
      <c r="Q17" s="31">
        <f>Q14</f>
        <v>110141449.6875</v>
      </c>
      <c r="S17" s="31">
        <f>S14</f>
        <v>-60839625</v>
      </c>
      <c r="T17" s="31">
        <f>T14</f>
        <v>3346179.3749999991</v>
      </c>
      <c r="U17" s="31">
        <f>U14</f>
        <v>0</v>
      </c>
      <c r="V17" s="31">
        <f>V14</f>
        <v>-57493445.625</v>
      </c>
    </row>
    <row r="18" spans="1:22" ht="14.1" customHeight="1" thickTop="1" x14ac:dyDescent="0.2"/>
    <row r="19" spans="1:22" ht="14.1" customHeight="1" thickBot="1" x14ac:dyDescent="0.25"/>
    <row r="20" spans="1:22" ht="14.1" customHeight="1" thickTop="1" x14ac:dyDescent="0.2">
      <c r="F20" s="30" t="s">
        <v>486</v>
      </c>
      <c r="G20" s="29"/>
      <c r="H20" s="29"/>
      <c r="I20" s="28"/>
    </row>
    <row r="21" spans="1:22" ht="14.1" customHeight="1" x14ac:dyDescent="0.2">
      <c r="F21" s="27" t="s">
        <v>439</v>
      </c>
      <c r="G21" s="12"/>
      <c r="H21" s="12"/>
      <c r="I21" s="26"/>
    </row>
    <row r="22" spans="1:22" ht="14.1" customHeight="1" x14ac:dyDescent="0.2">
      <c r="F22" s="21" t="s">
        <v>436</v>
      </c>
      <c r="G22" s="12"/>
      <c r="H22" s="12"/>
      <c r="I22" s="22"/>
    </row>
    <row r="23" spans="1:22" ht="14.1" customHeight="1" x14ac:dyDescent="0.2">
      <c r="F23" s="21" t="s">
        <v>435</v>
      </c>
      <c r="G23" s="12"/>
      <c r="H23" s="12"/>
      <c r="I23" s="22">
        <f>-S14-T14</f>
        <v>57493445.625</v>
      </c>
    </row>
    <row r="24" spans="1:22" ht="14.1" customHeight="1" x14ac:dyDescent="0.2">
      <c r="F24" s="21" t="s">
        <v>434</v>
      </c>
      <c r="G24" s="12"/>
      <c r="H24" s="12"/>
      <c r="I24" s="22"/>
    </row>
    <row r="25" spans="1:22" ht="14.1" customHeight="1" thickBot="1" x14ac:dyDescent="0.25">
      <c r="F25" s="21"/>
      <c r="G25" s="12"/>
      <c r="H25" s="12"/>
      <c r="I25" s="443">
        <f>SUM(I22:I24)</f>
        <v>57493445.625</v>
      </c>
    </row>
    <row r="26" spans="1:22" ht="14.1" customHeight="1" thickTop="1" thickBot="1" x14ac:dyDescent="0.25">
      <c r="F26" s="20"/>
      <c r="G26" s="18"/>
      <c r="H26" s="18"/>
      <c r="I26" s="62"/>
    </row>
    <row r="27" spans="1:22" ht="14.1" customHeight="1" thickTop="1" x14ac:dyDescent="0.2"/>
    <row r="29" spans="1:22" ht="14.1" customHeight="1" x14ac:dyDescent="0.2">
      <c r="A29" s="37" t="s">
        <v>443</v>
      </c>
      <c r="F29" s="13"/>
    </row>
    <row r="30" spans="1:22" ht="14.1" customHeight="1" x14ac:dyDescent="0.2">
      <c r="A30" s="63">
        <v>1508</v>
      </c>
      <c r="B30" s="13">
        <v>190</v>
      </c>
      <c r="D30" s="16">
        <v>30</v>
      </c>
      <c r="E30" s="14" t="s">
        <v>396</v>
      </c>
      <c r="F30" s="14" t="s">
        <v>395</v>
      </c>
      <c r="N30" s="15">
        <f>'ICL FAS109 Entry'!P27</f>
        <v>0</v>
      </c>
      <c r="Q30" s="15">
        <f t="shared" ref="Q30:Q35" si="10">SUM(N30:P30)</f>
        <v>0</v>
      </c>
    </row>
    <row r="31" spans="1:22" ht="14.1" customHeight="1" x14ac:dyDescent="0.2">
      <c r="A31" s="63">
        <v>1508</v>
      </c>
      <c r="B31" s="13">
        <v>282</v>
      </c>
      <c r="D31" s="16">
        <v>30</v>
      </c>
      <c r="E31" s="14" t="s">
        <v>394</v>
      </c>
      <c r="F31" s="14" t="s">
        <v>393</v>
      </c>
      <c r="N31" s="15">
        <f>'ICL FAS109 Entry'!P28</f>
        <v>-57493445.625</v>
      </c>
      <c r="Q31" s="15">
        <f t="shared" si="10"/>
        <v>-57493445.625</v>
      </c>
    </row>
    <row r="32" spans="1:22" ht="14.1" customHeight="1" x14ac:dyDescent="0.2">
      <c r="A32" s="63">
        <v>1508</v>
      </c>
      <c r="B32" s="13">
        <v>283</v>
      </c>
      <c r="D32" s="16">
        <v>30</v>
      </c>
      <c r="E32" s="14" t="s">
        <v>392</v>
      </c>
      <c r="F32" s="14" t="s">
        <v>391</v>
      </c>
      <c r="N32" s="15">
        <f>'ICL FAS109 Entry'!P29</f>
        <v>-16172558.699999999</v>
      </c>
      <c r="Q32" s="15">
        <f t="shared" si="10"/>
        <v>-16172558.699999999</v>
      </c>
    </row>
    <row r="33" spans="1:22" ht="14.1" customHeight="1" x14ac:dyDescent="0.2">
      <c r="A33" s="63">
        <v>1508</v>
      </c>
      <c r="B33" s="13">
        <v>190</v>
      </c>
      <c r="D33" s="16">
        <v>30</v>
      </c>
      <c r="E33" s="14" t="s">
        <v>386</v>
      </c>
      <c r="F33" s="14" t="s">
        <v>395</v>
      </c>
      <c r="O33" s="15">
        <f>'ICL FAS109 Entry'!Q37</f>
        <v>0</v>
      </c>
      <c r="P33" s="15">
        <f>'ICL FAS109 Entry'!R31</f>
        <v>0</v>
      </c>
      <c r="Q33" s="15">
        <f t="shared" si="10"/>
        <v>0</v>
      </c>
    </row>
    <row r="34" spans="1:22" ht="14.1" customHeight="1" x14ac:dyDescent="0.2">
      <c r="A34" s="63">
        <v>1508</v>
      </c>
      <c r="B34" s="13">
        <v>282</v>
      </c>
      <c r="D34" s="16">
        <v>30</v>
      </c>
      <c r="E34" s="14" t="s">
        <v>384</v>
      </c>
      <c r="F34" s="14" t="s">
        <v>393</v>
      </c>
      <c r="O34" s="15">
        <f>'ICL FAS109 Entry'!Q38</f>
        <v>0</v>
      </c>
      <c r="P34" s="15">
        <f>'ICL FAS109 Entry'!R32</f>
        <v>0</v>
      </c>
      <c r="Q34" s="15">
        <f t="shared" si="10"/>
        <v>0</v>
      </c>
    </row>
    <row r="35" spans="1:22" ht="14.1" customHeight="1" x14ac:dyDescent="0.2">
      <c r="A35" s="63">
        <v>1508</v>
      </c>
      <c r="B35" s="13">
        <v>283</v>
      </c>
      <c r="D35" s="16">
        <v>30</v>
      </c>
      <c r="E35" s="14" t="s">
        <v>382</v>
      </c>
      <c r="F35" s="14" t="s">
        <v>391</v>
      </c>
      <c r="O35" s="15">
        <f>'ICL FAS109 Entry'!Q39</f>
        <v>889490.7</v>
      </c>
      <c r="P35" s="15">
        <f>'ICL FAS109 Entry'!R33</f>
        <v>-4235670</v>
      </c>
      <c r="Q35" s="15">
        <f t="shared" si="10"/>
        <v>-3346179.3</v>
      </c>
    </row>
    <row r="36" spans="1:22" ht="14.1" customHeight="1" thickBot="1" x14ac:dyDescent="0.25">
      <c r="A36" s="13"/>
      <c r="B36" s="13"/>
      <c r="C36" s="13"/>
      <c r="D36" s="13"/>
      <c r="F36" s="33" t="s">
        <v>442</v>
      </c>
      <c r="N36" s="35">
        <f>SUM(N30:N35)</f>
        <v>-73666004.325000003</v>
      </c>
      <c r="O36" s="35">
        <f>SUM(O30:O35)</f>
        <v>889490.7</v>
      </c>
      <c r="P36" s="35">
        <f>SUM(P30:P35)</f>
        <v>-4235670</v>
      </c>
      <c r="Q36" s="35">
        <f>SUM(Q30:Q35)</f>
        <v>-77012183.625</v>
      </c>
    </row>
    <row r="37" spans="1:22" ht="14.1" customHeight="1" thickTop="1" x14ac:dyDescent="0.2"/>
    <row r="39" spans="1:22" ht="14.1" customHeight="1" x14ac:dyDescent="0.2">
      <c r="I39" s="452" t="s">
        <v>565</v>
      </c>
      <c r="J39" s="452"/>
      <c r="K39" s="452"/>
      <c r="L39" s="452"/>
      <c r="M39" s="12"/>
      <c r="N39" s="452" t="s">
        <v>588</v>
      </c>
      <c r="O39" s="452"/>
      <c r="P39" s="452"/>
      <c r="Q39" s="452"/>
      <c r="R39" s="12"/>
      <c r="S39" s="452" t="s">
        <v>587</v>
      </c>
      <c r="T39" s="452"/>
      <c r="U39" s="452"/>
      <c r="V39" s="452"/>
    </row>
    <row r="40" spans="1:22" ht="14.1" customHeight="1" x14ac:dyDescent="0.2">
      <c r="V40" s="14"/>
    </row>
    <row r="41" spans="1:22" ht="14.1" customHeight="1" x14ac:dyDescent="0.2">
      <c r="F41" s="69" t="s">
        <v>498</v>
      </c>
      <c r="I41" s="45" t="s">
        <v>467</v>
      </c>
      <c r="J41" s="45" t="s">
        <v>466</v>
      </c>
      <c r="K41" s="45" t="s">
        <v>465</v>
      </c>
      <c r="L41" s="45" t="s">
        <v>187</v>
      </c>
      <c r="M41" s="46"/>
      <c r="N41" s="45" t="s">
        <v>467</v>
      </c>
      <c r="O41" s="45" t="s">
        <v>466</v>
      </c>
      <c r="P41" s="45" t="s">
        <v>465</v>
      </c>
      <c r="Q41" s="45" t="s">
        <v>187</v>
      </c>
      <c r="R41" s="46"/>
      <c r="S41" s="45" t="s">
        <v>467</v>
      </c>
      <c r="T41" s="45" t="s">
        <v>466</v>
      </c>
      <c r="U41" s="45" t="s">
        <v>465</v>
      </c>
      <c r="V41" s="45" t="s">
        <v>187</v>
      </c>
    </row>
    <row r="42" spans="1:22" ht="14.1" customHeight="1" x14ac:dyDescent="0.2">
      <c r="G42" s="11" t="s">
        <v>494</v>
      </c>
      <c r="I42" s="15"/>
      <c r="J42" s="15"/>
      <c r="K42" s="15"/>
      <c r="L42" s="15">
        <f>SUM(I42:K42)</f>
        <v>0</v>
      </c>
      <c r="N42" s="15">
        <f>I42+N30</f>
        <v>0</v>
      </c>
      <c r="O42" s="15">
        <f t="shared" ref="O42:P44" si="11">J42+O33</f>
        <v>0</v>
      </c>
      <c r="P42" s="15">
        <f t="shared" si="11"/>
        <v>0</v>
      </c>
      <c r="Q42" s="15">
        <f>SUM(N42:P42)</f>
        <v>0</v>
      </c>
      <c r="S42" s="15">
        <f t="shared" ref="S42:U44" si="12">N42-I42</f>
        <v>0</v>
      </c>
      <c r="T42" s="15">
        <f t="shared" si="12"/>
        <v>0</v>
      </c>
      <c r="U42" s="15">
        <f t="shared" si="12"/>
        <v>0</v>
      </c>
      <c r="V42" s="15">
        <f>SUM(S42:U42)</f>
        <v>0</v>
      </c>
    </row>
    <row r="43" spans="1:22" ht="14.1" customHeight="1" x14ac:dyDescent="0.2">
      <c r="G43" s="11" t="s">
        <v>495</v>
      </c>
      <c r="I43" s="15">
        <f>I14</f>
        <v>152099062.5</v>
      </c>
      <c r="J43" s="15">
        <f t="shared" ref="J43:K43" si="13">J14</f>
        <v>-8365448.4374999991</v>
      </c>
      <c r="K43" s="15">
        <f t="shared" si="13"/>
        <v>23901281.25</v>
      </c>
      <c r="L43" s="15">
        <f>SUM(I43:K43)</f>
        <v>167634895.3125</v>
      </c>
      <c r="N43" s="15">
        <f>I43+N31</f>
        <v>94605616.875</v>
      </c>
      <c r="O43" s="15">
        <f t="shared" si="11"/>
        <v>-8365448.4374999991</v>
      </c>
      <c r="P43" s="15">
        <f t="shared" si="11"/>
        <v>23901281.25</v>
      </c>
      <c r="Q43" s="15">
        <f>SUM(N43:P43)</f>
        <v>110141449.6875</v>
      </c>
      <c r="S43" s="15">
        <f t="shared" si="12"/>
        <v>-57493445.625</v>
      </c>
      <c r="T43" s="15">
        <f t="shared" si="12"/>
        <v>0</v>
      </c>
      <c r="U43" s="15">
        <f t="shared" si="12"/>
        <v>0</v>
      </c>
      <c r="V43" s="15">
        <f>SUM(S43:U43)</f>
        <v>-57493445.625</v>
      </c>
    </row>
    <row r="44" spans="1:22" ht="14.1" customHeight="1" x14ac:dyDescent="0.2">
      <c r="G44" s="11" t="s">
        <v>496</v>
      </c>
      <c r="I44" s="15"/>
      <c r="J44" s="15"/>
      <c r="K44" s="15"/>
      <c r="L44" s="15">
        <f>SUM(I44:K44)</f>
        <v>0</v>
      </c>
      <c r="N44" s="15">
        <f>I44+N32</f>
        <v>-16172558.699999999</v>
      </c>
      <c r="O44" s="15">
        <f t="shared" si="11"/>
        <v>889490.7</v>
      </c>
      <c r="P44" s="15">
        <f t="shared" si="11"/>
        <v>-4235670</v>
      </c>
      <c r="Q44" s="15">
        <f>SUM(N44:P44)</f>
        <v>-19518738</v>
      </c>
      <c r="S44" s="15">
        <f t="shared" si="12"/>
        <v>-16172558.699999999</v>
      </c>
      <c r="T44" s="15">
        <f t="shared" si="12"/>
        <v>889490.7</v>
      </c>
      <c r="U44" s="15">
        <f t="shared" si="12"/>
        <v>-4235670</v>
      </c>
      <c r="V44" s="15">
        <f>SUM(S44:U44)</f>
        <v>-19518738</v>
      </c>
    </row>
    <row r="45" spans="1:22" ht="14.1" customHeight="1" thickBot="1" x14ac:dyDescent="0.25">
      <c r="I45" s="68">
        <f>SUM(I42:I44)</f>
        <v>152099062.5</v>
      </c>
      <c r="J45" s="68">
        <f t="shared" ref="J45:L45" si="14">SUM(J42:J44)</f>
        <v>-8365448.4374999991</v>
      </c>
      <c r="K45" s="68">
        <f t="shared" si="14"/>
        <v>23901281.25</v>
      </c>
      <c r="L45" s="68">
        <f t="shared" si="14"/>
        <v>167634895.3125</v>
      </c>
      <c r="N45" s="68">
        <f>SUM(N42:N44)</f>
        <v>78433058.174999997</v>
      </c>
      <c r="O45" s="68">
        <f t="shared" ref="O45:Q45" si="15">SUM(O42:O44)</f>
        <v>-7475957.7374999989</v>
      </c>
      <c r="P45" s="68">
        <f t="shared" si="15"/>
        <v>19665611.25</v>
      </c>
      <c r="Q45" s="68">
        <f t="shared" si="15"/>
        <v>90622711.6875</v>
      </c>
      <c r="S45" s="68">
        <f>SUM(S42:S44)</f>
        <v>-73666004.325000003</v>
      </c>
      <c r="T45" s="68">
        <f t="shared" ref="T45:V45" si="16">SUM(T42:T44)</f>
        <v>889490.7</v>
      </c>
      <c r="U45" s="68">
        <f t="shared" si="16"/>
        <v>-4235670</v>
      </c>
      <c r="V45" s="68">
        <f t="shared" si="16"/>
        <v>-77012183.625</v>
      </c>
    </row>
    <row r="46" spans="1:22" ht="14.1" customHeight="1" thickTop="1" x14ac:dyDescent="0.2">
      <c r="I46" s="15"/>
      <c r="J46" s="15"/>
      <c r="K46" s="15"/>
      <c r="L46" s="15"/>
      <c r="S46" s="15"/>
      <c r="T46" s="15"/>
      <c r="U46" s="15"/>
      <c r="V46" s="17"/>
    </row>
    <row r="47" spans="1:22" ht="14.1" customHeight="1" x14ac:dyDescent="0.2">
      <c r="I47" s="15"/>
      <c r="J47" s="15"/>
      <c r="K47" s="15"/>
      <c r="L47" s="15"/>
      <c r="V47" s="14"/>
    </row>
    <row r="48" spans="1:22" ht="14.1" customHeight="1" x14ac:dyDescent="0.2">
      <c r="I48" s="15"/>
      <c r="J48" s="15"/>
      <c r="K48" s="15"/>
      <c r="L48" s="15"/>
      <c r="N48" s="11" t="s">
        <v>606</v>
      </c>
      <c r="V48" s="14"/>
    </row>
  </sheetData>
  <mergeCells count="6">
    <mergeCell ref="I4:L4"/>
    <mergeCell ref="N4:Q4"/>
    <mergeCell ref="S4:V4"/>
    <mergeCell ref="I39:L39"/>
    <mergeCell ref="N39:Q39"/>
    <mergeCell ref="S39:V39"/>
  </mergeCells>
  <pageMargins left="0.25" right="0" top="0.25" bottom="0.25" header="0.3" footer="0"/>
  <pageSetup paperSize="5" scale="80" orientation="landscape" r:id="rId1"/>
  <headerFooter>
    <oddFooter>&amp;L&amp;"Calibri,Regular"&amp;9&amp;Z&amp;F&amp;R&amp;"Calibri,Regular"&amp;9&amp;A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workbookViewId="0">
      <selection activeCell="E1" sqref="E1:F2"/>
    </sheetView>
  </sheetViews>
  <sheetFormatPr defaultColWidth="9" defaultRowHeight="14.1" customHeight="1" x14ac:dyDescent="0.2"/>
  <cols>
    <col min="1" max="1" width="5.140625" style="11" customWidth="1"/>
    <col min="2" max="2" width="5.42578125" style="11" customWidth="1"/>
    <col min="3" max="3" width="16.28515625" style="11" customWidth="1"/>
    <col min="4" max="4" width="7.5703125" style="11" bestFit="1" customWidth="1"/>
    <col min="5" max="5" width="9" style="11"/>
    <col min="6" max="6" width="24.140625" style="11" customWidth="1"/>
    <col min="7" max="7" width="12.42578125" style="11" customWidth="1"/>
    <col min="8" max="8" width="3.42578125" style="11" customWidth="1"/>
    <col min="9" max="12" width="10.42578125" style="11" customWidth="1"/>
    <col min="13" max="13" width="3.42578125" style="11" customWidth="1"/>
    <col min="14" max="17" width="10.42578125" style="11" customWidth="1"/>
    <col min="18" max="18" width="3.42578125" style="11" customWidth="1"/>
    <col min="19" max="22" width="10.42578125" style="11" customWidth="1"/>
    <col min="23" max="16384" width="9" style="11"/>
  </cols>
  <sheetData>
    <row r="1" spans="1:22" ht="14.1" customHeight="1" x14ac:dyDescent="0.2">
      <c r="A1" s="33" t="s">
        <v>491</v>
      </c>
      <c r="E1" s="455" t="s">
        <v>717</v>
      </c>
      <c r="F1" s="455"/>
    </row>
    <row r="2" spans="1:22" ht="14.1" customHeight="1" x14ac:dyDescent="0.2">
      <c r="A2" s="33" t="s">
        <v>492</v>
      </c>
      <c r="E2" s="455" t="s">
        <v>710</v>
      </c>
      <c r="F2" s="455"/>
    </row>
    <row r="3" spans="1:22" ht="14.1" customHeight="1" x14ac:dyDescent="0.2">
      <c r="A3" s="33" t="s">
        <v>478</v>
      </c>
      <c r="E3" s="14"/>
      <c r="F3" s="53"/>
    </row>
    <row r="4" spans="1:22" ht="14.1" customHeight="1" x14ac:dyDescent="0.2">
      <c r="A4" s="52" t="s">
        <v>477</v>
      </c>
      <c r="E4" s="14"/>
      <c r="F4" s="53"/>
      <c r="I4" s="450" t="s">
        <v>476</v>
      </c>
      <c r="J4" s="450"/>
      <c r="K4" s="450"/>
      <c r="L4" s="450"/>
      <c r="N4" s="450" t="s">
        <v>475</v>
      </c>
      <c r="O4" s="450"/>
      <c r="P4" s="450"/>
      <c r="Q4" s="450"/>
      <c r="S4" s="450" t="s">
        <v>474</v>
      </c>
      <c r="T4" s="450"/>
      <c r="U4" s="450"/>
      <c r="V4" s="450"/>
    </row>
    <row r="5" spans="1:22" ht="14.1" customHeight="1" x14ac:dyDescent="0.2">
      <c r="A5" s="52"/>
      <c r="E5" s="51"/>
      <c r="F5" s="14"/>
    </row>
    <row r="6" spans="1:22" ht="14.1" customHeight="1" x14ac:dyDescent="0.2">
      <c r="E6" s="14"/>
      <c r="F6" s="435" t="s">
        <v>512</v>
      </c>
      <c r="I6" s="65">
        <v>0.35</v>
      </c>
      <c r="J6" s="388">
        <f>K6*-I6</f>
        <v>-1.925E-2</v>
      </c>
      <c r="K6" s="65">
        <v>5.5E-2</v>
      </c>
      <c r="L6" s="388">
        <f>I6+K6+(K6*-I6)</f>
        <v>0.38574999999999998</v>
      </c>
      <c r="M6" s="67"/>
      <c r="N6" s="65">
        <v>0.21</v>
      </c>
      <c r="O6" s="388">
        <f>P6*-N6</f>
        <v>-1.155E-2</v>
      </c>
      <c r="P6" s="65">
        <v>5.5E-2</v>
      </c>
      <c r="Q6" s="388">
        <f>N6+P6+(P6*-N6)</f>
        <v>0.25345000000000001</v>
      </c>
      <c r="R6" s="67"/>
      <c r="S6" s="65">
        <f>N6-I6</f>
        <v>-0.13999999999999999</v>
      </c>
      <c r="T6" s="388">
        <f>O6-J6</f>
        <v>7.7000000000000002E-3</v>
      </c>
      <c r="U6" s="65">
        <f>P6-K6</f>
        <v>0</v>
      </c>
      <c r="V6" s="447">
        <f>Q6-L6</f>
        <v>-0.13229999999999997</v>
      </c>
    </row>
    <row r="7" spans="1:22" ht="14.1" customHeight="1" x14ac:dyDescent="0.2">
      <c r="E7" s="14"/>
      <c r="F7" s="14"/>
      <c r="J7" s="64"/>
      <c r="K7" s="65"/>
      <c r="O7" s="64"/>
      <c r="P7" s="65"/>
    </row>
    <row r="8" spans="1:22" ht="36" customHeight="1" x14ac:dyDescent="0.2">
      <c r="A8" s="48" t="s">
        <v>473</v>
      </c>
      <c r="B8" s="48" t="s">
        <v>497</v>
      </c>
      <c r="C8" s="44" t="s">
        <v>472</v>
      </c>
      <c r="D8" s="377" t="s">
        <v>694</v>
      </c>
      <c r="E8" s="45" t="s">
        <v>2</v>
      </c>
      <c r="F8" s="45" t="s">
        <v>188</v>
      </c>
      <c r="G8" s="47" t="s">
        <v>471</v>
      </c>
      <c r="H8" s="46" t="s">
        <v>470</v>
      </c>
      <c r="I8" s="45" t="s">
        <v>467</v>
      </c>
      <c r="J8" s="45" t="s">
        <v>466</v>
      </c>
      <c r="K8" s="45" t="s">
        <v>465</v>
      </c>
      <c r="L8" s="45" t="s">
        <v>187</v>
      </c>
      <c r="M8" s="46" t="s">
        <v>470</v>
      </c>
      <c r="N8" s="45" t="s">
        <v>467</v>
      </c>
      <c r="O8" s="45" t="s">
        <v>466</v>
      </c>
      <c r="P8" s="45" t="s">
        <v>465</v>
      </c>
      <c r="Q8" s="45" t="s">
        <v>187</v>
      </c>
      <c r="R8" s="46" t="s">
        <v>470</v>
      </c>
      <c r="S8" s="45" t="s">
        <v>467</v>
      </c>
      <c r="T8" s="45" t="s">
        <v>466</v>
      </c>
      <c r="U8" s="45" t="s">
        <v>465</v>
      </c>
      <c r="V8" s="45" t="s">
        <v>187</v>
      </c>
    </row>
    <row r="9" spans="1:22" ht="14.1" customHeight="1" x14ac:dyDescent="0.2">
      <c r="A9" s="36"/>
      <c r="B9" s="14"/>
      <c r="D9" s="15"/>
      <c r="E9" s="14"/>
      <c r="F9" s="14"/>
      <c r="G9" s="15"/>
      <c r="I9" s="15"/>
      <c r="J9" s="15"/>
      <c r="K9" s="15"/>
      <c r="L9" s="15"/>
      <c r="N9" s="15"/>
      <c r="O9" s="15"/>
      <c r="P9" s="15"/>
      <c r="Q9" s="15"/>
      <c r="S9" s="15"/>
      <c r="T9" s="15"/>
      <c r="U9" s="15"/>
      <c r="V9" s="15"/>
    </row>
    <row r="10" spans="1:22" ht="14.1" customHeight="1" x14ac:dyDescent="0.2">
      <c r="A10" s="36"/>
      <c r="B10" s="14"/>
      <c r="D10" s="15"/>
      <c r="E10" s="14"/>
      <c r="F10" s="14"/>
      <c r="G10" s="15"/>
      <c r="I10" s="15"/>
      <c r="J10" s="15"/>
      <c r="K10" s="15"/>
      <c r="L10" s="15"/>
      <c r="N10" s="15"/>
      <c r="O10" s="15"/>
      <c r="P10" s="15"/>
      <c r="Q10" s="15"/>
      <c r="S10" s="15"/>
      <c r="T10" s="15"/>
      <c r="U10" s="15"/>
      <c r="V10" s="15"/>
    </row>
    <row r="11" spans="1:22" ht="14.1" customHeight="1" x14ac:dyDescent="0.2">
      <c r="A11" s="63">
        <v>1511</v>
      </c>
      <c r="B11" s="13">
        <v>190</v>
      </c>
      <c r="C11" s="15" t="s">
        <v>699</v>
      </c>
      <c r="D11" s="16">
        <v>1</v>
      </c>
      <c r="E11" s="14" t="s">
        <v>151</v>
      </c>
      <c r="F11" s="14" t="s">
        <v>337</v>
      </c>
      <c r="G11" s="15">
        <f>VLOOKUP(E11,'OTP FED Pre-Tax Balances'!$A:$K,9,FALSE)</f>
        <v>118819</v>
      </c>
      <c r="I11" s="15">
        <f t="shared" ref="I11:I12" si="0">G11*$I$6</f>
        <v>41586.649999999994</v>
      </c>
      <c r="J11" s="15">
        <f t="shared" ref="J11:J12" si="1">-K11*$I$6</f>
        <v>-2287.26575</v>
      </c>
      <c r="K11" s="15">
        <f t="shared" ref="K11:K12" si="2">G11*$K$6</f>
        <v>6535.0450000000001</v>
      </c>
      <c r="L11" s="15">
        <f t="shared" ref="L11:L12" si="3">SUM(I11:K11)</f>
        <v>45834.429249999994</v>
      </c>
      <c r="N11" s="15">
        <f t="shared" ref="N11:N12" si="4">G11*$N$6</f>
        <v>24951.989999999998</v>
      </c>
      <c r="O11" s="15">
        <f t="shared" ref="O11:O12" si="5">-P11*$N$6</f>
        <v>-1372.3594499999999</v>
      </c>
      <c r="P11" s="15">
        <f t="shared" ref="P11:P12" si="6">G11*$P$6</f>
        <v>6535.0450000000001</v>
      </c>
      <c r="Q11" s="15">
        <f t="shared" ref="Q11:Q12" si="7">SUM(N11:P11)</f>
        <v>30114.67555</v>
      </c>
      <c r="S11" s="15">
        <f t="shared" ref="S11:U12" si="8">N11-I11</f>
        <v>-16634.659999999996</v>
      </c>
      <c r="T11" s="15">
        <f t="shared" si="8"/>
        <v>914.9063000000001</v>
      </c>
      <c r="U11" s="15">
        <f t="shared" si="8"/>
        <v>0</v>
      </c>
      <c r="V11" s="15">
        <f t="shared" ref="V11:V12" si="9">SUM(S11:U11)</f>
        <v>-15719.753699999996</v>
      </c>
    </row>
    <row r="12" spans="1:22" ht="14.1" customHeight="1" x14ac:dyDescent="0.2">
      <c r="A12" s="63">
        <v>1511</v>
      </c>
      <c r="B12" s="13">
        <v>190</v>
      </c>
      <c r="C12" s="15" t="s">
        <v>699</v>
      </c>
      <c r="D12" s="16">
        <v>1</v>
      </c>
      <c r="E12" s="14" t="s">
        <v>160</v>
      </c>
      <c r="F12" s="14" t="s">
        <v>345</v>
      </c>
      <c r="G12" s="370">
        <f>VLOOKUP(E12,'OTP FED Pre-Tax Balances'!$A:$K,9,FALSE)</f>
        <v>1289929</v>
      </c>
      <c r="I12" s="15">
        <f t="shared" si="0"/>
        <v>451475.14999999997</v>
      </c>
      <c r="J12" s="15">
        <f t="shared" si="1"/>
        <v>-24831.133249999999</v>
      </c>
      <c r="K12" s="15">
        <f t="shared" si="2"/>
        <v>70946.095000000001</v>
      </c>
      <c r="L12" s="15">
        <f t="shared" si="3"/>
        <v>497590.11174999992</v>
      </c>
      <c r="N12" s="15">
        <f t="shared" si="4"/>
        <v>270885.08999999997</v>
      </c>
      <c r="O12" s="15">
        <f t="shared" si="5"/>
        <v>-14898.67995</v>
      </c>
      <c r="P12" s="15">
        <f t="shared" si="6"/>
        <v>70946.095000000001</v>
      </c>
      <c r="Q12" s="15">
        <f t="shared" si="7"/>
        <v>326932.50504999998</v>
      </c>
      <c r="S12" s="15">
        <f t="shared" si="8"/>
        <v>-180590.06</v>
      </c>
      <c r="T12" s="15">
        <f t="shared" si="8"/>
        <v>9932.4532999999992</v>
      </c>
      <c r="U12" s="15">
        <f t="shared" si="8"/>
        <v>0</v>
      </c>
      <c r="V12" s="15">
        <f t="shared" si="9"/>
        <v>-170657.6067</v>
      </c>
    </row>
    <row r="13" spans="1:22" ht="14.1" customHeight="1" x14ac:dyDescent="0.2">
      <c r="D13" s="13"/>
      <c r="F13" s="61" t="s">
        <v>479</v>
      </c>
      <c r="G13" s="42">
        <f>SUM(G11:G12)</f>
        <v>1408748</v>
      </c>
      <c r="I13" s="42">
        <f>SUM(I11:I12)</f>
        <v>493061.79999999993</v>
      </c>
      <c r="J13" s="42">
        <f>SUM(J11:J12)</f>
        <v>-27118.398999999998</v>
      </c>
      <c r="K13" s="42">
        <f>SUM(K11:K12)</f>
        <v>77481.14</v>
      </c>
      <c r="L13" s="42">
        <f>SUM(L11:L12)</f>
        <v>543424.54099999997</v>
      </c>
      <c r="N13" s="42">
        <f>SUM(N11:N12)</f>
        <v>295837.07999999996</v>
      </c>
      <c r="O13" s="42">
        <f>SUM(O11:O12)</f>
        <v>-16271.0394</v>
      </c>
      <c r="P13" s="42">
        <f>SUM(P11:P12)</f>
        <v>77481.14</v>
      </c>
      <c r="Q13" s="42">
        <f>SUM(Q11:Q12)</f>
        <v>357047.18059999996</v>
      </c>
      <c r="S13" s="42">
        <f>SUM(S11:S12)</f>
        <v>-197224.72</v>
      </c>
      <c r="T13" s="42">
        <f>SUM(T11:T12)</f>
        <v>10847.3596</v>
      </c>
      <c r="U13" s="42">
        <f>SUM(U11:U12)</f>
        <v>0</v>
      </c>
      <c r="V13" s="42">
        <f>SUM(V11:V12)</f>
        <v>-186377.36040000001</v>
      </c>
    </row>
    <row r="16" spans="1:22" ht="14.1" customHeight="1" thickBot="1" x14ac:dyDescent="0.25">
      <c r="F16" s="11" t="s">
        <v>485</v>
      </c>
      <c r="G16" s="31">
        <f>G13</f>
        <v>1408748</v>
      </c>
      <c r="I16" s="31">
        <f>I13</f>
        <v>493061.79999999993</v>
      </c>
      <c r="J16" s="31">
        <f>J13</f>
        <v>-27118.398999999998</v>
      </c>
      <c r="K16" s="31">
        <f>K13</f>
        <v>77481.14</v>
      </c>
      <c r="L16" s="31">
        <f>L13</f>
        <v>543424.54099999997</v>
      </c>
      <c r="N16" s="31">
        <f>N13</f>
        <v>295837.07999999996</v>
      </c>
      <c r="O16" s="31">
        <f>O13</f>
        <v>-16271.0394</v>
      </c>
      <c r="P16" s="31">
        <f>P13</f>
        <v>77481.14</v>
      </c>
      <c r="Q16" s="31">
        <f>Q13</f>
        <v>357047.18059999996</v>
      </c>
      <c r="S16" s="31">
        <f>S13</f>
        <v>-197224.72</v>
      </c>
      <c r="T16" s="31">
        <f>T13</f>
        <v>10847.3596</v>
      </c>
      <c r="U16" s="31">
        <f>U13</f>
        <v>0</v>
      </c>
      <c r="V16" s="31">
        <f>V13</f>
        <v>-186377.36040000001</v>
      </c>
    </row>
    <row r="17" spans="1:22" ht="14.1" customHeight="1" thickTop="1" x14ac:dyDescent="0.2">
      <c r="F17" s="66" t="s">
        <v>433</v>
      </c>
      <c r="G17" s="32"/>
      <c r="I17" s="32"/>
      <c r="J17" s="32"/>
      <c r="K17" s="32"/>
      <c r="L17" s="32"/>
      <c r="M17" s="32"/>
      <c r="N17" s="32"/>
      <c r="O17" s="32"/>
      <c r="P17" s="32"/>
      <c r="Q17" s="32"/>
      <c r="S17" s="32"/>
      <c r="T17" s="32"/>
      <c r="U17" s="32"/>
      <c r="V17" s="32"/>
    </row>
    <row r="18" spans="1:22" ht="14.1" customHeight="1" x14ac:dyDescent="0.2">
      <c r="G18" s="32"/>
      <c r="I18" s="32"/>
      <c r="J18" s="32"/>
      <c r="K18" s="32"/>
      <c r="L18" s="32"/>
      <c r="N18" s="32"/>
      <c r="O18" s="32"/>
      <c r="P18" s="32"/>
      <c r="Q18" s="32"/>
      <c r="S18" s="32"/>
      <c r="T18" s="32"/>
      <c r="U18" s="32"/>
      <c r="V18" s="32"/>
    </row>
    <row r="19" spans="1:22" ht="14.1" customHeight="1" thickBot="1" x14ac:dyDescent="0.25">
      <c r="V19" s="67"/>
    </row>
    <row r="20" spans="1:22" ht="14.1" customHeight="1" thickTop="1" x14ac:dyDescent="0.2">
      <c r="F20" s="30" t="s">
        <v>440</v>
      </c>
      <c r="G20" s="29"/>
      <c r="H20" s="29"/>
      <c r="I20" s="28"/>
    </row>
    <row r="21" spans="1:22" ht="14.1" customHeight="1" x14ac:dyDescent="0.2">
      <c r="F21" s="27" t="s">
        <v>439</v>
      </c>
      <c r="G21" s="12"/>
      <c r="H21" s="12"/>
      <c r="I21" s="26"/>
    </row>
    <row r="22" spans="1:22" ht="14.1" customHeight="1" x14ac:dyDescent="0.2">
      <c r="F22" s="21" t="s">
        <v>436</v>
      </c>
      <c r="G22" s="12"/>
      <c r="H22" s="12"/>
      <c r="I22" s="22">
        <f>-S13-T13</f>
        <v>186377.36040000001</v>
      </c>
    </row>
    <row r="23" spans="1:22" ht="14.1" customHeight="1" x14ac:dyDescent="0.2">
      <c r="F23" s="21" t="s">
        <v>435</v>
      </c>
      <c r="G23" s="12"/>
      <c r="H23" s="12"/>
      <c r="I23" s="22"/>
    </row>
    <row r="24" spans="1:22" ht="14.1" customHeight="1" x14ac:dyDescent="0.2">
      <c r="F24" s="21" t="s">
        <v>434</v>
      </c>
      <c r="G24" s="12"/>
      <c r="H24" s="12"/>
      <c r="I24" s="22"/>
    </row>
    <row r="25" spans="1:22" ht="14.1" customHeight="1" thickBot="1" x14ac:dyDescent="0.25">
      <c r="F25" s="21"/>
      <c r="G25" s="12"/>
      <c r="H25" s="12"/>
      <c r="I25" s="443">
        <f>SUM(I22:I24)</f>
        <v>186377.36040000001</v>
      </c>
    </row>
    <row r="26" spans="1:22" ht="14.1" customHeight="1" thickTop="1" thickBot="1" x14ac:dyDescent="0.25">
      <c r="F26" s="20"/>
      <c r="G26" s="18"/>
      <c r="H26" s="18"/>
      <c r="I26" s="62"/>
    </row>
    <row r="27" spans="1:22" ht="14.1" customHeight="1" thickTop="1" x14ac:dyDescent="0.2"/>
    <row r="28" spans="1:22" ht="14.1" customHeight="1" x14ac:dyDescent="0.2">
      <c r="A28" s="37" t="s">
        <v>443</v>
      </c>
      <c r="F28" s="13"/>
    </row>
    <row r="29" spans="1:22" ht="14.1" customHeight="1" x14ac:dyDescent="0.2">
      <c r="A29" s="63">
        <v>1508</v>
      </c>
      <c r="B29" s="13">
        <v>190</v>
      </c>
      <c r="D29" s="16">
        <v>30</v>
      </c>
      <c r="E29" s="14" t="s">
        <v>396</v>
      </c>
      <c r="F29" s="14" t="s">
        <v>395</v>
      </c>
      <c r="N29" s="15">
        <f>'Enersys FAS109 Entry'!P27</f>
        <v>-186377.36040000001</v>
      </c>
      <c r="Q29" s="15">
        <f t="shared" ref="Q29:Q34" si="10">SUM(N29:P29)</f>
        <v>-186377.36040000001</v>
      </c>
    </row>
    <row r="30" spans="1:22" ht="14.1" customHeight="1" x14ac:dyDescent="0.2">
      <c r="A30" s="63">
        <v>1508</v>
      </c>
      <c r="B30" s="13">
        <v>282</v>
      </c>
      <c r="D30" s="16">
        <v>30</v>
      </c>
      <c r="E30" s="14" t="s">
        <v>394</v>
      </c>
      <c r="F30" s="14" t="s">
        <v>393</v>
      </c>
      <c r="N30" s="15">
        <f>'Enersys FAS109 Entry'!P28</f>
        <v>0</v>
      </c>
      <c r="Q30" s="15">
        <f t="shared" si="10"/>
        <v>0</v>
      </c>
    </row>
    <row r="31" spans="1:22" ht="14.1" customHeight="1" x14ac:dyDescent="0.2">
      <c r="A31" s="63">
        <v>1508</v>
      </c>
      <c r="B31" s="13">
        <v>283</v>
      </c>
      <c r="D31" s="16">
        <v>30</v>
      </c>
      <c r="E31" s="14" t="s">
        <v>392</v>
      </c>
      <c r="F31" s="14" t="s">
        <v>391</v>
      </c>
      <c r="N31" s="15">
        <f>'Enersys FAS109 Entry'!P29</f>
        <v>-52426.51</v>
      </c>
      <c r="Q31" s="15">
        <f t="shared" si="10"/>
        <v>-52426.51</v>
      </c>
    </row>
    <row r="32" spans="1:22" ht="14.1" customHeight="1" x14ac:dyDescent="0.2">
      <c r="A32" s="63">
        <v>1508</v>
      </c>
      <c r="B32" s="13">
        <v>190</v>
      </c>
      <c r="D32" s="16">
        <v>30</v>
      </c>
      <c r="E32" s="14" t="s">
        <v>386</v>
      </c>
      <c r="F32" s="14" t="s">
        <v>395</v>
      </c>
      <c r="O32" s="15">
        <f>'Enersys FAS109 Entry'!Q37</f>
        <v>0</v>
      </c>
      <c r="P32" s="15">
        <f>'Enersys FAS109 Entry'!R31</f>
        <v>0</v>
      </c>
      <c r="Q32" s="15">
        <f t="shared" si="10"/>
        <v>0</v>
      </c>
    </row>
    <row r="33" spans="1:22" ht="14.1" customHeight="1" x14ac:dyDescent="0.2">
      <c r="A33" s="63">
        <v>1508</v>
      </c>
      <c r="B33" s="13">
        <v>282</v>
      </c>
      <c r="D33" s="16">
        <v>30</v>
      </c>
      <c r="E33" s="14" t="s">
        <v>384</v>
      </c>
      <c r="F33" s="14" t="s">
        <v>393</v>
      </c>
      <c r="O33" s="15">
        <f>'Enersys FAS109 Entry'!Q38</f>
        <v>0</v>
      </c>
      <c r="P33" s="15">
        <f>'Enersys FAS109 Entry'!R32</f>
        <v>0</v>
      </c>
      <c r="Q33" s="15">
        <f t="shared" si="10"/>
        <v>0</v>
      </c>
    </row>
    <row r="34" spans="1:22" ht="14.1" customHeight="1" x14ac:dyDescent="0.2">
      <c r="A34" s="63">
        <v>1508</v>
      </c>
      <c r="B34" s="13">
        <v>283</v>
      </c>
      <c r="D34" s="16">
        <v>30</v>
      </c>
      <c r="E34" s="14" t="s">
        <v>382</v>
      </c>
      <c r="F34" s="14" t="s">
        <v>391</v>
      </c>
      <c r="O34" s="15">
        <f>'Enersys FAS109 Entry'!Q39</f>
        <v>2883.5099999999998</v>
      </c>
      <c r="P34" s="15">
        <f>'Enersys FAS109 Entry'!R33</f>
        <v>-13731</v>
      </c>
      <c r="Q34" s="15">
        <f t="shared" si="10"/>
        <v>-10847.49</v>
      </c>
    </row>
    <row r="35" spans="1:22" ht="14.1" customHeight="1" thickBot="1" x14ac:dyDescent="0.25">
      <c r="A35" s="13"/>
      <c r="B35" s="13"/>
      <c r="C35" s="13"/>
      <c r="D35" s="13"/>
      <c r="F35" s="33" t="s">
        <v>442</v>
      </c>
      <c r="N35" s="35">
        <f>SUM(N29:N34)</f>
        <v>-238803.87040000001</v>
      </c>
      <c r="O35" s="35">
        <f>SUM(O29:O34)</f>
        <v>2883.5099999999998</v>
      </c>
      <c r="P35" s="35">
        <f>SUM(P29:P34)</f>
        <v>-13731</v>
      </c>
      <c r="Q35" s="35">
        <f>SUM(Q29:Q34)</f>
        <v>-249651.36040000001</v>
      </c>
    </row>
    <row r="36" spans="1:22" ht="14.1" customHeight="1" thickTop="1" x14ac:dyDescent="0.2"/>
    <row r="38" spans="1:22" ht="14.1" customHeight="1" x14ac:dyDescent="0.2">
      <c r="I38" s="452" t="s">
        <v>565</v>
      </c>
      <c r="J38" s="452"/>
      <c r="K38" s="452"/>
      <c r="L38" s="452"/>
      <c r="M38" s="12"/>
      <c r="N38" s="452" t="s">
        <v>588</v>
      </c>
      <c r="O38" s="452"/>
      <c r="P38" s="452"/>
      <c r="Q38" s="452"/>
      <c r="R38" s="12"/>
      <c r="S38" s="452" t="s">
        <v>587</v>
      </c>
      <c r="T38" s="452"/>
      <c r="U38" s="452"/>
      <c r="V38" s="452"/>
    </row>
    <row r="39" spans="1:22" ht="14.1" customHeight="1" x14ac:dyDescent="0.2">
      <c r="V39" s="14"/>
    </row>
    <row r="40" spans="1:22" ht="14.1" customHeight="1" x14ac:dyDescent="0.2">
      <c r="F40" s="69" t="s">
        <v>498</v>
      </c>
      <c r="I40" s="45" t="s">
        <v>467</v>
      </c>
      <c r="J40" s="45" t="s">
        <v>466</v>
      </c>
      <c r="K40" s="45" t="s">
        <v>465</v>
      </c>
      <c r="L40" s="45" t="s">
        <v>187</v>
      </c>
      <c r="M40" s="46"/>
      <c r="N40" s="45" t="s">
        <v>467</v>
      </c>
      <c r="O40" s="45" t="s">
        <v>466</v>
      </c>
      <c r="P40" s="45" t="s">
        <v>465</v>
      </c>
      <c r="Q40" s="45" t="s">
        <v>187</v>
      </c>
      <c r="R40" s="46"/>
      <c r="S40" s="45" t="s">
        <v>467</v>
      </c>
      <c r="T40" s="45" t="s">
        <v>466</v>
      </c>
      <c r="U40" s="45" t="s">
        <v>465</v>
      </c>
      <c r="V40" s="45" t="s">
        <v>187</v>
      </c>
    </row>
    <row r="41" spans="1:22" ht="14.1" customHeight="1" x14ac:dyDescent="0.2">
      <c r="G41" s="11" t="s">
        <v>494</v>
      </c>
      <c r="I41" s="15">
        <f>I13</f>
        <v>493061.79999999993</v>
      </c>
      <c r="J41" s="15">
        <f t="shared" ref="J41:K41" si="11">J13</f>
        <v>-27118.398999999998</v>
      </c>
      <c r="K41" s="15">
        <f t="shared" si="11"/>
        <v>77481.14</v>
      </c>
      <c r="L41" s="15">
        <f>SUM(I41:K41)</f>
        <v>543424.54099999997</v>
      </c>
      <c r="N41" s="15">
        <f>I41+N29</f>
        <v>306684.43959999993</v>
      </c>
      <c r="O41" s="15">
        <f t="shared" ref="O41:P43" si="12">J41+O32</f>
        <v>-27118.398999999998</v>
      </c>
      <c r="P41" s="15">
        <f t="shared" si="12"/>
        <v>77481.14</v>
      </c>
      <c r="Q41" s="15">
        <f>SUM(N41:P41)</f>
        <v>357047.18059999996</v>
      </c>
      <c r="S41" s="15">
        <f t="shared" ref="S41:U43" si="13">N41-I41</f>
        <v>-186377.36040000001</v>
      </c>
      <c r="T41" s="15">
        <f t="shared" si="13"/>
        <v>0</v>
      </c>
      <c r="U41" s="15">
        <f t="shared" si="13"/>
        <v>0</v>
      </c>
      <c r="V41" s="15">
        <f>SUM(S41:U41)</f>
        <v>-186377.36040000001</v>
      </c>
    </row>
    <row r="42" spans="1:22" ht="14.1" customHeight="1" x14ac:dyDescent="0.2">
      <c r="G42" s="11" t="s">
        <v>495</v>
      </c>
      <c r="I42" s="15"/>
      <c r="J42" s="15"/>
      <c r="K42" s="15"/>
      <c r="L42" s="15">
        <f>SUM(I42:K42)</f>
        <v>0</v>
      </c>
      <c r="N42" s="15">
        <f>I42+N30</f>
        <v>0</v>
      </c>
      <c r="O42" s="15">
        <f t="shared" si="12"/>
        <v>0</v>
      </c>
      <c r="P42" s="15">
        <f t="shared" si="12"/>
        <v>0</v>
      </c>
      <c r="Q42" s="15">
        <f>SUM(N42:P42)</f>
        <v>0</v>
      </c>
      <c r="S42" s="15">
        <f t="shared" si="13"/>
        <v>0</v>
      </c>
      <c r="T42" s="15">
        <f t="shared" si="13"/>
        <v>0</v>
      </c>
      <c r="U42" s="15">
        <f t="shared" si="13"/>
        <v>0</v>
      </c>
      <c r="V42" s="15">
        <f>SUM(S42:U42)</f>
        <v>0</v>
      </c>
    </row>
    <row r="43" spans="1:22" ht="14.1" customHeight="1" x14ac:dyDescent="0.2">
      <c r="G43" s="11" t="s">
        <v>496</v>
      </c>
      <c r="I43" s="15"/>
      <c r="J43" s="15"/>
      <c r="K43" s="15"/>
      <c r="L43" s="15">
        <f>SUM(I43:K43)</f>
        <v>0</v>
      </c>
      <c r="N43" s="15">
        <f>I43+N31</f>
        <v>-52426.51</v>
      </c>
      <c r="O43" s="15">
        <f t="shared" si="12"/>
        <v>2883.5099999999998</v>
      </c>
      <c r="P43" s="15">
        <f t="shared" si="12"/>
        <v>-13731</v>
      </c>
      <c r="Q43" s="15">
        <f>SUM(N43:P43)</f>
        <v>-63274</v>
      </c>
      <c r="S43" s="15">
        <f t="shared" si="13"/>
        <v>-52426.51</v>
      </c>
      <c r="T43" s="15">
        <f t="shared" si="13"/>
        <v>2883.5099999999998</v>
      </c>
      <c r="U43" s="15">
        <f t="shared" si="13"/>
        <v>-13731</v>
      </c>
      <c r="V43" s="15">
        <f>SUM(S43:U43)</f>
        <v>-63274</v>
      </c>
    </row>
    <row r="44" spans="1:22" ht="14.1" customHeight="1" thickBot="1" x14ac:dyDescent="0.25">
      <c r="I44" s="68">
        <f>SUM(I41:I43)</f>
        <v>493061.79999999993</v>
      </c>
      <c r="J44" s="68">
        <f t="shared" ref="J44:L44" si="14">SUM(J41:J43)</f>
        <v>-27118.398999999998</v>
      </c>
      <c r="K44" s="68">
        <f t="shared" si="14"/>
        <v>77481.14</v>
      </c>
      <c r="L44" s="68">
        <f t="shared" si="14"/>
        <v>543424.54099999997</v>
      </c>
      <c r="N44" s="68">
        <f>SUM(N41:N43)</f>
        <v>254257.92959999992</v>
      </c>
      <c r="O44" s="68">
        <f t="shared" ref="O44:Q44" si="15">SUM(O41:O43)</f>
        <v>-24234.888999999999</v>
      </c>
      <c r="P44" s="68">
        <f t="shared" si="15"/>
        <v>63750.14</v>
      </c>
      <c r="Q44" s="68">
        <f t="shared" si="15"/>
        <v>293773.18059999996</v>
      </c>
      <c r="S44" s="68">
        <f>SUM(S41:S43)</f>
        <v>-238803.87040000001</v>
      </c>
      <c r="T44" s="68">
        <f t="shared" ref="T44:V44" si="16">SUM(T41:T43)</f>
        <v>2883.5099999999998</v>
      </c>
      <c r="U44" s="68">
        <f t="shared" si="16"/>
        <v>-13731</v>
      </c>
      <c r="V44" s="68">
        <f t="shared" si="16"/>
        <v>-249651.36040000001</v>
      </c>
    </row>
    <row r="45" spans="1:22" ht="14.1" customHeight="1" thickTop="1" x14ac:dyDescent="0.2">
      <c r="I45" s="15"/>
      <c r="J45" s="15"/>
      <c r="K45" s="15"/>
      <c r="L45" s="15"/>
      <c r="S45" s="15"/>
      <c r="T45" s="15"/>
      <c r="U45" s="15"/>
      <c r="V45" s="17"/>
    </row>
    <row r="46" spans="1:22" ht="14.1" customHeight="1" x14ac:dyDescent="0.2">
      <c r="I46" s="15"/>
      <c r="J46" s="15"/>
      <c r="K46" s="15"/>
      <c r="L46" s="15"/>
      <c r="V46" s="14"/>
    </row>
    <row r="47" spans="1:22" ht="14.1" customHeight="1" x14ac:dyDescent="0.2">
      <c r="I47" s="15"/>
      <c r="J47" s="15"/>
      <c r="K47" s="15"/>
      <c r="L47" s="15"/>
      <c r="N47" s="11" t="s">
        <v>606</v>
      </c>
      <c r="V47" s="14"/>
    </row>
  </sheetData>
  <mergeCells count="6">
    <mergeCell ref="I4:L4"/>
    <mergeCell ref="N4:Q4"/>
    <mergeCell ref="S4:V4"/>
    <mergeCell ref="I38:L38"/>
    <mergeCell ref="N38:Q38"/>
    <mergeCell ref="S38:V38"/>
  </mergeCells>
  <pageMargins left="0.25" right="0" top="0.25" bottom="0.25" header="0.3" footer="0"/>
  <pageSetup paperSize="5" scale="85" orientation="landscape" r:id="rId1"/>
  <headerFooter>
    <oddFooter>&amp;L&amp;"Calibri,Regular"&amp;9&amp;Z&amp;F&amp;R&amp;"Calibri,Regular"&amp;9&amp;A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0"/>
  <sheetViews>
    <sheetView zoomScale="110" zoomScaleNormal="110" workbookViewId="0">
      <selection activeCell="D1" sqref="D1:E2"/>
    </sheetView>
  </sheetViews>
  <sheetFormatPr defaultColWidth="8" defaultRowHeight="14.1" customHeight="1" x14ac:dyDescent="0.2"/>
  <cols>
    <col min="1" max="1" width="19.7109375" style="76" customWidth="1"/>
    <col min="2" max="2" width="12.140625" style="76" customWidth="1"/>
    <col min="3" max="3" width="1.5703125" style="76" customWidth="1"/>
    <col min="4" max="5" width="12" style="76" customWidth="1"/>
    <col min="6" max="6" width="12.42578125" style="76" customWidth="1"/>
    <col min="7" max="7" width="1.5703125" style="76" customWidth="1"/>
    <col min="8" max="8" width="14.140625" style="76" customWidth="1"/>
    <col min="9" max="9" width="1.5703125" style="76" customWidth="1"/>
    <col min="10" max="10" width="12" style="76" customWidth="1"/>
    <col min="11" max="11" width="1.5703125" style="76" customWidth="1"/>
    <col min="12" max="12" width="11.7109375" style="76" customWidth="1"/>
    <col min="13" max="13" width="11.140625" style="76" customWidth="1"/>
    <col min="14" max="14" width="13.140625" style="76" customWidth="1"/>
    <col min="15" max="15" width="8.42578125" style="76" customWidth="1"/>
    <col min="16" max="16" width="21.42578125" style="76" customWidth="1"/>
    <col min="17" max="18" width="12.42578125" style="76" customWidth="1"/>
    <col min="19" max="19" width="13.28515625" style="76" customWidth="1"/>
    <col min="20" max="20" width="10.5703125" style="76" customWidth="1"/>
    <col min="21" max="21" width="11.7109375" style="76" customWidth="1"/>
    <col min="22" max="22" width="10.7109375" style="76" customWidth="1"/>
    <col min="23" max="23" width="2.42578125" style="76" customWidth="1"/>
    <col min="24" max="24" width="11.28515625" style="76" customWidth="1"/>
    <col min="25" max="25" width="14.7109375" style="76" customWidth="1"/>
    <col min="26" max="26" width="5.28515625" style="76" customWidth="1"/>
    <col min="27" max="27" width="13.85546875" style="76" customWidth="1"/>
    <col min="28" max="28" width="5.28515625" style="76" customWidth="1"/>
    <col min="29" max="29" width="17.7109375" style="76" customWidth="1"/>
    <col min="30" max="30" width="8.5703125" style="76" customWidth="1"/>
    <col min="31" max="31" width="30.5703125" style="76" customWidth="1"/>
    <col min="32" max="16384" width="8" style="76"/>
  </cols>
  <sheetData>
    <row r="1" spans="1:31" ht="14.1" customHeight="1" x14ac:dyDescent="0.2">
      <c r="A1" s="75" t="s">
        <v>563</v>
      </c>
      <c r="D1" s="455" t="s">
        <v>718</v>
      </c>
      <c r="E1" s="455"/>
    </row>
    <row r="2" spans="1:31" ht="14.1" customHeight="1" x14ac:dyDescent="0.2">
      <c r="A2" s="75" t="s">
        <v>502</v>
      </c>
      <c r="D2" s="455" t="s">
        <v>710</v>
      </c>
      <c r="E2" s="455"/>
    </row>
    <row r="3" spans="1:31" ht="14.1" customHeight="1" x14ac:dyDescent="0.2">
      <c r="A3" s="77" t="s">
        <v>503</v>
      </c>
    </row>
    <row r="5" spans="1:31" ht="14.1" customHeight="1" x14ac:dyDescent="0.2">
      <c r="A5" s="453" t="s">
        <v>504</v>
      </c>
      <c r="B5" s="453"/>
      <c r="C5" s="453"/>
      <c r="D5" s="453"/>
      <c r="E5" s="453"/>
      <c r="F5" s="453"/>
      <c r="G5" s="453"/>
      <c r="H5" s="453"/>
      <c r="I5" s="453"/>
      <c r="J5" s="453"/>
      <c r="K5" s="453"/>
      <c r="L5" s="453"/>
      <c r="M5" s="453"/>
      <c r="N5" s="453"/>
    </row>
    <row r="7" spans="1:31" ht="14.1" customHeight="1" x14ac:dyDescent="0.2">
      <c r="A7" s="78" t="s">
        <v>505</v>
      </c>
      <c r="B7" s="78" t="s">
        <v>506</v>
      </c>
      <c r="C7" s="78"/>
      <c r="D7" s="78" t="s">
        <v>467</v>
      </c>
      <c r="E7" s="78" t="s">
        <v>465</v>
      </c>
      <c r="F7" s="78" t="s">
        <v>507</v>
      </c>
      <c r="G7" s="78"/>
      <c r="H7" s="78" t="s">
        <v>508</v>
      </c>
      <c r="I7" s="78"/>
      <c r="J7" s="78" t="s">
        <v>509</v>
      </c>
      <c r="L7" s="78" t="s">
        <v>467</v>
      </c>
      <c r="M7" s="78" t="s">
        <v>465</v>
      </c>
      <c r="N7" s="78" t="s">
        <v>510</v>
      </c>
      <c r="P7" s="75" t="s">
        <v>511</v>
      </c>
    </row>
    <row r="8" spans="1:31" ht="14.1" customHeight="1" x14ac:dyDescent="0.2">
      <c r="B8" s="79"/>
      <c r="C8" s="79"/>
      <c r="D8" s="79"/>
      <c r="E8" s="79"/>
      <c r="F8" s="79"/>
      <c r="G8" s="79"/>
      <c r="H8" s="79"/>
      <c r="I8" s="79"/>
      <c r="J8" s="79"/>
      <c r="K8" s="79"/>
      <c r="AC8" s="80" t="s">
        <v>512</v>
      </c>
    </row>
    <row r="9" spans="1:31" ht="14.1" customHeight="1" x14ac:dyDescent="0.2">
      <c r="A9" s="76" t="s">
        <v>513</v>
      </c>
      <c r="B9" s="81">
        <v>120036869.29119998</v>
      </c>
      <c r="C9" s="79"/>
      <c r="D9" s="79">
        <f>ROUND(B9*AD14,0)</f>
        <v>39702195</v>
      </c>
      <c r="E9" s="79">
        <f>ROUND(B9*AD10,0)</f>
        <v>6602028</v>
      </c>
      <c r="F9" s="79">
        <f>D9+E9</f>
        <v>46304223</v>
      </c>
      <c r="G9" s="79"/>
      <c r="H9" s="79">
        <f>ROUND(F9/AD16,0)</f>
        <v>75383350</v>
      </c>
      <c r="I9" s="79"/>
      <c r="J9" s="79">
        <f>H9-F9</f>
        <v>29079127</v>
      </c>
      <c r="K9" s="79"/>
      <c r="L9" s="79">
        <f>ROUND(F9*(AD14/AD16),0)</f>
        <v>24933043</v>
      </c>
      <c r="M9" s="79">
        <f>ROUND(F9*(AD10/AD16),0)</f>
        <v>4146084</v>
      </c>
      <c r="N9" s="79">
        <f>L9+M9</f>
        <v>29079127</v>
      </c>
      <c r="P9" s="82"/>
      <c r="Q9" s="83" t="s">
        <v>467</v>
      </c>
      <c r="R9" s="84" t="s">
        <v>465</v>
      </c>
      <c r="S9" s="83" t="s">
        <v>467</v>
      </c>
      <c r="T9" s="84" t="s">
        <v>465</v>
      </c>
      <c r="U9" s="83" t="s">
        <v>467</v>
      </c>
      <c r="V9" s="84" t="s">
        <v>465</v>
      </c>
      <c r="W9" s="85"/>
      <c r="X9" s="86" t="s">
        <v>514</v>
      </c>
      <c r="Y9" s="87" t="s">
        <v>514</v>
      </c>
      <c r="AC9" s="76" t="s">
        <v>515</v>
      </c>
      <c r="AD9" s="88">
        <v>0.35</v>
      </c>
    </row>
    <row r="10" spans="1:31" ht="14.1" customHeight="1" x14ac:dyDescent="0.2">
      <c r="B10" s="79"/>
      <c r="C10" s="79"/>
      <c r="D10" s="79"/>
      <c r="E10" s="79"/>
      <c r="F10" s="79"/>
      <c r="G10" s="79"/>
      <c r="H10" s="79"/>
      <c r="I10" s="79"/>
      <c r="J10" s="79"/>
      <c r="K10" s="79"/>
      <c r="P10" s="89"/>
      <c r="Q10" s="90" t="s">
        <v>516</v>
      </c>
      <c r="R10" s="91" t="s">
        <v>517</v>
      </c>
      <c r="S10" s="90" t="s">
        <v>518</v>
      </c>
      <c r="T10" s="91" t="s">
        <v>519</v>
      </c>
      <c r="U10" s="90" t="s">
        <v>520</v>
      </c>
      <c r="V10" s="91" t="s">
        <v>521</v>
      </c>
      <c r="W10" s="92"/>
      <c r="X10" s="90" t="s">
        <v>522</v>
      </c>
      <c r="Y10" s="91" t="s">
        <v>523</v>
      </c>
      <c r="AC10" s="76" t="s">
        <v>524</v>
      </c>
      <c r="AD10" s="76">
        <v>5.5E-2</v>
      </c>
    </row>
    <row r="11" spans="1:31" ht="14.1" customHeight="1" x14ac:dyDescent="0.2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P11" s="95"/>
      <c r="Q11" s="96" t="s">
        <v>525</v>
      </c>
      <c r="R11" s="97" t="s">
        <v>525</v>
      </c>
      <c r="S11" s="96" t="s">
        <v>526</v>
      </c>
      <c r="T11" s="97" t="s">
        <v>526</v>
      </c>
      <c r="U11" s="96" t="s">
        <v>527</v>
      </c>
      <c r="V11" s="97" t="s">
        <v>527</v>
      </c>
      <c r="W11" s="98"/>
      <c r="X11" s="96" t="s">
        <v>528</v>
      </c>
      <c r="Y11" s="97" t="s">
        <v>529</v>
      </c>
      <c r="AC11" s="76" t="s">
        <v>466</v>
      </c>
      <c r="AD11" s="99">
        <f>AD10*-AD9</f>
        <v>-1.925E-2</v>
      </c>
    </row>
    <row r="12" spans="1:31" ht="14.1" customHeight="1" x14ac:dyDescent="0.2">
      <c r="B12" s="79"/>
      <c r="C12" s="79"/>
      <c r="D12" s="79"/>
      <c r="E12" s="79"/>
      <c r="F12" s="79"/>
      <c r="G12" s="79"/>
      <c r="H12" s="79"/>
      <c r="I12" s="79"/>
      <c r="J12" s="79"/>
      <c r="K12" s="79"/>
      <c r="P12" s="332" t="s">
        <v>547</v>
      </c>
      <c r="Q12" s="333">
        <f>D9</f>
        <v>39702195</v>
      </c>
      <c r="R12" s="335">
        <f>E9</f>
        <v>6602028</v>
      </c>
      <c r="S12" s="333"/>
      <c r="T12" s="335"/>
      <c r="U12" s="333"/>
      <c r="V12" s="334"/>
      <c r="W12" s="127"/>
      <c r="X12" s="333"/>
      <c r="Y12" s="335">
        <f>-Q12-R12</f>
        <v>-46304223</v>
      </c>
      <c r="AC12" s="76" t="s">
        <v>530</v>
      </c>
      <c r="AD12" s="103">
        <f>SUM(AD9:AD11)</f>
        <v>0.38574999999999998</v>
      </c>
    </row>
    <row r="13" spans="1:31" ht="14.1" customHeight="1" x14ac:dyDescent="0.2">
      <c r="A13" s="76" t="s">
        <v>531</v>
      </c>
      <c r="B13" s="81">
        <v>-62693876.899999999</v>
      </c>
      <c r="C13" s="81"/>
      <c r="D13" s="81">
        <f>ROUND(B13*AD14,0)</f>
        <v>-20736000</v>
      </c>
      <c r="E13" s="81">
        <f>ROUND(B13*AD10,0)</f>
        <v>-3448163</v>
      </c>
      <c r="F13" s="81">
        <f>D13+E13</f>
        <v>-24184163</v>
      </c>
      <c r="G13" s="81"/>
      <c r="H13" s="81">
        <f>ROUND(F13/AD16,0)</f>
        <v>-39371857</v>
      </c>
      <c r="I13" s="81"/>
      <c r="J13" s="81">
        <f>H13-F13</f>
        <v>-15187694</v>
      </c>
      <c r="K13" s="81"/>
      <c r="L13" s="81">
        <f>ROUND(F13*(AD14/AD16),0)</f>
        <v>-13022242</v>
      </c>
      <c r="M13" s="81">
        <f>ROUND(F13*(AD10/AD16),0)</f>
        <v>-2165452</v>
      </c>
      <c r="N13" s="81">
        <f>L13+M13</f>
        <v>-15187694</v>
      </c>
      <c r="P13" s="128" t="s">
        <v>532</v>
      </c>
      <c r="Q13" s="333">
        <f>L9</f>
        <v>24933043</v>
      </c>
      <c r="R13" s="335">
        <f>M9</f>
        <v>4146084</v>
      </c>
      <c r="S13" s="333"/>
      <c r="T13" s="335"/>
      <c r="U13" s="333"/>
      <c r="V13" s="334"/>
      <c r="W13" s="127"/>
      <c r="X13" s="333"/>
      <c r="Y13" s="335">
        <f>-Q13-R13</f>
        <v>-29079127</v>
      </c>
    </row>
    <row r="14" spans="1:31" ht="14.1" customHeight="1" x14ac:dyDescent="0.2">
      <c r="A14" s="76" t="s">
        <v>533</v>
      </c>
      <c r="B14" s="81">
        <v>4229978.25</v>
      </c>
      <c r="C14" s="81"/>
      <c r="D14" s="81">
        <f>ROUND(B14*AD14,0)</f>
        <v>1399065</v>
      </c>
      <c r="E14" s="81">
        <f>ROUND(B14*AD10,0)</f>
        <v>232649</v>
      </c>
      <c r="F14" s="81">
        <f>D14+E14</f>
        <v>1631714</v>
      </c>
      <c r="G14" s="81"/>
      <c r="H14" s="81">
        <f>ROUND(F14/AD16,0)</f>
        <v>2656433</v>
      </c>
      <c r="I14" s="81"/>
      <c r="J14" s="81">
        <f>H14-F14</f>
        <v>1024719</v>
      </c>
      <c r="K14" s="81"/>
      <c r="L14" s="81">
        <f>ROUND(F14*(AD14/AD16),0)</f>
        <v>878615</v>
      </c>
      <c r="M14" s="81">
        <f>ROUND(F14*(AD10/AD16),0)</f>
        <v>146104</v>
      </c>
      <c r="N14" s="81">
        <f>L14+M14</f>
        <v>1024719</v>
      </c>
      <c r="P14" s="305"/>
      <c r="Q14" s="314"/>
      <c r="R14" s="315"/>
      <c r="S14" s="314"/>
      <c r="T14" s="315"/>
      <c r="U14" s="314"/>
      <c r="V14" s="315"/>
      <c r="W14" s="297"/>
      <c r="X14" s="314"/>
      <c r="Y14" s="315"/>
      <c r="AC14" s="76" t="s">
        <v>534</v>
      </c>
      <c r="AD14" s="108">
        <f>AD9+AD11</f>
        <v>0.33074999999999999</v>
      </c>
    </row>
    <row r="15" spans="1:31" ht="14.1" customHeight="1" thickBot="1" x14ac:dyDescent="0.25">
      <c r="A15" s="109" t="s">
        <v>535</v>
      </c>
      <c r="B15" s="110">
        <f>B13+B14</f>
        <v>-58463898.649999999</v>
      </c>
      <c r="C15" s="79"/>
      <c r="D15" s="110">
        <f>D13+D14</f>
        <v>-19336935</v>
      </c>
      <c r="E15" s="110">
        <f>E13+E14</f>
        <v>-3215514</v>
      </c>
      <c r="F15" s="110">
        <f>F13+F14</f>
        <v>-22552449</v>
      </c>
      <c r="G15" s="79"/>
      <c r="H15" s="110">
        <f>H13+H14</f>
        <v>-36715424</v>
      </c>
      <c r="I15" s="79"/>
      <c r="J15" s="110">
        <f>J13+J14</f>
        <v>-14162975</v>
      </c>
      <c r="K15" s="79"/>
      <c r="L15" s="110">
        <f>L13+L14</f>
        <v>-12143627</v>
      </c>
      <c r="M15" s="110">
        <f>M13+M14</f>
        <v>-2019348</v>
      </c>
      <c r="N15" s="110">
        <f>N13+N14</f>
        <v>-14162975</v>
      </c>
      <c r="P15" s="318" t="s">
        <v>548</v>
      </c>
      <c r="Q15" s="130"/>
      <c r="R15" s="321"/>
      <c r="S15" s="319">
        <f>D15</f>
        <v>-19336935</v>
      </c>
      <c r="T15" s="320">
        <f>E15</f>
        <v>-3215514</v>
      </c>
      <c r="U15" s="130"/>
      <c r="V15" s="321"/>
      <c r="W15" s="134"/>
      <c r="X15" s="319">
        <f>-S15-T15</f>
        <v>22552449</v>
      </c>
      <c r="Y15" s="320"/>
    </row>
    <row r="16" spans="1:31" ht="14.1" customHeight="1" thickTop="1" x14ac:dyDescent="0.2">
      <c r="P16" s="135" t="s">
        <v>549</v>
      </c>
      <c r="Q16" s="130"/>
      <c r="R16" s="321"/>
      <c r="S16" s="130"/>
      <c r="T16" s="321"/>
      <c r="U16" s="319">
        <f>L15</f>
        <v>-12143627</v>
      </c>
      <c r="V16" s="320">
        <f>M15</f>
        <v>-2019348</v>
      </c>
      <c r="W16" s="134"/>
      <c r="X16" s="319">
        <f>-U16-V16</f>
        <v>14162975</v>
      </c>
      <c r="Y16" s="320"/>
      <c r="AC16" s="76" t="s">
        <v>536</v>
      </c>
      <c r="AD16" s="108">
        <f>1-AD12</f>
        <v>0.61424999999999996</v>
      </c>
      <c r="AE16" s="76" t="s">
        <v>537</v>
      </c>
    </row>
    <row r="17" spans="1:31" ht="14.1" customHeight="1" x14ac:dyDescent="0.2">
      <c r="A17" s="93"/>
      <c r="B17" s="94"/>
      <c r="C17" s="94"/>
      <c r="D17" s="111"/>
      <c r="E17" s="111"/>
      <c r="F17" s="111"/>
      <c r="G17" s="94"/>
      <c r="H17" s="111"/>
      <c r="I17" s="94"/>
      <c r="J17" s="111"/>
      <c r="K17" s="111"/>
      <c r="L17" s="111"/>
      <c r="M17" s="111"/>
      <c r="N17" s="111"/>
      <c r="P17" s="305"/>
      <c r="Q17" s="314"/>
      <c r="R17" s="315"/>
      <c r="S17" s="314"/>
      <c r="T17" s="315"/>
      <c r="U17" s="314"/>
      <c r="V17" s="315"/>
      <c r="W17" s="297"/>
      <c r="X17" s="314"/>
      <c r="Y17" s="315"/>
    </row>
    <row r="18" spans="1:31" ht="14.1" customHeight="1" x14ac:dyDescent="0.2">
      <c r="P18" s="332" t="s">
        <v>551</v>
      </c>
      <c r="Q18" s="333"/>
      <c r="R18" s="334"/>
      <c r="S18" s="333">
        <f>D21</f>
        <v>-180052446</v>
      </c>
      <c r="T18" s="335">
        <f>E21</f>
        <v>-29940694</v>
      </c>
      <c r="U18" s="333"/>
      <c r="V18" s="334"/>
      <c r="W18" s="127"/>
      <c r="X18" s="333">
        <f>-S18-T18</f>
        <v>209993140</v>
      </c>
      <c r="Y18" s="335"/>
    </row>
    <row r="19" spans="1:31" ht="14.1" customHeight="1" x14ac:dyDescent="0.2">
      <c r="A19" s="76" t="s">
        <v>538</v>
      </c>
      <c r="B19" s="81">
        <v>-478176523.34000003</v>
      </c>
      <c r="C19" s="81"/>
      <c r="D19" s="81">
        <f>ROUND(B19*AD14,0)</f>
        <v>-158156885</v>
      </c>
      <c r="E19" s="81">
        <f>ROUND(B19*AD10,0)</f>
        <v>-26299709</v>
      </c>
      <c r="F19" s="81">
        <f>D19+E19</f>
        <v>-184456594</v>
      </c>
      <c r="G19" s="81"/>
      <c r="H19" s="81">
        <f>ROUND(F19/AD16,0)</f>
        <v>-300295635</v>
      </c>
      <c r="I19" s="81"/>
      <c r="J19" s="81">
        <f>H19-F19</f>
        <v>-115839041</v>
      </c>
      <c r="K19" s="81"/>
      <c r="L19" s="81">
        <f>ROUND(F19*(AD14/AD16),0)</f>
        <v>-99322781</v>
      </c>
      <c r="M19" s="81">
        <f>ROUND(F19*(AD10/AD16),0)</f>
        <v>-16516260</v>
      </c>
      <c r="N19" s="81">
        <f>L19+M19</f>
        <v>-115839041</v>
      </c>
      <c r="P19" s="128" t="s">
        <v>552</v>
      </c>
      <c r="Q19" s="136"/>
      <c r="R19" s="334"/>
      <c r="S19" s="136"/>
      <c r="T19" s="334"/>
      <c r="U19" s="333">
        <f>L21</f>
        <v>-113073229</v>
      </c>
      <c r="V19" s="335">
        <f>M21</f>
        <v>-18802805</v>
      </c>
      <c r="W19" s="127"/>
      <c r="X19" s="333">
        <f>-U19-V19</f>
        <v>131876034</v>
      </c>
      <c r="Y19" s="335"/>
      <c r="AC19" s="76" t="s">
        <v>539</v>
      </c>
    </row>
    <row r="20" spans="1:31" ht="14.1" customHeight="1" x14ac:dyDescent="0.2">
      <c r="A20" s="76" t="s">
        <v>540</v>
      </c>
      <c r="B20" s="81">
        <v>-66199732.370000005</v>
      </c>
      <c r="C20" s="81"/>
      <c r="D20" s="81">
        <f>ROUND(B20*AD14,0)</f>
        <v>-21895561</v>
      </c>
      <c r="E20" s="81">
        <f>ROUND(B20*AD10,0)</f>
        <v>-3640985</v>
      </c>
      <c r="F20" s="81">
        <f>D20+E20</f>
        <v>-25536546</v>
      </c>
      <c r="G20" s="81"/>
      <c r="H20" s="81">
        <f>ROUND(F20/AD16,0)</f>
        <v>-41573538</v>
      </c>
      <c r="I20" s="81"/>
      <c r="J20" s="81">
        <f>H20-F20</f>
        <v>-16036992</v>
      </c>
      <c r="K20" s="81"/>
      <c r="L20" s="81">
        <f>ROUND(F20*(AD14/AD16),0)</f>
        <v>-13750448</v>
      </c>
      <c r="M20" s="81">
        <f>ROUND(F20*(AD10/AD16),0)</f>
        <v>-2286545</v>
      </c>
      <c r="N20" s="81">
        <f>L20+M20</f>
        <v>-16036993</v>
      </c>
      <c r="P20" s="305"/>
      <c r="Q20" s="314"/>
      <c r="R20" s="315"/>
      <c r="S20" s="314"/>
      <c r="T20" s="315"/>
      <c r="U20" s="314"/>
      <c r="V20" s="315"/>
      <c r="W20" s="297"/>
      <c r="X20" s="314"/>
      <c r="Y20" s="315"/>
    </row>
    <row r="21" spans="1:31" ht="14.1" customHeight="1" thickBot="1" x14ac:dyDescent="0.25">
      <c r="A21" s="109" t="s">
        <v>541</v>
      </c>
      <c r="B21" s="110">
        <f>B19+B20</f>
        <v>-544376255.71000004</v>
      </c>
      <c r="C21" s="79"/>
      <c r="D21" s="110">
        <f>D19+D20</f>
        <v>-180052446</v>
      </c>
      <c r="E21" s="110">
        <f>E19+E20</f>
        <v>-29940694</v>
      </c>
      <c r="F21" s="110">
        <f>F19+F20</f>
        <v>-209993140</v>
      </c>
      <c r="G21" s="79"/>
      <c r="H21" s="110">
        <f>H19+H20</f>
        <v>-341869173</v>
      </c>
      <c r="I21" s="79"/>
      <c r="J21" s="110">
        <f>J19+J20</f>
        <v>-131876033</v>
      </c>
      <c r="K21" s="79"/>
      <c r="L21" s="110">
        <f>L19+L20</f>
        <v>-113073229</v>
      </c>
      <c r="M21" s="110">
        <f>M19+M20</f>
        <v>-18802805</v>
      </c>
      <c r="N21" s="110">
        <f>N19+N20</f>
        <v>-131876034</v>
      </c>
      <c r="P21" s="318" t="s">
        <v>542</v>
      </c>
      <c r="Q21" s="319"/>
      <c r="R21" s="320"/>
      <c r="S21" s="130">
        <f>D25</f>
        <v>7218903</v>
      </c>
      <c r="T21" s="321">
        <f>E25</f>
        <v>2285598</v>
      </c>
      <c r="U21" s="130"/>
      <c r="V21" s="321"/>
      <c r="W21" s="134"/>
      <c r="X21" s="319"/>
      <c r="Y21" s="320">
        <f>-S21-T21</f>
        <v>-9504501</v>
      </c>
      <c r="AD21" s="79"/>
    </row>
    <row r="22" spans="1:31" ht="14.1" customHeight="1" thickTop="1" x14ac:dyDescent="0.2">
      <c r="P22" s="325" t="s">
        <v>543</v>
      </c>
      <c r="Q22" s="130">
        <f>L25</f>
        <v>5117808</v>
      </c>
      <c r="R22" s="321">
        <f>M25</f>
        <v>851034</v>
      </c>
      <c r="S22" s="130"/>
      <c r="T22" s="321"/>
      <c r="U22" s="319"/>
      <c r="V22" s="320"/>
      <c r="W22" s="134"/>
      <c r="X22" s="319"/>
      <c r="Y22" s="320">
        <f>-Q22-R22</f>
        <v>-5968842</v>
      </c>
      <c r="AD22" s="79"/>
    </row>
    <row r="23" spans="1:31" ht="14.1" customHeight="1" thickBot="1" x14ac:dyDescent="0.25">
      <c r="A23" s="93"/>
      <c r="B23" s="94"/>
      <c r="C23" s="94"/>
      <c r="D23" s="111"/>
      <c r="E23" s="111"/>
      <c r="F23" s="111"/>
      <c r="G23" s="94"/>
      <c r="H23" s="111"/>
      <c r="I23" s="94"/>
      <c r="J23" s="111"/>
      <c r="K23" s="111"/>
      <c r="L23" s="111"/>
      <c r="M23" s="111"/>
      <c r="N23" s="111"/>
      <c r="O23" s="112"/>
      <c r="P23" s="89"/>
      <c r="Q23" s="113">
        <f t="shared" ref="Q23:V23" si="0">SUM(Q12:Q22)</f>
        <v>69753046</v>
      </c>
      <c r="R23" s="114">
        <f t="shared" si="0"/>
        <v>11599146</v>
      </c>
      <c r="S23" s="113">
        <f t="shared" si="0"/>
        <v>-192170478</v>
      </c>
      <c r="T23" s="114">
        <f t="shared" si="0"/>
        <v>-30870610</v>
      </c>
      <c r="U23" s="113">
        <f t="shared" si="0"/>
        <v>-125216856</v>
      </c>
      <c r="V23" s="114">
        <f t="shared" si="0"/>
        <v>-20822153</v>
      </c>
      <c r="X23" s="113">
        <f>SUM(X12:X22)</f>
        <v>378584598</v>
      </c>
      <c r="Y23" s="114">
        <f>SUM(Y12:Y22)</f>
        <v>-90856693</v>
      </c>
      <c r="AD23" s="79"/>
    </row>
    <row r="24" spans="1:31" ht="14.1" customHeight="1" thickTop="1" x14ac:dyDescent="0.2">
      <c r="P24" s="89"/>
      <c r="Q24" s="107"/>
      <c r="R24" s="106"/>
      <c r="S24" s="107"/>
      <c r="T24" s="106"/>
      <c r="U24" s="107"/>
      <c r="V24" s="106"/>
      <c r="X24" s="107"/>
      <c r="Y24" s="106"/>
    </row>
    <row r="25" spans="1:31" ht="14.1" customHeight="1" thickBot="1" x14ac:dyDescent="0.25">
      <c r="A25" s="76" t="s">
        <v>542</v>
      </c>
      <c r="B25" s="79"/>
      <c r="C25" s="79"/>
      <c r="D25" s="81">
        <v>7218903</v>
      </c>
      <c r="E25" s="81">
        <v>2285598</v>
      </c>
      <c r="F25" s="81">
        <f>D25+E25</f>
        <v>9504501</v>
      </c>
      <c r="G25" s="79"/>
      <c r="H25" s="79">
        <f>ROUND(F25/AD16,0)</f>
        <v>15473343</v>
      </c>
      <c r="I25" s="79"/>
      <c r="J25" s="79">
        <f>H25-F25</f>
        <v>5968842</v>
      </c>
      <c r="K25" s="79"/>
      <c r="L25" s="79">
        <f>ROUND(F25*(AD14/AD16),0)</f>
        <v>5117808</v>
      </c>
      <c r="M25" s="79">
        <f>ROUND(F25*(AD10/AD16),0)</f>
        <v>851034</v>
      </c>
      <c r="N25" s="79">
        <f>L25+M25</f>
        <v>5968842</v>
      </c>
      <c r="P25" s="89"/>
      <c r="Q25" s="104"/>
      <c r="R25" s="105"/>
      <c r="S25" s="104"/>
      <c r="T25" s="105"/>
      <c r="U25" s="104"/>
      <c r="V25" s="105"/>
      <c r="W25" s="79"/>
      <c r="X25" s="104"/>
      <c r="Y25" s="115">
        <f>X23+Y23</f>
        <v>287727905</v>
      </c>
      <c r="AB25" s="79"/>
    </row>
    <row r="26" spans="1:31" ht="14.1" customHeight="1" thickTop="1" x14ac:dyDescent="0.2">
      <c r="B26" s="79"/>
      <c r="C26" s="79"/>
      <c r="D26" s="79"/>
      <c r="E26" s="79"/>
      <c r="F26" s="79"/>
      <c r="G26" s="79"/>
      <c r="H26" s="79"/>
      <c r="I26" s="79"/>
      <c r="J26" s="79"/>
      <c r="K26" s="79"/>
      <c r="P26" s="89"/>
      <c r="Q26" s="104"/>
      <c r="R26" s="105"/>
      <c r="S26" s="104"/>
      <c r="T26" s="105"/>
      <c r="U26" s="104"/>
      <c r="V26" s="105"/>
      <c r="W26" s="79"/>
      <c r="X26" s="104"/>
      <c r="Y26" s="105"/>
    </row>
    <row r="27" spans="1:31" ht="14.1" customHeight="1" thickBot="1" x14ac:dyDescent="0.25">
      <c r="A27" s="92" t="s">
        <v>372</v>
      </c>
      <c r="B27" s="116"/>
      <c r="C27" s="116"/>
      <c r="D27" s="117">
        <f>D9+D21+D25+D15</f>
        <v>-152468283</v>
      </c>
      <c r="E27" s="117">
        <f>E9+E21+E25+E15</f>
        <v>-24268582</v>
      </c>
      <c r="F27" s="117">
        <f>F9+F21+F25+F15</f>
        <v>-176736865</v>
      </c>
      <c r="G27" s="116"/>
      <c r="H27" s="117">
        <f>H9+H21+H25+H15</f>
        <v>-287727904</v>
      </c>
      <c r="I27" s="116"/>
      <c r="J27" s="117">
        <f>J9+J21+J25+J15</f>
        <v>-110991039</v>
      </c>
      <c r="K27" s="79"/>
      <c r="L27" s="117">
        <f>L9+L21+L25+L15</f>
        <v>-95166005</v>
      </c>
      <c r="M27" s="117">
        <f>M9+M21+M25+M15</f>
        <v>-15825035</v>
      </c>
      <c r="N27" s="117">
        <f>N9+N21+N25+N15</f>
        <v>-110991040</v>
      </c>
      <c r="P27" s="118"/>
      <c r="Q27" s="119"/>
      <c r="R27" s="120"/>
      <c r="S27" s="119"/>
      <c r="T27" s="120"/>
      <c r="U27" s="119"/>
      <c r="V27" s="120"/>
      <c r="X27" s="119"/>
      <c r="Y27" s="120"/>
      <c r="AB27" s="79"/>
    </row>
    <row r="28" spans="1:31" ht="14.1" customHeight="1" thickTop="1" x14ac:dyDescent="0.2"/>
    <row r="30" spans="1:31" ht="14.1" customHeight="1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</row>
    <row r="32" spans="1:31" ht="14.1" customHeight="1" x14ac:dyDescent="0.2">
      <c r="A32" s="75" t="s">
        <v>564</v>
      </c>
    </row>
    <row r="33" spans="1:25" ht="14.1" customHeight="1" x14ac:dyDescent="0.2">
      <c r="A33" s="75" t="s">
        <v>502</v>
      </c>
    </row>
    <row r="34" spans="1:25" ht="14.1" customHeight="1" x14ac:dyDescent="0.2">
      <c r="A34" s="77"/>
    </row>
    <row r="36" spans="1:25" ht="14.1" customHeight="1" x14ac:dyDescent="0.2">
      <c r="A36" s="454" t="s">
        <v>654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</row>
    <row r="38" spans="1:25" ht="14.1" customHeight="1" x14ac:dyDescent="0.2">
      <c r="A38" s="78" t="s">
        <v>505</v>
      </c>
      <c r="B38" s="78" t="s">
        <v>506</v>
      </c>
      <c r="C38" s="78"/>
      <c r="D38" s="78" t="s">
        <v>467</v>
      </c>
      <c r="E38" s="78" t="s">
        <v>465</v>
      </c>
      <c r="F38" s="78" t="s">
        <v>507</v>
      </c>
      <c r="G38" s="78"/>
      <c r="H38" s="78" t="s">
        <v>508</v>
      </c>
      <c r="I38" s="78"/>
      <c r="J38" s="78" t="s">
        <v>509</v>
      </c>
      <c r="L38" s="78" t="s">
        <v>467</v>
      </c>
      <c r="M38" s="78" t="s">
        <v>465</v>
      </c>
      <c r="N38" s="78" t="s">
        <v>510</v>
      </c>
      <c r="P38" s="75" t="s">
        <v>562</v>
      </c>
    </row>
    <row r="39" spans="1:25" ht="14.1" customHeight="1" x14ac:dyDescent="0.2">
      <c r="B39" s="79"/>
      <c r="C39" s="79"/>
      <c r="D39" s="79"/>
      <c r="E39" s="79"/>
      <c r="F39" s="79"/>
      <c r="G39" s="79"/>
      <c r="H39" s="79"/>
      <c r="I39" s="79"/>
      <c r="J39" s="79"/>
      <c r="K39" s="79"/>
    </row>
    <row r="40" spans="1:25" ht="14.1" customHeight="1" x14ac:dyDescent="0.2">
      <c r="A40" s="76" t="s">
        <v>513</v>
      </c>
      <c r="B40" s="81">
        <f>B72-B9</f>
        <v>-1036473</v>
      </c>
      <c r="C40" s="79"/>
      <c r="D40" s="81">
        <f>D72-D9</f>
        <v>-342814</v>
      </c>
      <c r="E40" s="81">
        <f>E72-E9</f>
        <v>-57006</v>
      </c>
      <c r="F40" s="81">
        <f>F72-F9</f>
        <v>-399820</v>
      </c>
      <c r="G40" s="79"/>
      <c r="H40" s="81">
        <f>H72-H9</f>
        <v>-650907</v>
      </c>
      <c r="I40" s="79"/>
      <c r="J40" s="81">
        <f>J72-J9</f>
        <v>-251087</v>
      </c>
      <c r="K40" s="79"/>
      <c r="L40" s="81">
        <f>L72-L9</f>
        <v>-215288</v>
      </c>
      <c r="M40" s="81">
        <f>M72-M9</f>
        <v>-35800</v>
      </c>
      <c r="N40" s="81">
        <f>N72-N9</f>
        <v>-251088</v>
      </c>
      <c r="P40" s="82"/>
      <c r="Q40" s="83" t="s">
        <v>467</v>
      </c>
      <c r="R40" s="84" t="s">
        <v>465</v>
      </c>
      <c r="S40" s="83" t="s">
        <v>467</v>
      </c>
      <c r="T40" s="84" t="s">
        <v>465</v>
      </c>
      <c r="U40" s="83" t="s">
        <v>467</v>
      </c>
      <c r="V40" s="84" t="s">
        <v>465</v>
      </c>
      <c r="W40" s="85"/>
      <c r="X40" s="86" t="s">
        <v>514</v>
      </c>
      <c r="Y40" s="87" t="s">
        <v>514</v>
      </c>
    </row>
    <row r="41" spans="1:25" ht="14.1" customHeight="1" x14ac:dyDescent="0.2">
      <c r="B41" s="79"/>
      <c r="C41" s="79"/>
      <c r="D41" s="79"/>
      <c r="E41" s="79"/>
      <c r="F41" s="79"/>
      <c r="G41" s="79"/>
      <c r="H41" s="79"/>
      <c r="I41" s="79"/>
      <c r="J41" s="79"/>
      <c r="K41" s="79"/>
      <c r="P41" s="89"/>
      <c r="Q41" s="90" t="s">
        <v>516</v>
      </c>
      <c r="R41" s="91" t="s">
        <v>517</v>
      </c>
      <c r="S41" s="90" t="s">
        <v>518</v>
      </c>
      <c r="T41" s="91" t="s">
        <v>519</v>
      </c>
      <c r="U41" s="90" t="s">
        <v>520</v>
      </c>
      <c r="V41" s="91" t="s">
        <v>521</v>
      </c>
      <c r="W41" s="92"/>
      <c r="X41" s="90" t="s">
        <v>522</v>
      </c>
      <c r="Y41" s="91" t="s">
        <v>523</v>
      </c>
    </row>
    <row r="42" spans="1:25" ht="14.1" customHeight="1" x14ac:dyDescent="0.2">
      <c r="A42" s="93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P42" s="95"/>
      <c r="Q42" s="96" t="s">
        <v>525</v>
      </c>
      <c r="R42" s="97" t="s">
        <v>525</v>
      </c>
      <c r="S42" s="96" t="s">
        <v>526</v>
      </c>
      <c r="T42" s="97" t="s">
        <v>526</v>
      </c>
      <c r="U42" s="96" t="s">
        <v>527</v>
      </c>
      <c r="V42" s="97" t="s">
        <v>527</v>
      </c>
      <c r="W42" s="98"/>
      <c r="X42" s="96" t="s">
        <v>528</v>
      </c>
      <c r="Y42" s="97" t="s">
        <v>529</v>
      </c>
    </row>
    <row r="43" spans="1:25" ht="14.1" customHeight="1" x14ac:dyDescent="0.2">
      <c r="B43" s="79"/>
      <c r="C43" s="79"/>
      <c r="D43" s="79"/>
      <c r="E43" s="79"/>
      <c r="F43" s="79"/>
      <c r="G43" s="79"/>
      <c r="H43" s="79"/>
      <c r="I43" s="79"/>
      <c r="J43" s="79"/>
      <c r="K43" s="79"/>
      <c r="P43" s="332" t="s">
        <v>547</v>
      </c>
      <c r="Q43" s="333">
        <f>D40</f>
        <v>-342814</v>
      </c>
      <c r="R43" s="335">
        <f>E40</f>
        <v>-57006</v>
      </c>
      <c r="S43" s="333"/>
      <c r="T43" s="335"/>
      <c r="U43" s="333"/>
      <c r="V43" s="335"/>
      <c r="W43" s="409"/>
      <c r="X43" s="333"/>
      <c r="Y43" s="335">
        <f>-Q43-R43</f>
        <v>399820</v>
      </c>
    </row>
    <row r="44" spans="1:25" ht="14.1" customHeight="1" x14ac:dyDescent="0.2">
      <c r="A44" s="76" t="s">
        <v>531</v>
      </c>
      <c r="B44" s="81">
        <f>B76-B13</f>
        <v>571542.5</v>
      </c>
      <c r="C44" s="81"/>
      <c r="D44" s="81">
        <f t="shared" ref="D44:F45" si="1">D76-D13</f>
        <v>189038</v>
      </c>
      <c r="E44" s="81">
        <f t="shared" si="1"/>
        <v>31435</v>
      </c>
      <c r="F44" s="81">
        <f t="shared" si="1"/>
        <v>220473</v>
      </c>
      <c r="G44" s="81"/>
      <c r="H44" s="81">
        <f>H76-H13</f>
        <v>358931</v>
      </c>
      <c r="I44" s="81"/>
      <c r="J44" s="81">
        <f>J76-J13</f>
        <v>138458</v>
      </c>
      <c r="K44" s="81"/>
      <c r="L44" s="81">
        <f t="shared" ref="L44:N45" si="2">L76-L13</f>
        <v>118717</v>
      </c>
      <c r="M44" s="81">
        <f t="shared" si="2"/>
        <v>19741</v>
      </c>
      <c r="N44" s="81">
        <f t="shared" si="2"/>
        <v>138458</v>
      </c>
      <c r="P44" s="128" t="s">
        <v>532</v>
      </c>
      <c r="Q44" s="333">
        <f>L40</f>
        <v>-215288</v>
      </c>
      <c r="R44" s="335">
        <f>M40</f>
        <v>-35800</v>
      </c>
      <c r="S44" s="333"/>
      <c r="T44" s="335"/>
      <c r="U44" s="333"/>
      <c r="V44" s="335"/>
      <c r="W44" s="409"/>
      <c r="X44" s="333"/>
      <c r="Y44" s="335">
        <f>-Q44-R44</f>
        <v>251088</v>
      </c>
    </row>
    <row r="45" spans="1:25" ht="14.1" customHeight="1" x14ac:dyDescent="0.2">
      <c r="A45" s="76" t="s">
        <v>533</v>
      </c>
      <c r="B45" s="81">
        <f>B77-B14</f>
        <v>-285861</v>
      </c>
      <c r="C45" s="81"/>
      <c r="D45" s="81">
        <f t="shared" si="1"/>
        <v>-94548</v>
      </c>
      <c r="E45" s="81">
        <f t="shared" si="1"/>
        <v>-15723</v>
      </c>
      <c r="F45" s="81">
        <f t="shared" si="1"/>
        <v>-110271</v>
      </c>
      <c r="G45" s="81"/>
      <c r="H45" s="81">
        <f>H77-H14</f>
        <v>-179521</v>
      </c>
      <c r="I45" s="81"/>
      <c r="J45" s="81">
        <f>J77-J14</f>
        <v>-69250</v>
      </c>
      <c r="K45" s="81"/>
      <c r="L45" s="81">
        <f t="shared" si="2"/>
        <v>-59376</v>
      </c>
      <c r="M45" s="81">
        <f t="shared" si="2"/>
        <v>-9874</v>
      </c>
      <c r="N45" s="81">
        <f t="shared" si="2"/>
        <v>-69250</v>
      </c>
      <c r="P45" s="305"/>
      <c r="Q45" s="330"/>
      <c r="R45" s="331"/>
      <c r="S45" s="330"/>
      <c r="T45" s="331"/>
      <c r="U45" s="330"/>
      <c r="V45" s="331"/>
      <c r="W45" s="317"/>
      <c r="X45" s="330"/>
      <c r="Y45" s="331"/>
    </row>
    <row r="46" spans="1:25" ht="14.1" customHeight="1" thickBot="1" x14ac:dyDescent="0.25">
      <c r="A46" s="109" t="s">
        <v>535</v>
      </c>
      <c r="B46" s="110">
        <f>B44+B45</f>
        <v>285681.5</v>
      </c>
      <c r="C46" s="79"/>
      <c r="D46" s="110">
        <f>D44+D45</f>
        <v>94490</v>
      </c>
      <c r="E46" s="110">
        <f>E44+E45</f>
        <v>15712</v>
      </c>
      <c r="F46" s="110">
        <f>F44+F45</f>
        <v>110202</v>
      </c>
      <c r="G46" s="79"/>
      <c r="H46" s="110">
        <f>H44+H45</f>
        <v>179410</v>
      </c>
      <c r="I46" s="79"/>
      <c r="J46" s="110">
        <f>J44+J45</f>
        <v>69208</v>
      </c>
      <c r="K46" s="79"/>
      <c r="L46" s="110">
        <f>L44+L45</f>
        <v>59341</v>
      </c>
      <c r="M46" s="110">
        <f>M44+M45</f>
        <v>9867</v>
      </c>
      <c r="N46" s="110">
        <f>N44+N45</f>
        <v>69208</v>
      </c>
      <c r="P46" s="318" t="s">
        <v>548</v>
      </c>
      <c r="Q46" s="319"/>
      <c r="R46" s="320"/>
      <c r="S46" s="319">
        <f>D46</f>
        <v>94490</v>
      </c>
      <c r="T46" s="320">
        <f>E46</f>
        <v>15712</v>
      </c>
      <c r="U46" s="319"/>
      <c r="V46" s="320"/>
      <c r="W46" s="143"/>
      <c r="X46" s="319">
        <f>-S46-T46</f>
        <v>-110202</v>
      </c>
      <c r="Y46" s="320"/>
    </row>
    <row r="47" spans="1:25" ht="14.1" customHeight="1" thickTop="1" x14ac:dyDescent="0.2">
      <c r="P47" s="135" t="s">
        <v>549</v>
      </c>
      <c r="Q47" s="319"/>
      <c r="R47" s="320"/>
      <c r="S47" s="319"/>
      <c r="T47" s="320"/>
      <c r="U47" s="319">
        <f>L46</f>
        <v>59341</v>
      </c>
      <c r="V47" s="320">
        <f>M46</f>
        <v>9867</v>
      </c>
      <c r="W47" s="143"/>
      <c r="X47" s="319">
        <f>-U47-V47</f>
        <v>-69208</v>
      </c>
      <c r="Y47" s="320"/>
    </row>
    <row r="48" spans="1:25" ht="14.1" customHeight="1" x14ac:dyDescent="0.2">
      <c r="A48" s="93"/>
      <c r="B48" s="94"/>
      <c r="C48" s="94"/>
      <c r="D48" s="111"/>
      <c r="E48" s="111"/>
      <c r="F48" s="111"/>
      <c r="G48" s="94"/>
      <c r="H48" s="111"/>
      <c r="I48" s="94"/>
      <c r="J48" s="111"/>
      <c r="K48" s="111"/>
      <c r="L48" s="111"/>
      <c r="M48" s="111"/>
      <c r="N48" s="111"/>
      <c r="P48" s="305"/>
      <c r="Q48" s="330"/>
      <c r="R48" s="331"/>
      <c r="S48" s="330"/>
      <c r="T48" s="331"/>
      <c r="U48" s="330"/>
      <c r="V48" s="331"/>
      <c r="W48" s="317"/>
      <c r="X48" s="330"/>
      <c r="Y48" s="331"/>
    </row>
    <row r="49" spans="1:31" ht="14.1" customHeight="1" x14ac:dyDescent="0.2">
      <c r="P49" s="332" t="s">
        <v>551</v>
      </c>
      <c r="Q49" s="333"/>
      <c r="R49" s="335"/>
      <c r="S49" s="333">
        <f>D52</f>
        <v>3246764</v>
      </c>
      <c r="T49" s="335">
        <f>E52</f>
        <v>539901</v>
      </c>
      <c r="U49" s="333"/>
      <c r="V49" s="335"/>
      <c r="W49" s="409"/>
      <c r="X49" s="333">
        <f>-S49-T49</f>
        <v>-3786665</v>
      </c>
      <c r="Y49" s="335"/>
    </row>
    <row r="50" spans="1:31" ht="14.1" customHeight="1" x14ac:dyDescent="0.2">
      <c r="A50" s="76" t="s">
        <v>538</v>
      </c>
      <c r="B50" s="81">
        <f>B82-B19</f>
        <v>38470333</v>
      </c>
      <c r="C50" s="81"/>
      <c r="D50" s="81">
        <f t="shared" ref="D50:F51" si="3">D82-D19</f>
        <v>12724063</v>
      </c>
      <c r="E50" s="81">
        <f t="shared" si="3"/>
        <v>2115869</v>
      </c>
      <c r="F50" s="81">
        <f t="shared" si="3"/>
        <v>14839932</v>
      </c>
      <c r="G50" s="81"/>
      <c r="H50" s="81">
        <f>H82-H19</f>
        <v>24159433</v>
      </c>
      <c r="I50" s="81"/>
      <c r="J50" s="81">
        <f>J82-J19</f>
        <v>9319501</v>
      </c>
      <c r="K50" s="81"/>
      <c r="L50" s="81">
        <f t="shared" ref="L50:N51" si="4">L82-L19</f>
        <v>7990732</v>
      </c>
      <c r="M50" s="81">
        <f t="shared" si="4"/>
        <v>1328769</v>
      </c>
      <c r="N50" s="81">
        <f t="shared" si="4"/>
        <v>9319501</v>
      </c>
      <c r="P50" s="128" t="s">
        <v>552</v>
      </c>
      <c r="Q50" s="333"/>
      <c r="R50" s="335"/>
      <c r="S50" s="333"/>
      <c r="T50" s="335"/>
      <c r="U50" s="333">
        <f>L52</f>
        <v>2038973</v>
      </c>
      <c r="V50" s="335">
        <f>M52</f>
        <v>339059</v>
      </c>
      <c r="W50" s="409"/>
      <c r="X50" s="333">
        <f>-U50-V50</f>
        <v>-2378032</v>
      </c>
      <c r="Y50" s="335"/>
    </row>
    <row r="51" spans="1:31" ht="14.1" customHeight="1" x14ac:dyDescent="0.2">
      <c r="A51" s="76" t="s">
        <v>540</v>
      </c>
      <c r="B51" s="81">
        <f>B83-B20</f>
        <v>-28653965</v>
      </c>
      <c r="C51" s="81"/>
      <c r="D51" s="81">
        <f t="shared" si="3"/>
        <v>-9477299</v>
      </c>
      <c r="E51" s="81">
        <f t="shared" si="3"/>
        <v>-1575968</v>
      </c>
      <c r="F51" s="81">
        <f t="shared" si="3"/>
        <v>-11053267</v>
      </c>
      <c r="G51" s="81"/>
      <c r="H51" s="81">
        <f>H83-H20</f>
        <v>-17994737</v>
      </c>
      <c r="I51" s="81"/>
      <c r="J51" s="81">
        <f>J83-J20</f>
        <v>-6941470</v>
      </c>
      <c r="K51" s="81"/>
      <c r="L51" s="81">
        <f t="shared" si="4"/>
        <v>-5951759</v>
      </c>
      <c r="M51" s="81">
        <f t="shared" si="4"/>
        <v>-989710</v>
      </c>
      <c r="N51" s="81">
        <f t="shared" si="4"/>
        <v>-6941469</v>
      </c>
      <c r="P51" s="305"/>
      <c r="Q51" s="330"/>
      <c r="R51" s="331"/>
      <c r="S51" s="330"/>
      <c r="T51" s="331"/>
      <c r="U51" s="330"/>
      <c r="V51" s="331"/>
      <c r="W51" s="317"/>
      <c r="X51" s="330"/>
      <c r="Y51" s="331"/>
    </row>
    <row r="52" spans="1:31" ht="14.1" customHeight="1" thickBot="1" x14ac:dyDescent="0.25">
      <c r="A52" s="109" t="s">
        <v>541</v>
      </c>
      <c r="B52" s="110">
        <f>B50+B51</f>
        <v>9816368</v>
      </c>
      <c r="C52" s="79"/>
      <c r="D52" s="110">
        <f>D50+D51</f>
        <v>3246764</v>
      </c>
      <c r="E52" s="110">
        <f>E50+E51</f>
        <v>539901</v>
      </c>
      <c r="F52" s="110">
        <f>F50+F51</f>
        <v>3786665</v>
      </c>
      <c r="G52" s="79"/>
      <c r="H52" s="110">
        <f>H50+H51</f>
        <v>6164696</v>
      </c>
      <c r="I52" s="79"/>
      <c r="J52" s="110">
        <f>J50+J51</f>
        <v>2378031</v>
      </c>
      <c r="K52" s="79"/>
      <c r="L52" s="110">
        <f>L50+L51</f>
        <v>2038973</v>
      </c>
      <c r="M52" s="110">
        <f>M50+M51</f>
        <v>339059</v>
      </c>
      <c r="N52" s="110">
        <f>N50+N51</f>
        <v>2378032</v>
      </c>
      <c r="P52" s="318" t="s">
        <v>542</v>
      </c>
      <c r="Q52" s="319"/>
      <c r="R52" s="320"/>
      <c r="S52" s="319">
        <f>D56</f>
        <v>-54043</v>
      </c>
      <c r="T52" s="320">
        <f>E56</f>
        <v>-42744</v>
      </c>
      <c r="U52" s="319"/>
      <c r="V52" s="320"/>
      <c r="W52" s="143"/>
      <c r="X52" s="319"/>
      <c r="Y52" s="320">
        <f>-S52-T52</f>
        <v>96787</v>
      </c>
    </row>
    <row r="53" spans="1:31" ht="14.1" customHeight="1" thickTop="1" x14ac:dyDescent="0.2">
      <c r="P53" s="325" t="s">
        <v>543</v>
      </c>
      <c r="Q53" s="319">
        <f>L56</f>
        <v>-52116</v>
      </c>
      <c r="R53" s="320">
        <f>M56</f>
        <v>-8666</v>
      </c>
      <c r="S53" s="319"/>
      <c r="T53" s="320"/>
      <c r="U53" s="319"/>
      <c r="V53" s="320"/>
      <c r="W53" s="143"/>
      <c r="X53" s="319"/>
      <c r="Y53" s="320">
        <f>-Q53-R53</f>
        <v>60782</v>
      </c>
    </row>
    <row r="54" spans="1:31" ht="14.1" customHeight="1" thickBot="1" x14ac:dyDescent="0.25">
      <c r="A54" s="93"/>
      <c r="B54" s="94"/>
      <c r="C54" s="94"/>
      <c r="D54" s="111"/>
      <c r="E54" s="111"/>
      <c r="F54" s="111"/>
      <c r="G54" s="94"/>
      <c r="H54" s="111"/>
      <c r="I54" s="94"/>
      <c r="J54" s="111"/>
      <c r="K54" s="111"/>
      <c r="L54" s="111"/>
      <c r="M54" s="111"/>
      <c r="N54" s="111"/>
      <c r="O54" s="112"/>
      <c r="P54" s="89"/>
      <c r="Q54" s="341">
        <f t="shared" ref="Q54:V54" si="5">SUM(Q43:Q53)</f>
        <v>-610218</v>
      </c>
      <c r="R54" s="342">
        <f t="shared" si="5"/>
        <v>-101472</v>
      </c>
      <c r="S54" s="341">
        <f t="shared" si="5"/>
        <v>3287211</v>
      </c>
      <c r="T54" s="342">
        <f t="shared" si="5"/>
        <v>512869</v>
      </c>
      <c r="U54" s="341">
        <f t="shared" si="5"/>
        <v>2098314</v>
      </c>
      <c r="V54" s="342">
        <f t="shared" si="5"/>
        <v>348926</v>
      </c>
      <c r="W54" s="317"/>
      <c r="X54" s="341">
        <f>SUM(X43:X53)</f>
        <v>-6344107</v>
      </c>
      <c r="Y54" s="342">
        <f>SUM(Y43:Y53)</f>
        <v>808477</v>
      </c>
    </row>
    <row r="55" spans="1:31" ht="14.1" customHeight="1" thickTop="1" x14ac:dyDescent="0.2">
      <c r="P55" s="89"/>
      <c r="Q55" s="330"/>
      <c r="R55" s="331"/>
      <c r="S55" s="330"/>
      <c r="T55" s="331"/>
      <c r="U55" s="330"/>
      <c r="V55" s="331"/>
      <c r="W55" s="317"/>
      <c r="X55" s="330"/>
      <c r="Y55" s="331"/>
    </row>
    <row r="56" spans="1:31" ht="14.1" customHeight="1" thickBot="1" x14ac:dyDescent="0.25">
      <c r="A56" s="76" t="s">
        <v>542</v>
      </c>
      <c r="B56" s="79"/>
      <c r="C56" s="79"/>
      <c r="D56" s="81">
        <f>D91-D25</f>
        <v>-54043</v>
      </c>
      <c r="E56" s="81">
        <f>E91-E25</f>
        <v>-42744</v>
      </c>
      <c r="F56" s="81">
        <f>F91-F25</f>
        <v>-96787</v>
      </c>
      <c r="G56" s="79"/>
      <c r="H56" s="81">
        <f>H91-H25</f>
        <v>-157569</v>
      </c>
      <c r="I56" s="79"/>
      <c r="J56" s="81">
        <f>J91-J25</f>
        <v>-60782</v>
      </c>
      <c r="K56" s="79"/>
      <c r="L56" s="81">
        <f>L91-L25</f>
        <v>-52116</v>
      </c>
      <c r="M56" s="81">
        <f>M91-M25</f>
        <v>-8666</v>
      </c>
      <c r="N56" s="81">
        <f>N91-N25</f>
        <v>-60782</v>
      </c>
      <c r="P56" s="89"/>
      <c r="Q56" s="330"/>
      <c r="R56" s="331"/>
      <c r="S56" s="330"/>
      <c r="T56" s="331"/>
      <c r="U56" s="330"/>
      <c r="V56" s="331"/>
      <c r="W56" s="317"/>
      <c r="X56" s="330"/>
      <c r="Y56" s="343">
        <f>X54+Y54</f>
        <v>-5535630</v>
      </c>
    </row>
    <row r="57" spans="1:31" ht="14.1" customHeight="1" thickTop="1" x14ac:dyDescent="0.2">
      <c r="B57" s="79"/>
      <c r="C57" s="79"/>
      <c r="D57" s="79"/>
      <c r="E57" s="79"/>
      <c r="F57" s="79"/>
      <c r="G57" s="79"/>
      <c r="H57" s="79"/>
      <c r="I57" s="79"/>
      <c r="J57" s="79"/>
      <c r="K57" s="79"/>
      <c r="P57" s="89"/>
      <c r="Q57" s="104"/>
      <c r="R57" s="105"/>
      <c r="S57" s="104"/>
      <c r="T57" s="105"/>
      <c r="U57" s="104"/>
      <c r="V57" s="105"/>
      <c r="W57" s="79"/>
      <c r="X57" s="104"/>
      <c r="Y57" s="105"/>
    </row>
    <row r="58" spans="1:31" ht="14.1" customHeight="1" thickBot="1" x14ac:dyDescent="0.25">
      <c r="A58" s="92" t="s">
        <v>372</v>
      </c>
      <c r="B58" s="116"/>
      <c r="C58" s="116"/>
      <c r="D58" s="117">
        <f>D40+D52+D56+D46</f>
        <v>2944397</v>
      </c>
      <c r="E58" s="117">
        <f>E40+E52+E56+E46</f>
        <v>455863</v>
      </c>
      <c r="F58" s="117">
        <f>F40+F52+F56+F46</f>
        <v>3400260</v>
      </c>
      <c r="G58" s="116"/>
      <c r="H58" s="117">
        <f>H40+H52+H56+H46</f>
        <v>5535630</v>
      </c>
      <c r="I58" s="116"/>
      <c r="J58" s="117">
        <f>J40+J52+J56+J46</f>
        <v>2135370</v>
      </c>
      <c r="K58" s="79"/>
      <c r="L58" s="117">
        <f>L40+L52+L56+L46</f>
        <v>1830910</v>
      </c>
      <c r="M58" s="117">
        <f>M40+M52+M56+M46</f>
        <v>304460</v>
      </c>
      <c r="N58" s="117">
        <f>N40+N52+N56+N46</f>
        <v>2135370</v>
      </c>
      <c r="P58" s="118"/>
      <c r="Q58" s="119"/>
      <c r="R58" s="120"/>
      <c r="S58" s="119"/>
      <c r="T58" s="120"/>
      <c r="U58" s="119"/>
      <c r="V58" s="120"/>
      <c r="X58" s="119"/>
      <c r="Y58" s="120"/>
    </row>
    <row r="59" spans="1:31" ht="14.1" customHeight="1" thickTop="1" x14ac:dyDescent="0.2"/>
    <row r="60" spans="1:31" ht="14.1" customHeight="1" x14ac:dyDescent="0.2">
      <c r="Y60" s="79"/>
    </row>
    <row r="61" spans="1:31" ht="14.1" customHeight="1" x14ac:dyDescent="0.2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</row>
    <row r="62" spans="1:31" ht="14.1" customHeight="1" x14ac:dyDescent="0.2">
      <c r="D62" s="79"/>
      <c r="E62" s="79"/>
      <c r="F62" s="79"/>
      <c r="H62" s="79"/>
      <c r="J62" s="79"/>
      <c r="L62" s="79"/>
      <c r="M62" s="79"/>
      <c r="N62" s="79"/>
      <c r="Y62" s="79"/>
    </row>
    <row r="63" spans="1:31" ht="14.1" customHeight="1" x14ac:dyDescent="0.2">
      <c r="Y63" s="79"/>
    </row>
    <row r="64" spans="1:31" ht="14.1" customHeight="1" x14ac:dyDescent="0.2">
      <c r="A64" s="75" t="s">
        <v>563</v>
      </c>
    </row>
    <row r="65" spans="1:31" ht="14.1" customHeight="1" x14ac:dyDescent="0.2">
      <c r="A65" s="75" t="s">
        <v>502</v>
      </c>
    </row>
    <row r="66" spans="1:31" ht="14.1" customHeight="1" x14ac:dyDescent="0.2">
      <c r="A66" s="77" t="s">
        <v>544</v>
      </c>
    </row>
    <row r="67" spans="1:31" ht="14.1" customHeight="1" x14ac:dyDescent="0.2">
      <c r="P67" s="75" t="s">
        <v>511</v>
      </c>
    </row>
    <row r="68" spans="1:31" ht="14.1" customHeight="1" x14ac:dyDescent="0.2">
      <c r="A68" s="453" t="s">
        <v>561</v>
      </c>
      <c r="B68" s="453"/>
      <c r="C68" s="453"/>
      <c r="D68" s="453"/>
      <c r="E68" s="453"/>
      <c r="F68" s="453"/>
      <c r="G68" s="453"/>
      <c r="H68" s="453"/>
      <c r="I68" s="453"/>
      <c r="J68" s="453"/>
      <c r="K68" s="453"/>
      <c r="L68" s="453"/>
      <c r="M68" s="453"/>
      <c r="N68" s="453"/>
      <c r="P68" s="82"/>
      <c r="Q68" s="83" t="s">
        <v>467</v>
      </c>
      <c r="R68" s="84" t="s">
        <v>465</v>
      </c>
      <c r="S68" s="83" t="s">
        <v>467</v>
      </c>
      <c r="T68" s="84" t="s">
        <v>465</v>
      </c>
      <c r="U68" s="83" t="s">
        <v>467</v>
      </c>
      <c r="V68" s="84" t="s">
        <v>465</v>
      </c>
      <c r="W68" s="85"/>
      <c r="X68" s="86" t="s">
        <v>514</v>
      </c>
      <c r="Y68" s="87" t="s">
        <v>514</v>
      </c>
      <c r="AC68" s="80" t="s">
        <v>512</v>
      </c>
    </row>
    <row r="69" spans="1:31" ht="14.1" customHeight="1" x14ac:dyDescent="0.2">
      <c r="P69" s="89"/>
      <c r="Q69" s="90" t="s">
        <v>516</v>
      </c>
      <c r="R69" s="91" t="s">
        <v>517</v>
      </c>
      <c r="S69" s="90" t="s">
        <v>518</v>
      </c>
      <c r="T69" s="91" t="s">
        <v>519</v>
      </c>
      <c r="U69" s="90" t="s">
        <v>520</v>
      </c>
      <c r="V69" s="91" t="s">
        <v>521</v>
      </c>
      <c r="W69" s="92"/>
      <c r="X69" s="90" t="s">
        <v>522</v>
      </c>
      <c r="Y69" s="91" t="s">
        <v>523</v>
      </c>
      <c r="AC69" s="76" t="s">
        <v>515</v>
      </c>
      <c r="AD69" s="88">
        <v>0.35</v>
      </c>
    </row>
    <row r="70" spans="1:31" ht="14.1" customHeight="1" x14ac:dyDescent="0.2">
      <c r="A70" s="78" t="s">
        <v>505</v>
      </c>
      <c r="B70" s="78" t="s">
        <v>506</v>
      </c>
      <c r="C70" s="78"/>
      <c r="D70" s="78" t="s">
        <v>467</v>
      </c>
      <c r="E70" s="78" t="s">
        <v>465</v>
      </c>
      <c r="F70" s="78" t="s">
        <v>507</v>
      </c>
      <c r="G70" s="78"/>
      <c r="H70" s="78" t="s">
        <v>508</v>
      </c>
      <c r="I70" s="78"/>
      <c r="J70" s="78" t="s">
        <v>509</v>
      </c>
      <c r="L70" s="78" t="s">
        <v>467</v>
      </c>
      <c r="M70" s="78" t="s">
        <v>465</v>
      </c>
      <c r="N70" s="78" t="s">
        <v>510</v>
      </c>
      <c r="P70" s="95"/>
      <c r="Q70" s="96" t="s">
        <v>525</v>
      </c>
      <c r="R70" s="97" t="s">
        <v>525</v>
      </c>
      <c r="S70" s="96" t="s">
        <v>526</v>
      </c>
      <c r="T70" s="97" t="s">
        <v>526</v>
      </c>
      <c r="U70" s="96" t="s">
        <v>527</v>
      </c>
      <c r="V70" s="97" t="s">
        <v>527</v>
      </c>
      <c r="W70" s="95"/>
      <c r="X70" s="96" t="s">
        <v>528</v>
      </c>
      <c r="Y70" s="97" t="s">
        <v>529</v>
      </c>
      <c r="AC70" s="76" t="s">
        <v>524</v>
      </c>
      <c r="AD70" s="76">
        <v>5.5E-2</v>
      </c>
    </row>
    <row r="71" spans="1:31" ht="14.1" customHeight="1" x14ac:dyDescent="0.2">
      <c r="P71" s="100"/>
      <c r="Q71" s="122"/>
      <c r="R71" s="122"/>
      <c r="S71" s="102"/>
      <c r="T71" s="122"/>
      <c r="U71" s="102"/>
      <c r="V71" s="101"/>
      <c r="W71" s="122"/>
      <c r="X71" s="102"/>
      <c r="Y71" s="101"/>
      <c r="AC71" s="76" t="s">
        <v>466</v>
      </c>
      <c r="AD71" s="99">
        <f>AD70*-AD69</f>
        <v>-1.925E-2</v>
      </c>
    </row>
    <row r="72" spans="1:31" ht="14.1" customHeight="1" x14ac:dyDescent="0.2">
      <c r="A72" s="76" t="s">
        <v>513</v>
      </c>
      <c r="B72" s="81">
        <v>119000396.29119998</v>
      </c>
      <c r="C72" s="79"/>
      <c r="D72" s="79">
        <f>ROUND(B72*AD74,0)</f>
        <v>39359381</v>
      </c>
      <c r="E72" s="79">
        <f>ROUND(B72*AD70,0)</f>
        <v>6545022</v>
      </c>
      <c r="F72" s="79">
        <f>D72+E72</f>
        <v>45904403</v>
      </c>
      <c r="G72" s="79"/>
      <c r="H72" s="79">
        <f>ROUND(F72/AD76,0)</f>
        <v>74732443</v>
      </c>
      <c r="I72" s="79"/>
      <c r="J72" s="79">
        <f>H72-F72</f>
        <v>28828040</v>
      </c>
      <c r="K72" s="79"/>
      <c r="L72" s="79">
        <f>ROUND(F72*(AD74/AD76),0)</f>
        <v>24717755</v>
      </c>
      <c r="M72" s="79">
        <f>ROUND(F72*(AD70/AD76),0)</f>
        <v>4110284</v>
      </c>
      <c r="N72" s="79">
        <f>L72+M72</f>
        <v>28828039</v>
      </c>
      <c r="P72" s="123" t="s">
        <v>547</v>
      </c>
      <c r="Q72" s="124">
        <f>D72</f>
        <v>39359381</v>
      </c>
      <c r="R72" s="125">
        <f>E72</f>
        <v>6545022</v>
      </c>
      <c r="S72" s="124"/>
      <c r="T72" s="125"/>
      <c r="U72" s="124"/>
      <c r="V72" s="126"/>
      <c r="W72" s="127"/>
      <c r="X72" s="124">
        <f>IF(AA72&lt;0,-AA72,0)</f>
        <v>0</v>
      </c>
      <c r="Y72" s="125">
        <f>IF(AA72&gt;0,-AA72,0)</f>
        <v>-45904403</v>
      </c>
      <c r="AA72" s="79">
        <f>SUM(Q72:V72)</f>
        <v>45904403</v>
      </c>
      <c r="AC72" s="76" t="s">
        <v>530</v>
      </c>
      <c r="AD72" s="103">
        <f>SUM(AD69:AD71)</f>
        <v>0.38574999999999998</v>
      </c>
    </row>
    <row r="73" spans="1:31" ht="14.1" customHeight="1" x14ac:dyDescent="0.2">
      <c r="B73" s="79"/>
      <c r="C73" s="79"/>
      <c r="D73" s="79"/>
      <c r="E73" s="79"/>
      <c r="F73" s="79"/>
      <c r="G73" s="79"/>
      <c r="H73" s="79"/>
      <c r="I73" s="79"/>
      <c r="J73" s="79"/>
      <c r="K73" s="79"/>
      <c r="P73" s="128" t="s">
        <v>532</v>
      </c>
      <c r="Q73" s="124">
        <f>L72</f>
        <v>24717755</v>
      </c>
      <c r="R73" s="125">
        <f>M72</f>
        <v>4110284</v>
      </c>
      <c r="S73" s="124"/>
      <c r="T73" s="125"/>
      <c r="U73" s="124"/>
      <c r="V73" s="126"/>
      <c r="W73" s="127"/>
      <c r="X73" s="124">
        <f>IF(AA73&lt;0,-AA73,0)</f>
        <v>0</v>
      </c>
      <c r="Y73" s="125">
        <f>IF(AA73&gt;0,-AA73,0)</f>
        <v>-28828039</v>
      </c>
      <c r="AA73" s="79">
        <f>SUM(Q73:V73)</f>
        <v>28828039</v>
      </c>
    </row>
    <row r="74" spans="1:31" ht="14.1" customHeight="1" x14ac:dyDescent="0.2">
      <c r="A74" s="93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P74" s="89"/>
      <c r="Q74" s="107"/>
      <c r="R74" s="106"/>
      <c r="S74" s="107"/>
      <c r="T74" s="106"/>
      <c r="U74" s="107"/>
      <c r="V74" s="106"/>
      <c r="W74" s="122"/>
      <c r="X74" s="107"/>
      <c r="Y74" s="106"/>
      <c r="AC74" s="76" t="s">
        <v>534</v>
      </c>
      <c r="AD74" s="108">
        <f>AD69+AD71</f>
        <v>0.33074999999999999</v>
      </c>
    </row>
    <row r="75" spans="1:31" ht="14.1" customHeight="1" x14ac:dyDescent="0.2">
      <c r="B75" s="79"/>
      <c r="C75" s="79"/>
      <c r="D75" s="79"/>
      <c r="E75" s="79"/>
      <c r="F75" s="79"/>
      <c r="G75" s="79"/>
      <c r="H75" s="79"/>
      <c r="I75" s="79"/>
      <c r="J75" s="79"/>
      <c r="K75" s="79"/>
      <c r="P75" s="89"/>
      <c r="Q75" s="107"/>
      <c r="R75" s="106"/>
      <c r="S75" s="107"/>
      <c r="T75" s="106"/>
      <c r="U75" s="107"/>
      <c r="V75" s="106"/>
      <c r="W75" s="122"/>
      <c r="X75" s="107"/>
      <c r="Y75" s="106"/>
    </row>
    <row r="76" spans="1:31" ht="14.1" customHeight="1" x14ac:dyDescent="0.2">
      <c r="A76" s="76" t="s">
        <v>531</v>
      </c>
      <c r="B76" s="81">
        <v>-62122334.399999999</v>
      </c>
      <c r="C76" s="81"/>
      <c r="D76" s="81">
        <f>ROUND(B76*AD74,0)</f>
        <v>-20546962</v>
      </c>
      <c r="E76" s="81">
        <f>ROUND(B76*AD70,0)</f>
        <v>-3416728</v>
      </c>
      <c r="F76" s="81">
        <f>D76+E76</f>
        <v>-23963690</v>
      </c>
      <c r="G76" s="81"/>
      <c r="H76" s="81">
        <f>ROUND(F76/AD76,0)</f>
        <v>-39012926</v>
      </c>
      <c r="I76" s="81"/>
      <c r="J76" s="81">
        <f>H76-F76</f>
        <v>-15049236</v>
      </c>
      <c r="K76" s="81"/>
      <c r="L76" s="81">
        <f>ROUND(F76*(AD74/AD76),0)</f>
        <v>-12903525</v>
      </c>
      <c r="M76" s="81">
        <f>ROUND(F76*(AD70/AD76),0)</f>
        <v>-2145711</v>
      </c>
      <c r="N76" s="81">
        <f>L76+M76</f>
        <v>-15049236</v>
      </c>
      <c r="P76" s="129" t="s">
        <v>548</v>
      </c>
      <c r="Q76" s="130"/>
      <c r="R76" s="131"/>
      <c r="S76" s="132">
        <f>D78</f>
        <v>-19242445</v>
      </c>
      <c r="T76" s="133">
        <f>E78</f>
        <v>-3199802</v>
      </c>
      <c r="U76" s="130"/>
      <c r="V76" s="131"/>
      <c r="W76" s="134"/>
      <c r="X76" s="132">
        <f>IF(AA76&lt;0,-AA76,0)</f>
        <v>22442247</v>
      </c>
      <c r="Y76" s="133">
        <f>IF(AA76&gt;0,-AA76,0)</f>
        <v>0</v>
      </c>
      <c r="AA76" s="79">
        <f>SUM(Q76:V76)</f>
        <v>-22442247</v>
      </c>
      <c r="AC76" s="76" t="s">
        <v>536</v>
      </c>
      <c r="AD76" s="108">
        <f>1-AD72</f>
        <v>0.61424999999999996</v>
      </c>
      <c r="AE76" s="76" t="s">
        <v>537</v>
      </c>
    </row>
    <row r="77" spans="1:31" ht="14.1" customHeight="1" x14ac:dyDescent="0.2">
      <c r="A77" s="76" t="s">
        <v>533</v>
      </c>
      <c r="B77" s="81">
        <v>3944117.25</v>
      </c>
      <c r="C77" s="81"/>
      <c r="D77" s="81">
        <f>ROUND(B77*AD74,0)</f>
        <v>1304517</v>
      </c>
      <c r="E77" s="81">
        <f>ROUND(B77*AD70,0)</f>
        <v>216926</v>
      </c>
      <c r="F77" s="81">
        <f>D77+E77</f>
        <v>1521443</v>
      </c>
      <c r="G77" s="81"/>
      <c r="H77" s="81">
        <f>ROUND(F77/AD76,0)</f>
        <v>2476912</v>
      </c>
      <c r="I77" s="81"/>
      <c r="J77" s="81">
        <f>H77-F77</f>
        <v>955469</v>
      </c>
      <c r="K77" s="81"/>
      <c r="L77" s="81">
        <f>ROUND(F77*(AD74/AD76),0)</f>
        <v>819239</v>
      </c>
      <c r="M77" s="81">
        <f>ROUND(F77*(AD70/AD76),0)</f>
        <v>136230</v>
      </c>
      <c r="N77" s="81">
        <f>L77+M77</f>
        <v>955469</v>
      </c>
      <c r="P77" s="135" t="s">
        <v>549</v>
      </c>
      <c r="Q77" s="130"/>
      <c r="R77" s="131"/>
      <c r="S77" s="130"/>
      <c r="T77" s="131"/>
      <c r="U77" s="132">
        <f>L78</f>
        <v>-12084286</v>
      </c>
      <c r="V77" s="133">
        <f>M78</f>
        <v>-2009481</v>
      </c>
      <c r="W77" s="134"/>
      <c r="X77" s="132">
        <f>IF(AA77&lt;0,-AA77,0)</f>
        <v>14093767</v>
      </c>
      <c r="Y77" s="133">
        <f>IF(AA77&gt;0,-AA77,0)</f>
        <v>0</v>
      </c>
      <c r="AA77" s="79">
        <f>SUM(Q77:V77)</f>
        <v>-14093767</v>
      </c>
    </row>
    <row r="78" spans="1:31" ht="14.1" customHeight="1" thickBot="1" x14ac:dyDescent="0.25">
      <c r="A78" s="109" t="s">
        <v>535</v>
      </c>
      <c r="B78" s="110">
        <f>B76+B77</f>
        <v>-58178217.149999999</v>
      </c>
      <c r="C78" s="79"/>
      <c r="D78" s="110">
        <f>D76+D77</f>
        <v>-19242445</v>
      </c>
      <c r="E78" s="110">
        <f>E76+E77</f>
        <v>-3199802</v>
      </c>
      <c r="F78" s="110">
        <f>F76+F77</f>
        <v>-22442247</v>
      </c>
      <c r="G78" s="79"/>
      <c r="H78" s="110">
        <f>H76+H77</f>
        <v>-36536014</v>
      </c>
      <c r="I78" s="79"/>
      <c r="J78" s="110">
        <f>J76+J77</f>
        <v>-14093767</v>
      </c>
      <c r="K78" s="79"/>
      <c r="L78" s="110">
        <f>L76+L77</f>
        <v>-12084286</v>
      </c>
      <c r="M78" s="110">
        <f>M76+M77</f>
        <v>-2009481</v>
      </c>
      <c r="N78" s="110">
        <f>N76+N77</f>
        <v>-14093767</v>
      </c>
      <c r="P78" s="89"/>
      <c r="Q78" s="107"/>
      <c r="R78" s="106"/>
      <c r="S78" s="107"/>
      <c r="T78" s="106"/>
      <c r="U78" s="107"/>
      <c r="V78" s="106"/>
      <c r="W78" s="122"/>
      <c r="X78" s="107"/>
      <c r="Y78" s="106"/>
    </row>
    <row r="79" spans="1:31" ht="14.1" customHeight="1" thickTop="1" x14ac:dyDescent="0.2">
      <c r="P79" s="89"/>
      <c r="Q79" s="107"/>
      <c r="R79" s="106"/>
      <c r="S79" s="107"/>
      <c r="T79" s="106"/>
      <c r="U79" s="107"/>
      <c r="V79" s="106"/>
      <c r="W79" s="122"/>
      <c r="X79" s="107"/>
      <c r="Y79" s="106"/>
      <c r="AC79" s="76" t="s">
        <v>550</v>
      </c>
    </row>
    <row r="80" spans="1:31" ht="14.1" customHeight="1" x14ac:dyDescent="0.2">
      <c r="A80" s="93"/>
      <c r="B80" s="94"/>
      <c r="C80" s="94"/>
      <c r="D80" s="111"/>
      <c r="E80" s="111"/>
      <c r="F80" s="111"/>
      <c r="G80" s="94"/>
      <c r="H80" s="111"/>
      <c r="I80" s="94"/>
      <c r="J80" s="111"/>
      <c r="K80" s="111"/>
      <c r="L80" s="111"/>
      <c r="M80" s="111"/>
      <c r="N80" s="111"/>
      <c r="P80" s="89"/>
      <c r="Q80" s="107"/>
      <c r="R80" s="106"/>
      <c r="S80" s="107"/>
      <c r="T80" s="106"/>
      <c r="U80" s="107"/>
      <c r="V80" s="106"/>
      <c r="W80" s="122"/>
      <c r="X80" s="107"/>
      <c r="Y80" s="106"/>
    </row>
    <row r="81" spans="1:30" ht="14.1" customHeight="1" x14ac:dyDescent="0.2">
      <c r="P81" s="89"/>
      <c r="Q81" s="107"/>
      <c r="R81" s="106"/>
      <c r="S81" s="107"/>
      <c r="T81" s="106"/>
      <c r="U81" s="107"/>
      <c r="V81" s="106"/>
      <c r="W81" s="122"/>
      <c r="X81" s="107"/>
      <c r="Y81" s="106"/>
      <c r="AD81" s="79"/>
    </row>
    <row r="82" spans="1:30" ht="14.1" customHeight="1" x14ac:dyDescent="0.2">
      <c r="A82" s="76" t="s">
        <v>538</v>
      </c>
      <c r="B82" s="81">
        <v>-439706190.34000003</v>
      </c>
      <c r="C82" s="81"/>
      <c r="D82" s="81">
        <f>ROUND(B82*AD74,0)</f>
        <v>-145432822</v>
      </c>
      <c r="E82" s="81">
        <f>ROUND(B82*AD70,0)</f>
        <v>-24183840</v>
      </c>
      <c r="F82" s="81">
        <f>D82+E82</f>
        <v>-169616662</v>
      </c>
      <c r="G82" s="81"/>
      <c r="H82" s="81">
        <f>ROUND(F82/AD76,0)</f>
        <v>-276136202</v>
      </c>
      <c r="I82" s="81"/>
      <c r="J82" s="81">
        <f>H82-F82</f>
        <v>-106519540</v>
      </c>
      <c r="K82" s="81"/>
      <c r="L82" s="81">
        <f>ROUND(F82*(AD74/AD76),0)</f>
        <v>-91332049</v>
      </c>
      <c r="M82" s="81">
        <f>ROUND(F82*(AD70/AD76),0)</f>
        <v>-15187491</v>
      </c>
      <c r="N82" s="81">
        <f>L82+M82</f>
        <v>-106519540</v>
      </c>
      <c r="P82" s="123" t="s">
        <v>551</v>
      </c>
      <c r="Q82" s="124"/>
      <c r="R82" s="126"/>
      <c r="S82" s="124">
        <f>D84</f>
        <v>-176805682</v>
      </c>
      <c r="T82" s="125">
        <f>E84</f>
        <v>-29400793</v>
      </c>
      <c r="U82" s="124"/>
      <c r="V82" s="126"/>
      <c r="W82" s="127"/>
      <c r="X82" s="124">
        <f>IF(AA82&lt;0,-AA82,0)</f>
        <v>206206475</v>
      </c>
      <c r="Y82" s="125">
        <f>IF(AA82&gt;0,-AA82,0)</f>
        <v>0</v>
      </c>
      <c r="AA82" s="79">
        <f>SUM(Q82:V82)</f>
        <v>-206206475</v>
      </c>
      <c r="AD82" s="79"/>
    </row>
    <row r="83" spans="1:30" ht="14.1" customHeight="1" x14ac:dyDescent="0.2">
      <c r="A83" s="76" t="s">
        <v>540</v>
      </c>
      <c r="B83" s="81">
        <v>-94853697.370000005</v>
      </c>
      <c r="C83" s="81"/>
      <c r="D83" s="81">
        <f>ROUND(B83*AD74,0)</f>
        <v>-31372860</v>
      </c>
      <c r="E83" s="81">
        <f>ROUND(B83*AD70,0)</f>
        <v>-5216953</v>
      </c>
      <c r="F83" s="81">
        <f>D83+E83</f>
        <v>-36589813</v>
      </c>
      <c r="G83" s="81"/>
      <c r="H83" s="81">
        <f>ROUND(F83/AD76,0)</f>
        <v>-59568275</v>
      </c>
      <c r="I83" s="81"/>
      <c r="J83" s="81">
        <f>H83-F83</f>
        <v>-22978462</v>
      </c>
      <c r="K83" s="81"/>
      <c r="L83" s="81">
        <f>ROUND(F83*(AD74/AD76),0)</f>
        <v>-19702207</v>
      </c>
      <c r="M83" s="81">
        <f>ROUND(F83*(AD70/AD76),0)</f>
        <v>-3276255</v>
      </c>
      <c r="N83" s="81">
        <f>L83+M83</f>
        <v>-22978462</v>
      </c>
      <c r="P83" s="128" t="s">
        <v>552</v>
      </c>
      <c r="Q83" s="136"/>
      <c r="R83" s="126"/>
      <c r="S83" s="136"/>
      <c r="T83" s="126"/>
      <c r="U83" s="124">
        <f>L84</f>
        <v>-111034256</v>
      </c>
      <c r="V83" s="125">
        <f>M84</f>
        <v>-18463746</v>
      </c>
      <c r="W83" s="127"/>
      <c r="X83" s="124">
        <f>IF(AA83&lt;0,-AA83,0)</f>
        <v>129498002</v>
      </c>
      <c r="Y83" s="125">
        <f>IF(AA83&gt;0,-AA83,0)</f>
        <v>0</v>
      </c>
      <c r="AA83" s="79">
        <f>SUM(Q83:V83)</f>
        <v>-129498002</v>
      </c>
      <c r="AD83" s="79"/>
    </row>
    <row r="84" spans="1:30" ht="14.1" customHeight="1" thickBot="1" x14ac:dyDescent="0.25">
      <c r="A84" s="109" t="s">
        <v>541</v>
      </c>
      <c r="B84" s="110">
        <f>B82+B83</f>
        <v>-534559887.71000004</v>
      </c>
      <c r="C84" s="79"/>
      <c r="D84" s="110">
        <f>D82+D83</f>
        <v>-176805682</v>
      </c>
      <c r="E84" s="110">
        <f>E82+E83</f>
        <v>-29400793</v>
      </c>
      <c r="F84" s="110">
        <f>F82+F83</f>
        <v>-206206475</v>
      </c>
      <c r="G84" s="79"/>
      <c r="H84" s="110">
        <f>H82+H83</f>
        <v>-335704477</v>
      </c>
      <c r="I84" s="79"/>
      <c r="J84" s="110">
        <f>J82+J83</f>
        <v>-129498002</v>
      </c>
      <c r="K84" s="79"/>
      <c r="L84" s="110">
        <f>L82+L83</f>
        <v>-111034256</v>
      </c>
      <c r="M84" s="110">
        <f>M82+M83</f>
        <v>-18463746</v>
      </c>
      <c r="N84" s="110">
        <f>N82+N83</f>
        <v>-129498002</v>
      </c>
      <c r="P84" s="404"/>
      <c r="Q84" s="405"/>
      <c r="R84" s="406"/>
      <c r="S84" s="405"/>
      <c r="T84" s="406"/>
      <c r="U84" s="405"/>
      <c r="V84" s="406"/>
      <c r="W84" s="407"/>
      <c r="X84" s="405"/>
      <c r="Y84" s="406"/>
    </row>
    <row r="85" spans="1:30" ht="14.1" customHeight="1" thickTop="1" x14ac:dyDescent="0.2">
      <c r="P85" s="89"/>
      <c r="Q85" s="107"/>
      <c r="R85" s="106"/>
      <c r="S85" s="107"/>
      <c r="T85" s="106"/>
      <c r="U85" s="107"/>
      <c r="V85" s="106"/>
      <c r="W85" s="122"/>
      <c r="X85" s="107"/>
      <c r="Y85" s="106"/>
      <c r="AB85" s="79"/>
    </row>
    <row r="86" spans="1:30" ht="14.1" customHeight="1" x14ac:dyDescent="0.2">
      <c r="A86" s="93"/>
      <c r="B86" s="94"/>
      <c r="C86" s="94"/>
      <c r="D86" s="111"/>
      <c r="E86" s="111"/>
      <c r="F86" s="111"/>
      <c r="G86" s="94"/>
      <c r="H86" s="111"/>
      <c r="I86" s="94"/>
      <c r="J86" s="111"/>
      <c r="K86" s="111"/>
      <c r="L86" s="111"/>
      <c r="M86" s="111"/>
      <c r="N86" s="111"/>
      <c r="P86" s="89"/>
      <c r="Q86" s="107"/>
      <c r="R86" s="106"/>
      <c r="S86" s="107"/>
      <c r="T86" s="106"/>
      <c r="U86" s="107"/>
      <c r="V86" s="106"/>
      <c r="W86" s="122"/>
      <c r="X86" s="107"/>
      <c r="Y86" s="106"/>
    </row>
    <row r="87" spans="1:30" ht="14.1" customHeight="1" x14ac:dyDescent="0.2">
      <c r="P87" s="89"/>
      <c r="Q87" s="107"/>
      <c r="R87" s="106"/>
      <c r="S87" s="107"/>
      <c r="T87" s="106"/>
      <c r="U87" s="107"/>
      <c r="V87" s="106"/>
      <c r="W87" s="122"/>
      <c r="X87" s="107"/>
      <c r="Y87" s="106"/>
    </row>
    <row r="88" spans="1:30" ht="14.1" customHeight="1" x14ac:dyDescent="0.2">
      <c r="A88" s="76" t="s">
        <v>553</v>
      </c>
      <c r="P88" s="129" t="s">
        <v>554</v>
      </c>
      <c r="Q88" s="132">
        <f>D89</f>
        <v>0</v>
      </c>
      <c r="R88" s="133">
        <f>E89</f>
        <v>0</v>
      </c>
      <c r="S88" s="130"/>
      <c r="T88" s="131"/>
      <c r="U88" s="130"/>
      <c r="V88" s="131"/>
      <c r="W88" s="134"/>
      <c r="X88" s="132">
        <f>IF(AA88&lt;0,-AA88,0)</f>
        <v>0</v>
      </c>
      <c r="Y88" s="133">
        <f>IF(AA88&gt;0,-AA88,0)</f>
        <v>0</v>
      </c>
      <c r="AA88" s="79">
        <f>SUM(Q88:V88)</f>
        <v>0</v>
      </c>
    </row>
    <row r="89" spans="1:30" ht="14.1" customHeight="1" x14ac:dyDescent="0.2">
      <c r="A89" s="137" t="s">
        <v>494</v>
      </c>
      <c r="D89" s="79"/>
      <c r="E89" s="79"/>
      <c r="F89" s="81">
        <f>D89+E89</f>
        <v>0</v>
      </c>
      <c r="G89" s="79"/>
      <c r="H89" s="79">
        <f>ROUND(F89/AD76,0)</f>
        <v>0</v>
      </c>
      <c r="I89" s="79"/>
      <c r="J89" s="79">
        <f>H89-F89</f>
        <v>0</v>
      </c>
      <c r="K89" s="79"/>
      <c r="L89" s="79">
        <f>ROUND(F89*(AD74/AD76),0)</f>
        <v>0</v>
      </c>
      <c r="M89" s="79">
        <f>ROUND(F89*(AD70/AD76),0)</f>
        <v>0</v>
      </c>
      <c r="N89" s="79">
        <f>L89+M89</f>
        <v>0</v>
      </c>
      <c r="P89" s="138" t="s">
        <v>543</v>
      </c>
      <c r="Q89" s="130"/>
      <c r="R89" s="131"/>
      <c r="S89" s="130"/>
      <c r="T89" s="131"/>
      <c r="U89" s="132">
        <f>L89</f>
        <v>0</v>
      </c>
      <c r="V89" s="133">
        <f>M89</f>
        <v>0</v>
      </c>
      <c r="W89" s="134"/>
      <c r="X89" s="132">
        <f>IF(AA89&lt;0,-AA89,0)</f>
        <v>0</v>
      </c>
      <c r="Y89" s="133">
        <f>IF(AA89&gt;0,-AA89,0)</f>
        <v>0</v>
      </c>
      <c r="AA89" s="79">
        <f>SUM(Q89:V89)</f>
        <v>0</v>
      </c>
    </row>
    <row r="90" spans="1:30" ht="14.1" customHeight="1" x14ac:dyDescent="0.2">
      <c r="P90" s="139"/>
      <c r="Q90" s="107"/>
      <c r="R90" s="106"/>
      <c r="S90" s="107"/>
      <c r="T90" s="106"/>
      <c r="U90" s="107"/>
      <c r="V90" s="106"/>
      <c r="W90" s="122"/>
      <c r="X90" s="104"/>
      <c r="Y90" s="105"/>
      <c r="AA90" s="79"/>
    </row>
    <row r="91" spans="1:30" ht="14.1" customHeight="1" x14ac:dyDescent="0.2">
      <c r="A91" s="137" t="s">
        <v>555</v>
      </c>
      <c r="B91" s="79"/>
      <c r="C91" s="79"/>
      <c r="D91" s="81">
        <v>7164860</v>
      </c>
      <c r="E91" s="81">
        <v>2242854</v>
      </c>
      <c r="F91" s="81">
        <f>D91+E91</f>
        <v>9407714</v>
      </c>
      <c r="G91" s="79"/>
      <c r="H91" s="79">
        <f>ROUND(F91/AD76,0)</f>
        <v>15315774</v>
      </c>
      <c r="I91" s="79"/>
      <c r="J91" s="79">
        <f>H91-F91</f>
        <v>5908060</v>
      </c>
      <c r="K91" s="79"/>
      <c r="L91" s="79">
        <f>ROUND(F91*(AD74/AD76),0)</f>
        <v>5065692</v>
      </c>
      <c r="M91" s="79">
        <f>ROUND(F91*(AD70/AD76),0)</f>
        <v>842368</v>
      </c>
      <c r="N91" s="79">
        <f>L91+M91</f>
        <v>5908060</v>
      </c>
      <c r="P91" s="123" t="s">
        <v>556</v>
      </c>
      <c r="Q91" s="136"/>
      <c r="R91" s="126"/>
      <c r="S91" s="124">
        <f>D93</f>
        <v>7164860</v>
      </c>
      <c r="T91" s="125">
        <f>E93</f>
        <v>2242854</v>
      </c>
      <c r="U91" s="136"/>
      <c r="V91" s="126"/>
      <c r="W91" s="127"/>
      <c r="X91" s="124">
        <f>IF(AA91&lt;0,-AA91,0)</f>
        <v>0</v>
      </c>
      <c r="Y91" s="125">
        <f>IF(AA91&gt;0,-AA91,0)</f>
        <v>-9407714</v>
      </c>
      <c r="AA91" s="79">
        <f>SUM(Q91:V91)</f>
        <v>9407714</v>
      </c>
    </row>
    <row r="92" spans="1:30" ht="14.1" customHeight="1" x14ac:dyDescent="0.2">
      <c r="A92" s="137" t="s">
        <v>557</v>
      </c>
      <c r="B92" s="79"/>
      <c r="C92" s="79"/>
      <c r="D92" s="79"/>
      <c r="E92" s="79"/>
      <c r="F92" s="81">
        <f>D92+E92</f>
        <v>0</v>
      </c>
      <c r="G92" s="79"/>
      <c r="H92" s="79">
        <f>ROUND(F92/AD76,0)</f>
        <v>0</v>
      </c>
      <c r="I92" s="79"/>
      <c r="J92" s="79">
        <f>H92-F92</f>
        <v>0</v>
      </c>
      <c r="K92" s="79"/>
      <c r="L92" s="79">
        <f>ROUND(F92*(AD74/AD76),0)</f>
        <v>0</v>
      </c>
      <c r="M92" s="79">
        <f>ROUND(F92*(AD70/AD76),0)</f>
        <v>0</v>
      </c>
      <c r="N92" s="79">
        <f>L92+M92</f>
        <v>0</v>
      </c>
      <c r="P92" s="140" t="s">
        <v>543</v>
      </c>
      <c r="Q92" s="124">
        <f>L93</f>
        <v>5065692</v>
      </c>
      <c r="R92" s="125">
        <f>M93</f>
        <v>842368</v>
      </c>
      <c r="S92" s="136"/>
      <c r="T92" s="126"/>
      <c r="U92" s="136"/>
      <c r="V92" s="126"/>
      <c r="W92" s="127"/>
      <c r="X92" s="124">
        <f>IF(AA92&lt;0,-AA92,0)</f>
        <v>0</v>
      </c>
      <c r="Y92" s="125">
        <f>IF(AA92&gt;0,-AA92,0)</f>
        <v>-5908060</v>
      </c>
      <c r="AA92" s="79">
        <f>SUM(Q92:V92)</f>
        <v>5908060</v>
      </c>
      <c r="AB92" s="79"/>
    </row>
    <row r="93" spans="1:30" ht="14.1" customHeight="1" x14ac:dyDescent="0.2">
      <c r="A93" s="141" t="s">
        <v>558</v>
      </c>
      <c r="B93" s="79"/>
      <c r="C93" s="79"/>
      <c r="D93" s="142">
        <f>SUM(D91:D92)</f>
        <v>7164860</v>
      </c>
      <c r="E93" s="142">
        <f>SUM(E91:E92)</f>
        <v>2242854</v>
      </c>
      <c r="F93" s="142">
        <f>SUM(F91:F92)</f>
        <v>9407714</v>
      </c>
      <c r="G93" s="79"/>
      <c r="H93" s="142">
        <f>SUM(H91:H92)</f>
        <v>15315774</v>
      </c>
      <c r="I93" s="79"/>
      <c r="J93" s="142">
        <f>SUM(J91:J92)</f>
        <v>5908060</v>
      </c>
      <c r="K93" s="79"/>
      <c r="L93" s="142">
        <f>SUM(L91:L92)</f>
        <v>5065692</v>
      </c>
      <c r="M93" s="142">
        <f>SUM(M91:M92)</f>
        <v>842368</v>
      </c>
      <c r="N93" s="142">
        <f>SUM(N91:N92)</f>
        <v>5908060</v>
      </c>
      <c r="P93" s="139"/>
      <c r="Q93" s="104"/>
      <c r="R93" s="105"/>
      <c r="S93" s="104"/>
      <c r="T93" s="105"/>
      <c r="U93" s="104"/>
      <c r="V93" s="105"/>
      <c r="W93" s="81"/>
      <c r="X93" s="104"/>
      <c r="Y93" s="105"/>
      <c r="AB93" s="79"/>
    </row>
    <row r="94" spans="1:30" ht="14.1" customHeight="1" x14ac:dyDescent="0.2">
      <c r="D94" s="79"/>
      <c r="E94" s="79"/>
      <c r="F94" s="79"/>
      <c r="G94" s="79"/>
      <c r="H94" s="79"/>
      <c r="I94" s="79"/>
      <c r="J94" s="79"/>
      <c r="K94" s="79"/>
      <c r="L94" s="79"/>
      <c r="M94" s="79"/>
      <c r="N94" s="79"/>
      <c r="P94" s="129" t="s">
        <v>559</v>
      </c>
      <c r="Q94" s="132"/>
      <c r="R94" s="133"/>
      <c r="S94" s="132"/>
      <c r="T94" s="133"/>
      <c r="U94" s="132">
        <f>D95</f>
        <v>0</v>
      </c>
      <c r="V94" s="133">
        <f>E95</f>
        <v>0</v>
      </c>
      <c r="W94" s="143"/>
      <c r="X94" s="132">
        <f>IF(AA94&lt;0,-AA94,0)</f>
        <v>0</v>
      </c>
      <c r="Y94" s="133">
        <f>IF(AA94&gt;0,-AA94,0)</f>
        <v>0</v>
      </c>
      <c r="AA94" s="79">
        <f>SUM(Q94:V94)</f>
        <v>0</v>
      </c>
    </row>
    <row r="95" spans="1:30" ht="14.1" customHeight="1" x14ac:dyDescent="0.2">
      <c r="A95" s="137" t="s">
        <v>496</v>
      </c>
      <c r="B95" s="79"/>
      <c r="C95" s="79"/>
      <c r="D95" s="79"/>
      <c r="E95" s="79"/>
      <c r="F95" s="81">
        <f>D95+E95</f>
        <v>0</v>
      </c>
      <c r="G95" s="79"/>
      <c r="H95" s="79">
        <f>ROUND(F95/AD76,0)</f>
        <v>0</v>
      </c>
      <c r="I95" s="79"/>
      <c r="J95" s="79">
        <f>H95-F95</f>
        <v>0</v>
      </c>
      <c r="K95" s="79"/>
      <c r="L95" s="79">
        <f>ROUND(F95*(AD74/AD76),0)</f>
        <v>0</v>
      </c>
      <c r="M95" s="79">
        <f>ROUND(F95*(AD70/AD76),0)</f>
        <v>0</v>
      </c>
      <c r="N95" s="79">
        <f>L95+M95</f>
        <v>0</v>
      </c>
      <c r="P95" s="138" t="s">
        <v>543</v>
      </c>
      <c r="Q95" s="132">
        <f>L95</f>
        <v>0</v>
      </c>
      <c r="R95" s="133">
        <f>M95</f>
        <v>0</v>
      </c>
      <c r="S95" s="132"/>
      <c r="T95" s="133"/>
      <c r="U95" s="132"/>
      <c r="V95" s="133"/>
      <c r="W95" s="143"/>
      <c r="X95" s="132">
        <f>IF(AA95&lt;0,-AA95,0)</f>
        <v>0</v>
      </c>
      <c r="Y95" s="133">
        <f>IF(AA95&gt;0,-AA95,0)</f>
        <v>0</v>
      </c>
      <c r="AA95" s="79">
        <f>SUM(Q95:V95)</f>
        <v>0</v>
      </c>
    </row>
    <row r="96" spans="1:30" ht="14.1" customHeight="1" x14ac:dyDescent="0.2"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P96" s="89"/>
      <c r="Q96" s="104"/>
      <c r="R96" s="105"/>
      <c r="S96" s="104"/>
      <c r="T96" s="105"/>
      <c r="U96" s="104"/>
      <c r="V96" s="105"/>
      <c r="W96" s="81"/>
      <c r="X96" s="104"/>
      <c r="Y96" s="105"/>
    </row>
    <row r="97" spans="1:25" ht="14.1" customHeight="1" thickBot="1" x14ac:dyDescent="0.25">
      <c r="A97" s="76" t="s">
        <v>560</v>
      </c>
      <c r="D97" s="110">
        <f>D89+D93+D95</f>
        <v>7164860</v>
      </c>
      <c r="E97" s="110">
        <f>E89+E93+E95</f>
        <v>2242854</v>
      </c>
      <c r="F97" s="110">
        <f>F89+F93+F95</f>
        <v>9407714</v>
      </c>
      <c r="G97" s="79"/>
      <c r="H97" s="110">
        <f>H89+H93+H95</f>
        <v>15315774</v>
      </c>
      <c r="I97" s="79"/>
      <c r="J97" s="110">
        <f>J89+J93+J95</f>
        <v>5908060</v>
      </c>
      <c r="K97" s="79"/>
      <c r="L97" s="110">
        <f>L89+L93+L95</f>
        <v>5065692</v>
      </c>
      <c r="M97" s="110">
        <f>M89+M93+M95</f>
        <v>842368</v>
      </c>
      <c r="N97" s="110">
        <f>N89+N93+N95</f>
        <v>5908060</v>
      </c>
      <c r="P97" s="89"/>
      <c r="Q97" s="107"/>
      <c r="R97" s="106"/>
      <c r="S97" s="107"/>
      <c r="T97" s="106"/>
      <c r="U97" s="107"/>
      <c r="V97" s="106"/>
      <c r="W97" s="122"/>
      <c r="X97" s="107"/>
      <c r="Y97" s="106"/>
    </row>
    <row r="98" spans="1:25" ht="14.1" customHeight="1" thickTop="1" x14ac:dyDescent="0.2">
      <c r="A98" s="79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112"/>
      <c r="P98" s="89"/>
      <c r="Q98" s="107"/>
      <c r="R98" s="106"/>
      <c r="S98" s="107"/>
      <c r="T98" s="106"/>
      <c r="U98" s="107"/>
      <c r="V98" s="106"/>
      <c r="W98" s="122"/>
      <c r="X98" s="107"/>
      <c r="Y98" s="106"/>
    </row>
    <row r="99" spans="1:25" ht="14.1" customHeight="1" x14ac:dyDescent="0.2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P99" s="89"/>
      <c r="Q99" s="107"/>
      <c r="R99" s="106"/>
      <c r="S99" s="107"/>
      <c r="T99" s="106"/>
      <c r="U99" s="107"/>
      <c r="V99" s="106"/>
      <c r="W99" s="122"/>
      <c r="X99" s="107"/>
      <c r="Y99" s="106"/>
    </row>
    <row r="100" spans="1:25" ht="14.1" customHeight="1" thickBot="1" x14ac:dyDescent="0.25">
      <c r="A100" s="92" t="s">
        <v>372</v>
      </c>
      <c r="B100" s="116"/>
      <c r="C100" s="116"/>
      <c r="D100" s="117">
        <f>D72+D84+D97+D78</f>
        <v>-149523886</v>
      </c>
      <c r="E100" s="117">
        <f>E72+E84+E97+E78</f>
        <v>-23812719</v>
      </c>
      <c r="F100" s="117">
        <f>F72+F84+F97+F78</f>
        <v>-173336605</v>
      </c>
      <c r="G100" s="116"/>
      <c r="H100" s="117">
        <f>H72+H84+H97+H78</f>
        <v>-282192274</v>
      </c>
      <c r="I100" s="116"/>
      <c r="J100" s="117">
        <f>J72+J84+J97+J78</f>
        <v>-108855669</v>
      </c>
      <c r="K100" s="79"/>
      <c r="L100" s="117">
        <f>L72+L84+L97+L78</f>
        <v>-93335095</v>
      </c>
      <c r="M100" s="117">
        <f>M72+M84+M97+M78</f>
        <v>-15520575</v>
      </c>
      <c r="N100" s="117">
        <f>N72+N84+N97+N78</f>
        <v>-108855670</v>
      </c>
      <c r="O100" s="112"/>
      <c r="P100" s="89"/>
      <c r="Q100" s="113">
        <f t="shared" ref="Q100:V100" si="6">SUM(Q72:Q97)</f>
        <v>69142828</v>
      </c>
      <c r="R100" s="114">
        <f t="shared" si="6"/>
        <v>11497674</v>
      </c>
      <c r="S100" s="113">
        <f t="shared" si="6"/>
        <v>-188883267</v>
      </c>
      <c r="T100" s="114">
        <f t="shared" si="6"/>
        <v>-30357741</v>
      </c>
      <c r="U100" s="113">
        <f t="shared" si="6"/>
        <v>-123118542</v>
      </c>
      <c r="V100" s="114">
        <f t="shared" si="6"/>
        <v>-20473227</v>
      </c>
      <c r="W100" s="122"/>
      <c r="X100" s="113">
        <f>SUM(X72:X97)</f>
        <v>372240491</v>
      </c>
      <c r="Y100" s="114">
        <f>SUM(Y72:Y97)</f>
        <v>-90048216</v>
      </c>
    </row>
    <row r="101" spans="1:25" ht="14.1" customHeight="1" thickTop="1" x14ac:dyDescent="0.2">
      <c r="P101" s="89"/>
      <c r="Q101" s="107"/>
      <c r="R101" s="106"/>
      <c r="S101" s="107"/>
      <c r="T101" s="106"/>
      <c r="U101" s="107"/>
      <c r="V101" s="106"/>
      <c r="W101" s="122"/>
      <c r="X101" s="107"/>
      <c r="Y101" s="106"/>
    </row>
    <row r="102" spans="1:25" ht="14.1" customHeight="1" thickBot="1" x14ac:dyDescent="0.25">
      <c r="P102" s="89"/>
      <c r="Q102" s="104"/>
      <c r="R102" s="105"/>
      <c r="S102" s="104"/>
      <c r="T102" s="105"/>
      <c r="U102" s="104"/>
      <c r="V102" s="105"/>
      <c r="W102" s="81"/>
      <c r="X102" s="104"/>
      <c r="Y102" s="115">
        <f>X100+Y100</f>
        <v>282192275</v>
      </c>
    </row>
    <row r="103" spans="1:25" ht="14.1" customHeight="1" thickTop="1" x14ac:dyDescent="0.2">
      <c r="P103" s="118"/>
      <c r="Q103" s="144"/>
      <c r="R103" s="145"/>
      <c r="S103" s="144"/>
      <c r="T103" s="145"/>
      <c r="U103" s="144"/>
      <c r="V103" s="145"/>
      <c r="W103" s="146"/>
      <c r="X103" s="144"/>
      <c r="Y103" s="120"/>
    </row>
    <row r="104" spans="1:25" ht="14.1" customHeight="1" x14ac:dyDescent="0.2">
      <c r="Y104" s="79"/>
    </row>
    <row r="105" spans="1:25" ht="14.1" customHeight="1" x14ac:dyDescent="0.2">
      <c r="Y105" s="79"/>
    </row>
    <row r="106" spans="1:25" ht="14.1" customHeight="1" x14ac:dyDescent="0.2">
      <c r="B106" s="76" t="s">
        <v>534</v>
      </c>
      <c r="D106" s="79">
        <f>D91-E106</f>
        <v>7949858.9000000004</v>
      </c>
      <c r="E106" s="79">
        <f>E91*-0.35</f>
        <v>-784998.89999999991</v>
      </c>
      <c r="P106" s="76" t="s">
        <v>534</v>
      </c>
      <c r="Q106" s="79">
        <f>Q100-R106</f>
        <v>73167013.900000006</v>
      </c>
      <c r="R106" s="79">
        <f>R100*-0.35</f>
        <v>-4024185.9</v>
      </c>
      <c r="S106" s="79">
        <f>S100-T106</f>
        <v>-199508476.34999999</v>
      </c>
      <c r="T106" s="79">
        <f>T100*-0.35</f>
        <v>10625209.35</v>
      </c>
      <c r="U106" s="79">
        <f>U100-V106</f>
        <v>-130284171.45</v>
      </c>
      <c r="V106" s="79">
        <f>V100*-0.35</f>
        <v>7165629.4499999993</v>
      </c>
      <c r="Y106" s="79"/>
    </row>
    <row r="107" spans="1:25" ht="14.1" customHeight="1" x14ac:dyDescent="0.2">
      <c r="Y107" s="79"/>
    </row>
    <row r="108" spans="1:25" ht="14.1" customHeight="1" x14ac:dyDescent="0.2">
      <c r="Y108" s="79"/>
    </row>
    <row r="109" spans="1:25" ht="14.1" customHeight="1" x14ac:dyDescent="0.2">
      <c r="Y109" s="79"/>
    </row>
    <row r="110" spans="1:25" ht="14.1" customHeight="1" x14ac:dyDescent="0.2">
      <c r="Y110" s="79"/>
    </row>
  </sheetData>
  <mergeCells count="3">
    <mergeCell ref="A5:N5"/>
    <mergeCell ref="A68:N68"/>
    <mergeCell ref="A36:N36"/>
  </mergeCells>
  <pageMargins left="0.25" right="0" top="0.25" bottom="0.25" header="0.3" footer="0"/>
  <pageSetup paperSize="5" scale="65" orientation="landscape" r:id="rId1"/>
  <headerFooter>
    <oddFooter>&amp;L&amp;Z&amp;F&amp;R&amp;A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14</vt:i4>
      </vt:variant>
    </vt:vector>
  </HeadingPairs>
  <TitlesOfParts>
    <vt:vector size="32" baseType="lpstr">
      <vt:lpstr>Table of Contents</vt:lpstr>
      <vt:lpstr>Total ADIT by FERC Account</vt:lpstr>
      <vt:lpstr>Tax Reform Summary</vt:lpstr>
      <vt:lpstr>Total Excess ADIT</vt:lpstr>
      <vt:lpstr>FPL Excess ADIT</vt:lpstr>
      <vt:lpstr>CBAS Excess ADIT</vt:lpstr>
      <vt:lpstr>ICL Excess ADIT</vt:lpstr>
      <vt:lpstr>Enersys Excess ADIT</vt:lpstr>
      <vt:lpstr>FPL FAS109 B4 Tax Reform</vt:lpstr>
      <vt:lpstr>FPL FAS109 w Tax Reform</vt:lpstr>
      <vt:lpstr>CBAS FAS109 Entry</vt:lpstr>
      <vt:lpstr>ICL FAS109 Entry</vt:lpstr>
      <vt:lpstr>Enersys FAS109 Entry</vt:lpstr>
      <vt:lpstr>OTP FED Pre-Tax Balances</vt:lpstr>
      <vt:lpstr>OTP State Pre-Tax</vt:lpstr>
      <vt:lpstr>OTP Total Deferred Taxes</vt:lpstr>
      <vt:lpstr>SAP General Ledger Balances</vt:lpstr>
      <vt:lpstr>SAP FAS109 2017 Q4 Entries</vt:lpstr>
      <vt:lpstr>'CBAS Excess ADIT'!Print_Area</vt:lpstr>
      <vt:lpstr>'CBAS FAS109 Entry'!Print_Area</vt:lpstr>
      <vt:lpstr>'Enersys Excess ADIT'!Print_Area</vt:lpstr>
      <vt:lpstr>'Enersys FAS109 Entry'!Print_Area</vt:lpstr>
      <vt:lpstr>'FPL Excess ADIT'!Print_Area</vt:lpstr>
      <vt:lpstr>'FPL FAS109 B4 Tax Reform'!Print_Area</vt:lpstr>
      <vt:lpstr>'FPL FAS109 w Tax Reform'!Print_Area</vt:lpstr>
      <vt:lpstr>'ICL Excess ADIT'!Print_Area</vt:lpstr>
      <vt:lpstr>'ICL FAS109 Entry'!Print_Area</vt:lpstr>
      <vt:lpstr>'Tax Reform Summary'!Print_Area</vt:lpstr>
      <vt:lpstr>'Total ADIT by FERC Account'!Print_Area</vt:lpstr>
      <vt:lpstr>'Total Excess ADIT'!Print_Area</vt:lpstr>
      <vt:lpstr>'FPL Excess ADIT'!Print_Titles</vt:lpstr>
      <vt:lpstr>'Total Excess ADIT'!Print_Titles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2018-04-20T20:09:28Z</dcterms:created>
  <dcterms:modified xsi:type="dcterms:W3CDTF">2018-04-20T20:10:00Z</dcterms:modified>
</cp:coreProperties>
</file>