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90" windowWidth="12315" windowHeight="7170"/>
  </bookViews>
  <sheets>
    <sheet name="Summer_Peak" sheetId="6" r:id="rId1"/>
    <sheet name="MW Summer Impact NEPACT" sheetId="5" r:id="rId2"/>
  </sheets>
  <calcPr calcId="162913"/>
</workbook>
</file>

<file path=xl/calcChain.xml><?xml version="1.0" encoding="utf-8"?>
<calcChain xmlns="http://schemas.openxmlformats.org/spreadsheetml/2006/main">
  <c r="C28" i="6" l="1"/>
  <c r="C29" i="6" s="1"/>
  <c r="D28" i="6"/>
  <c r="D29" i="6"/>
  <c r="E28" i="6"/>
  <c r="E29" i="6" s="1"/>
  <c r="I28" i="6"/>
  <c r="I29" i="6"/>
  <c r="S25" i="6"/>
  <c r="S23" i="6"/>
  <c r="S21" i="6"/>
  <c r="S19" i="6"/>
  <c r="S17" i="6"/>
  <c r="H19" i="5"/>
  <c r="B14" i="6" s="1"/>
  <c r="F14" i="6" s="1"/>
  <c r="T27" i="6"/>
  <c r="T28" i="6" s="1"/>
  <c r="T29" i="6" s="1"/>
  <c r="S27" i="6"/>
  <c r="S28" i="6" s="1"/>
  <c r="S29" i="6" s="1"/>
  <c r="T26" i="6"/>
  <c r="S26" i="6"/>
  <c r="T25" i="6"/>
  <c r="T24" i="6"/>
  <c r="S24" i="6"/>
  <c r="T23" i="6"/>
  <c r="T22" i="6"/>
  <c r="S22" i="6"/>
  <c r="T21" i="6"/>
  <c r="T20" i="6"/>
  <c r="S20" i="6"/>
  <c r="T19" i="6"/>
  <c r="T18" i="6"/>
  <c r="S18" i="6"/>
  <c r="T17" i="6"/>
  <c r="T16" i="6"/>
  <c r="S16" i="6"/>
  <c r="T15" i="6"/>
  <c r="S15" i="6"/>
  <c r="X14" i="6"/>
  <c r="Z14" i="6"/>
  <c r="X13" i="6"/>
  <c r="Z13" i="6" s="1"/>
  <c r="X12" i="6"/>
  <c r="Z12" i="6" s="1"/>
  <c r="A22" i="6"/>
  <c r="A23" i="6" s="1"/>
  <c r="A24" i="6" s="1"/>
  <c r="A25" i="6" s="1"/>
  <c r="A26" i="6" s="1"/>
  <c r="A27" i="6" s="1"/>
  <c r="A28" i="6" s="1"/>
  <c r="A29" i="6" s="1"/>
  <c r="H21" i="5" l="1"/>
  <c r="B16" i="6" s="1"/>
  <c r="F16" i="6" s="1"/>
  <c r="V16" i="6" s="1"/>
  <c r="AC16" i="6" s="1"/>
  <c r="H25" i="5"/>
  <c r="B20" i="6" s="1"/>
  <c r="F20" i="6" s="1"/>
  <c r="G20" i="6"/>
  <c r="V20" i="6"/>
  <c r="AC20" i="6" s="1"/>
  <c r="H23" i="5"/>
  <c r="B18" i="6" s="1"/>
  <c r="F18" i="6" s="1"/>
  <c r="H18" i="5"/>
  <c r="B13" i="6" s="1"/>
  <c r="F13" i="6" s="1"/>
  <c r="V14" i="6"/>
  <c r="H22" i="5"/>
  <c r="B17" i="6" s="1"/>
  <c r="F17" i="6" s="1"/>
  <c r="H26" i="5"/>
  <c r="B21" i="6" s="1"/>
  <c r="H17" i="5"/>
  <c r="B12" i="6" s="1"/>
  <c r="F12" i="6" s="1"/>
  <c r="H20" i="5"/>
  <c r="B15" i="6" s="1"/>
  <c r="F15" i="6" s="1"/>
  <c r="H24" i="5"/>
  <c r="B19" i="6" s="1"/>
  <c r="F19" i="6" s="1"/>
  <c r="G16" i="6" l="1"/>
  <c r="O16" i="6" s="1"/>
  <c r="V12" i="6"/>
  <c r="O20" i="6"/>
  <c r="X20" i="6"/>
  <c r="Z20" i="6" s="1"/>
  <c r="L20" i="6"/>
  <c r="Q20" i="6" s="1"/>
  <c r="V19" i="6"/>
  <c r="AC19" i="6" s="1"/>
  <c r="G19" i="6"/>
  <c r="V17" i="6"/>
  <c r="AC17" i="6" s="1"/>
  <c r="G17" i="6"/>
  <c r="G18" i="6"/>
  <c r="V18" i="6"/>
  <c r="AC18" i="6" s="1"/>
  <c r="G15" i="6"/>
  <c r="V15" i="6"/>
  <c r="AC15" i="6" s="1"/>
  <c r="V13" i="6"/>
  <c r="L16" i="6"/>
  <c r="Q16" i="6" s="1"/>
  <c r="F21" i="6"/>
  <c r="B22" i="6"/>
  <c r="X16" i="6" l="1"/>
  <c r="Z16" i="6" s="1"/>
  <c r="V21" i="6"/>
  <c r="AC21" i="6" s="1"/>
  <c r="G21" i="6"/>
  <c r="O19" i="6"/>
  <c r="L19" i="6"/>
  <c r="Q19" i="6" s="1"/>
  <c r="X19" i="6"/>
  <c r="Z19" i="6" s="1"/>
  <c r="O15" i="6"/>
  <c r="L15" i="6"/>
  <c r="Q15" i="6" s="1"/>
  <c r="X15" i="6"/>
  <c r="Z15" i="6" s="1"/>
  <c r="B23" i="6"/>
  <c r="F22" i="6"/>
  <c r="O18" i="6"/>
  <c r="X18" i="6"/>
  <c r="Z18" i="6" s="1"/>
  <c r="L18" i="6"/>
  <c r="Q18" i="6" s="1"/>
  <c r="L17" i="6"/>
  <c r="Q17" i="6" s="1"/>
  <c r="O17" i="6"/>
  <c r="X17" i="6"/>
  <c r="Z17" i="6" s="1"/>
  <c r="B24" i="6" l="1"/>
  <c r="F23" i="6"/>
  <c r="G22" i="6"/>
  <c r="V22" i="6"/>
  <c r="AC22" i="6" s="1"/>
  <c r="X21" i="6"/>
  <c r="Z21" i="6" s="1"/>
  <c r="L21" i="6"/>
  <c r="Q21" i="6" s="1"/>
  <c r="O21" i="6"/>
  <c r="V23" i="6" l="1"/>
  <c r="AC23" i="6" s="1"/>
  <c r="G23" i="6"/>
  <c r="O22" i="6"/>
  <c r="X22" i="6"/>
  <c r="Z22" i="6" s="1"/>
  <c r="L22" i="6"/>
  <c r="Q22" i="6" s="1"/>
  <c r="F24" i="6"/>
  <c r="B25" i="6"/>
  <c r="V24" i="6" l="1"/>
  <c r="AC24" i="6" s="1"/>
  <c r="G24" i="6"/>
  <c r="L23" i="6"/>
  <c r="Q23" i="6" s="1"/>
  <c r="X23" i="6"/>
  <c r="Z23" i="6" s="1"/>
  <c r="O23" i="6"/>
  <c r="F25" i="6"/>
  <c r="B26" i="6"/>
  <c r="L24" i="6" l="1"/>
  <c r="Q24" i="6" s="1"/>
  <c r="X24" i="6"/>
  <c r="Z24" i="6" s="1"/>
  <c r="O24" i="6"/>
  <c r="B27" i="6"/>
  <c r="F26" i="6"/>
  <c r="G25" i="6"/>
  <c r="V25" i="6"/>
  <c r="AC25" i="6" s="1"/>
  <c r="V26" i="6" l="1"/>
  <c r="AC26" i="6" s="1"/>
  <c r="G26" i="6"/>
  <c r="O25" i="6"/>
  <c r="L25" i="6"/>
  <c r="Q25" i="6" s="1"/>
  <c r="X25" i="6"/>
  <c r="Z25" i="6" s="1"/>
  <c r="F27" i="6"/>
  <c r="B28" i="6"/>
  <c r="G27" i="6" l="1"/>
  <c r="V27" i="6"/>
  <c r="AC27" i="6" s="1"/>
  <c r="X26" i="6"/>
  <c r="Z26" i="6" s="1"/>
  <c r="O26" i="6"/>
  <c r="L26" i="6"/>
  <c r="Q26" i="6" s="1"/>
  <c r="F28" i="6"/>
  <c r="B29" i="6"/>
  <c r="F29" i="6" s="1"/>
  <c r="V28" i="6" l="1"/>
  <c r="AC28" i="6" s="1"/>
  <c r="G28" i="6"/>
  <c r="L28" i="6" s="1"/>
  <c r="V29" i="6"/>
  <c r="AC29" i="6" s="1"/>
  <c r="G29" i="6"/>
  <c r="L29" i="6" s="1"/>
  <c r="I32" i="6"/>
  <c r="O27" i="6"/>
  <c r="O28" i="6" s="1"/>
  <c r="O29" i="6" s="1"/>
  <c r="X27" i="6"/>
  <c r="L27" i="6"/>
  <c r="Q27" i="6" s="1"/>
  <c r="Q28" i="6" s="1"/>
  <c r="Q29" i="6" s="1"/>
  <c r="Z27" i="6" l="1"/>
  <c r="X28" i="6"/>
  <c r="X29" i="6" l="1"/>
  <c r="Z29" i="6" s="1"/>
  <c r="Z28" i="6"/>
</calcChain>
</file>

<file path=xl/sharedStrings.xml><?xml version="1.0" encoding="utf-8"?>
<sst xmlns="http://schemas.openxmlformats.org/spreadsheetml/2006/main" count="71" uniqueCount="45">
  <si>
    <t xml:space="preserve">Florida Power &amp; Light </t>
  </si>
  <si>
    <t>Impact of the Energy Policy Act of 2005 and Florida Energy Efficiency Code on the FPL System Load</t>
  </si>
  <si>
    <t>Summary of Load Forecast Impacts</t>
  </si>
  <si>
    <t>Residential AC Efficiency</t>
  </si>
  <si>
    <t>CI DX Efficiency</t>
  </si>
  <si>
    <t>CI Chiller Efficiency</t>
  </si>
  <si>
    <t>CI Lighting Efficiency</t>
  </si>
  <si>
    <t>CI Refrigeration Efficiency</t>
  </si>
  <si>
    <t>Federal Facility ENERGY STAR Procurement</t>
  </si>
  <si>
    <t>TOTAL</t>
  </si>
  <si>
    <t>Cumulative Impact on FPL Load</t>
  </si>
  <si>
    <t>Due to SEER 13 Standard</t>
  </si>
  <si>
    <t>Due to ASHRAE 90.1 2001 and Federal Standards</t>
  </si>
  <si>
    <t>Due to ASHRAE 90.1 2001</t>
  </si>
  <si>
    <t>Due to Electronic Ballast Standards</t>
  </si>
  <si>
    <t>Due to and Federal Standards in 2010</t>
  </si>
  <si>
    <t>Due to Federal Procurement Initiative</t>
  </si>
  <si>
    <t>Due to Selected Codes and Standards</t>
  </si>
  <si>
    <t>Replacing Current Efficiency Mix</t>
  </si>
  <si>
    <t>Replacing ASHRAE 90.1 1989</t>
  </si>
  <si>
    <t>Replacing Energy Saver Magnetic</t>
  </si>
  <si>
    <t>Replacing Conventional Equipment</t>
  </si>
  <si>
    <t>for ENERGY STAR Products</t>
  </si>
  <si>
    <t>for Replacement and Procurement of Equipment</t>
  </si>
  <si>
    <t>Year</t>
  </si>
  <si>
    <t xml:space="preserve">Prepared by Itron, Inc. </t>
  </si>
  <si>
    <t>Revised 05-29-08</t>
  </si>
  <si>
    <t>2005 - 2014, 4-5 PM on a Typical Summer System Peak Day</t>
  </si>
  <si>
    <t>Summer MW</t>
  </si>
  <si>
    <t>Impact of the Energy Independence and Security Act 2007 on the FPL System Load</t>
  </si>
  <si>
    <t>Commercial/Industrial Load Forecast for Single Package Vertical Units</t>
  </si>
  <si>
    <t>Commercial/Industrial Load Forecast for Walk-in Refrigerators and Freezers</t>
  </si>
  <si>
    <t>Load Impact Forecast for Incandescent Bulb Efficacy Improvements</t>
  </si>
  <si>
    <t>Grandtotal</t>
  </si>
  <si>
    <t>Incrementa Net from 2007</t>
  </si>
  <si>
    <t>CFLs</t>
  </si>
  <si>
    <t>Assumed Customer Forecast</t>
  </si>
  <si>
    <t>Summer MW per Customer</t>
  </si>
  <si>
    <t>Incremental to 2007 NEPACT + CFLS</t>
  </si>
  <si>
    <t>Incremental NEPACT + CFLS + staggered tvs</t>
  </si>
  <si>
    <t xml:space="preserve">Total Energy Efficiency + CFLs </t>
  </si>
  <si>
    <t xml:space="preserve">Incrementa Net from 2007 w/ CFl + </t>
  </si>
  <si>
    <t>FPL 003884</t>
  </si>
  <si>
    <t>20190015-EG</t>
  </si>
  <si>
    <t>FPL 003885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</si>
</sst>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0.000000_);_(* \(#,##0.000000\);_(* &quot;-&quot;??_);_(@_)"/>
    <numFmt numFmtId="167" formatCode="_(* #,##0.0000000_);_(* \(#,##0.0000000\);_(* &quot;-&quot;??_);_(@_)"/>
    <numFmt numFmtId="168" formatCode="#,##0.0000000"/>
  </numFmts>
  <fonts count="9">
    <font>
      <sz val="10"/>
      <name val="Arial"/>
    </font>
    <font>
      <sz val="10"/>
      <name val="Arial"/>
      <family val="2"/>
    </font>
    <font>
      <sz val="9"/>
      <color indexed="20"/>
      <name val="Arial"/>
      <family val="2"/>
    </font>
    <font>
      <b/>
      <i/>
      <sz val="12"/>
      <name val="Optima"/>
      <family val="2"/>
    </font>
    <font>
      <sz val="10"/>
      <name val="Optima"/>
      <family val="2"/>
    </font>
    <font>
      <b/>
      <sz val="10"/>
      <name val="Optima"/>
      <family val="2"/>
    </font>
    <font>
      <b/>
      <sz val="10"/>
      <name val="Optima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2" borderId="0"/>
  </cellStyleXfs>
  <cellXfs count="52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5" fillId="0" borderId="2" xfId="0" quotePrefix="1" applyFont="1" applyFill="1" applyBorder="1" applyAlignment="1">
      <alignment horizontal="center" wrapText="1"/>
    </xf>
    <xf numFmtId="0" fontId="0" fillId="0" borderId="0" xfId="0" applyFill="1" applyBorder="1"/>
    <xf numFmtId="0" fontId="5" fillId="0" borderId="0" xfId="2" applyFont="1" applyFill="1" applyBorder="1" applyAlignment="1">
      <alignment horizontal="center"/>
    </xf>
    <xf numFmtId="0" fontId="6" fillId="0" borderId="0" xfId="0" applyFont="1" applyFill="1" applyAlignment="1">
      <alignment horizontal="centerContinuous" wrapText="1"/>
    </xf>
    <xf numFmtId="0" fontId="6" fillId="0" borderId="0" xfId="0" applyFont="1" applyFill="1" applyAlignment="1">
      <alignment horizontal="centerContinuous" wrapText="1" shrinkToFi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wrapText="1"/>
    </xf>
    <xf numFmtId="0" fontId="0" fillId="0" borderId="10" xfId="0" applyFill="1" applyBorder="1"/>
    <xf numFmtId="0" fontId="0" fillId="0" borderId="11" xfId="0" applyFill="1" applyBorder="1"/>
    <xf numFmtId="0" fontId="5" fillId="0" borderId="7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0" fillId="0" borderId="0" xfId="1" applyNumberFormat="1" applyFont="1" applyFill="1"/>
    <xf numFmtId="168" fontId="0" fillId="0" borderId="0" xfId="0" applyNumberFormat="1" applyFill="1"/>
    <xf numFmtId="165" fontId="0" fillId="0" borderId="0" xfId="1" applyNumberFormat="1" applyFont="1" applyFill="1"/>
    <xf numFmtId="165" fontId="0" fillId="0" borderId="0" xfId="0" applyNumberFormat="1" applyFill="1"/>
    <xf numFmtId="3" fontId="0" fillId="0" borderId="10" xfId="0" applyNumberFormat="1" applyFill="1" applyBorder="1"/>
    <xf numFmtId="38" fontId="0" fillId="0" borderId="11" xfId="0" applyNumberFormat="1" applyFill="1" applyBorder="1"/>
    <xf numFmtId="38" fontId="0" fillId="0" borderId="0" xfId="0" applyNumberFormat="1" applyFill="1"/>
    <xf numFmtId="167" fontId="0" fillId="0" borderId="0" xfId="0" applyNumberFormat="1" applyFill="1"/>
    <xf numFmtId="166" fontId="0" fillId="0" borderId="0" xfId="1" applyNumberFormat="1" applyFont="1" applyFill="1"/>
    <xf numFmtId="166" fontId="0" fillId="0" borderId="0" xfId="0" applyNumberFormat="1" applyFill="1"/>
    <xf numFmtId="0" fontId="7" fillId="0" borderId="0" xfId="0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12" xfId="0" applyNumberFormat="1" applyFill="1" applyBorder="1"/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4" fillId="0" borderId="1" xfId="0" applyFont="1" applyFill="1" applyBorder="1"/>
    <xf numFmtId="0" fontId="4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Continuous"/>
    </xf>
    <xf numFmtId="0" fontId="5" fillId="0" borderId="3" xfId="2" applyFont="1" applyFill="1" applyBorder="1" applyAlignment="1">
      <alignment horizontal="centerContinuous"/>
    </xf>
    <xf numFmtId="0" fontId="5" fillId="0" borderId="0" xfId="0" applyFont="1" applyFill="1"/>
    <xf numFmtId="0" fontId="5" fillId="0" borderId="4" xfId="0" applyFont="1" applyFill="1" applyBorder="1"/>
    <xf numFmtId="0" fontId="5" fillId="0" borderId="2" xfId="0" quotePrefix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3" fontId="4" fillId="0" borderId="6" xfId="2" applyNumberFormat="1" applyFont="1" applyFill="1" applyBorder="1" applyAlignment="1">
      <alignment horizontal="center"/>
    </xf>
    <xf numFmtId="3" fontId="4" fillId="0" borderId="0" xfId="0" applyNumberFormat="1" applyFont="1" applyFill="1"/>
    <xf numFmtId="0" fontId="6" fillId="0" borderId="1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_CI DX Workbook CJ" xfId="2"/>
    <cellStyle name="SEM-BPS-dat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6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46"/>
  <sheetViews>
    <sheetView tabSelected="1" zoomScaleNormal="100" workbookViewId="0">
      <selection activeCell="A2" sqref="A1:A2"/>
    </sheetView>
  </sheetViews>
  <sheetFormatPr defaultRowHeight="12.75"/>
  <cols>
    <col min="1" max="1" width="16.5703125" style="1" customWidth="1"/>
    <col min="2" max="2" width="50.85546875" style="1" customWidth="1"/>
    <col min="3" max="3" width="28.140625" style="1" customWidth="1"/>
    <col min="4" max="4" width="29.42578125" style="1" customWidth="1"/>
    <col min="5" max="5" width="26.42578125" style="1" customWidth="1"/>
    <col min="6" max="6" width="17.7109375" style="1" customWidth="1"/>
    <col min="7" max="7" width="27.42578125" style="1" customWidth="1"/>
    <col min="8" max="11" width="9.140625" style="1"/>
    <col min="12" max="12" width="11" style="1" customWidth="1"/>
    <col min="13" max="13" width="9.140625" style="1"/>
    <col min="14" max="14" width="12.85546875" style="1" bestFit="1" customWidth="1"/>
    <col min="15" max="15" width="30.85546875" style="1" customWidth="1"/>
    <col min="16" max="16" width="9.140625" style="1"/>
    <col min="17" max="17" width="27.28515625" style="1" customWidth="1"/>
    <col min="18" max="18" width="9.140625" style="1"/>
    <col min="19" max="19" width="9.7109375" style="1" bestFit="1" customWidth="1"/>
    <col min="20" max="20" width="10.85546875" style="1" customWidth="1"/>
    <col min="21" max="21" width="9.140625" style="1"/>
    <col min="22" max="22" width="17" style="1" customWidth="1"/>
    <col min="23" max="23" width="9.140625" style="1"/>
    <col min="24" max="24" width="16.85546875" style="1" customWidth="1"/>
    <col min="25" max="25" width="9.140625" style="1"/>
    <col min="26" max="26" width="15.7109375" style="1" customWidth="1"/>
    <col min="27" max="16384" width="9.140625" style="1"/>
  </cols>
  <sheetData>
    <row r="1" spans="1:31">
      <c r="A1" s="9" t="s">
        <v>42</v>
      </c>
    </row>
    <row r="2" spans="1:31">
      <c r="A2" s="9" t="s">
        <v>43</v>
      </c>
    </row>
    <row r="7" spans="1:31">
      <c r="K7" s="2"/>
    </row>
    <row r="8" spans="1:31" ht="27.75" customHeight="1" thickBot="1">
      <c r="B8" s="3" t="s">
        <v>1</v>
      </c>
      <c r="C8" s="50" t="s">
        <v>29</v>
      </c>
      <c r="D8" s="51"/>
      <c r="E8" s="51"/>
    </row>
    <row r="9" spans="1:31" ht="39" customHeight="1">
      <c r="A9" s="4"/>
      <c r="B9" s="5" t="s">
        <v>17</v>
      </c>
      <c r="C9" s="6" t="s">
        <v>30</v>
      </c>
      <c r="D9" s="7" t="s">
        <v>31</v>
      </c>
      <c r="E9" s="6" t="s">
        <v>32</v>
      </c>
      <c r="F9" s="8" t="s">
        <v>33</v>
      </c>
      <c r="G9" s="9" t="s">
        <v>34</v>
      </c>
      <c r="I9" s="10" t="s">
        <v>35</v>
      </c>
      <c r="J9" s="11"/>
      <c r="L9" s="9" t="s">
        <v>33</v>
      </c>
      <c r="N9" s="12" t="s">
        <v>36</v>
      </c>
      <c r="O9" s="9" t="s">
        <v>34</v>
      </c>
      <c r="Q9" s="13" t="s">
        <v>41</v>
      </c>
      <c r="S9" s="9" t="s">
        <v>35</v>
      </c>
      <c r="T9" s="9"/>
      <c r="V9" s="13" t="s">
        <v>40</v>
      </c>
      <c r="X9" s="13" t="s">
        <v>38</v>
      </c>
      <c r="Z9" s="13" t="s">
        <v>39</v>
      </c>
    </row>
    <row r="10" spans="1:31">
      <c r="A10" s="4"/>
      <c r="B10" s="5" t="s">
        <v>23</v>
      </c>
      <c r="C10" s="12"/>
      <c r="I10" s="14"/>
      <c r="J10" s="15"/>
    </row>
    <row r="11" spans="1:31">
      <c r="A11" s="4"/>
      <c r="B11" s="5" t="s">
        <v>28</v>
      </c>
      <c r="C11" s="16" t="s">
        <v>28</v>
      </c>
      <c r="D11" s="17" t="s">
        <v>28</v>
      </c>
      <c r="E11" s="17" t="s">
        <v>28</v>
      </c>
      <c r="F11" s="17" t="s">
        <v>28</v>
      </c>
      <c r="G11" s="17" t="s">
        <v>28</v>
      </c>
      <c r="I11" s="14"/>
      <c r="J11" s="15"/>
      <c r="O11" s="17" t="s">
        <v>37</v>
      </c>
    </row>
    <row r="12" spans="1:31">
      <c r="A12" s="18">
        <v>2005</v>
      </c>
      <c r="B12" s="19">
        <f>'MW Summer Impact NEPACT'!H17</f>
        <v>25.915336916774322</v>
      </c>
      <c r="C12" s="1">
        <v>0</v>
      </c>
      <c r="D12" s="1">
        <v>0</v>
      </c>
      <c r="E12" s="1">
        <v>0</v>
      </c>
      <c r="F12" s="2">
        <f>SUM(B12:E12)</f>
        <v>25.915336916774322</v>
      </c>
      <c r="I12" s="14"/>
      <c r="J12" s="15"/>
      <c r="N12" s="20">
        <v>4321896</v>
      </c>
      <c r="V12" s="21">
        <f>(Summer_Peak!F12+Summer_Peak!I12+Summer_Peak!J12)/Summer_Peak!N12</f>
        <v>5.9962888780235164E-6</v>
      </c>
      <c r="X12" s="22">
        <f>(Summer_Peak!G12+Summer_Peak!I12)/Summer_Peak!N12</f>
        <v>0</v>
      </c>
      <c r="Z12" s="23">
        <f t="shared" ref="Z12:Z17" si="0">X12</f>
        <v>0</v>
      </c>
    </row>
    <row r="13" spans="1:31">
      <c r="A13" s="18">
        <v>2006</v>
      </c>
      <c r="B13" s="19">
        <f>'MW Summer Impact NEPACT'!H18</f>
        <v>185.08317580746737</v>
      </c>
      <c r="C13" s="1">
        <v>0</v>
      </c>
      <c r="D13" s="1">
        <v>0</v>
      </c>
      <c r="E13" s="1">
        <v>0</v>
      </c>
      <c r="F13" s="2">
        <f t="shared" ref="F13:F29" si="1">SUM(B13:E13)</f>
        <v>185.08317580746737</v>
      </c>
      <c r="I13" s="14"/>
      <c r="J13" s="15"/>
      <c r="N13" s="20">
        <v>4409563</v>
      </c>
      <c r="V13" s="21">
        <f>(Summer_Peak!F13+Summer_Peak!I13+Summer_Peak!J13)/Summer_Peak!N13</f>
        <v>4.1973133348467271E-5</v>
      </c>
      <c r="X13" s="22">
        <f>(Summer_Peak!G13+Summer_Peak!I13)/Summer_Peak!N13</f>
        <v>0</v>
      </c>
      <c r="Z13" s="23">
        <f t="shared" si="0"/>
        <v>0</v>
      </c>
    </row>
    <row r="14" spans="1:31">
      <c r="A14" s="18">
        <v>2007</v>
      </c>
      <c r="B14" s="19">
        <f>'MW Summer Impact NEPACT'!H19</f>
        <v>366.59530057954299</v>
      </c>
      <c r="C14" s="1">
        <v>0</v>
      </c>
      <c r="D14" s="1">
        <v>0</v>
      </c>
      <c r="E14" s="1">
        <v>0</v>
      </c>
      <c r="F14" s="2">
        <f t="shared" si="1"/>
        <v>366.59530057954299</v>
      </c>
      <c r="I14" s="14"/>
      <c r="J14" s="15"/>
      <c r="N14" s="20">
        <v>4496589.333333333</v>
      </c>
      <c r="V14" s="21">
        <f>(Summer_Peak!F14+Summer_Peak!I14+Summer_Peak!J14)/Summer_Peak!N14</f>
        <v>8.1527414091823447E-5</v>
      </c>
      <c r="X14" s="22">
        <f>(Summer_Peak!G14+Summer_Peak!I14)/Summer_Peak!N14</f>
        <v>0</v>
      </c>
      <c r="Z14" s="23">
        <f t="shared" si="0"/>
        <v>0</v>
      </c>
    </row>
    <row r="15" spans="1:31">
      <c r="A15" s="18">
        <v>2008</v>
      </c>
      <c r="B15" s="19">
        <f>'MW Summer Impact NEPACT'!H20</f>
        <v>516.92317496124281</v>
      </c>
      <c r="C15" s="2">
        <v>0</v>
      </c>
      <c r="D15" s="2">
        <v>0</v>
      </c>
      <c r="E15" s="2">
        <v>0</v>
      </c>
      <c r="F15" s="2">
        <f t="shared" si="1"/>
        <v>516.92317496124281</v>
      </c>
      <c r="G15" s="2">
        <f>F15-F$14</f>
        <v>150.32787438169981</v>
      </c>
      <c r="I15" s="24">
        <v>187.10078774305657</v>
      </c>
      <c r="J15" s="25">
        <v>0</v>
      </c>
      <c r="L15" s="2">
        <f>G15+I15+J15</f>
        <v>337.42866212475639</v>
      </c>
      <c r="M15" s="26"/>
      <c r="N15" s="20">
        <v>4555880.8888333328</v>
      </c>
      <c r="O15" s="27">
        <f t="shared" ref="O15:O27" si="2">G15/N15</f>
        <v>3.299644526487954E-5</v>
      </c>
      <c r="Q15" s="27">
        <f>L15/N15</f>
        <v>7.4064417037725697E-5</v>
      </c>
      <c r="S15" s="28">
        <f>Summer_Peak!I15/Summer_Peak!N15</f>
        <v>4.1067971772846157E-5</v>
      </c>
      <c r="T15" s="29">
        <f>Summer_Peak!J15/Summer_Peak!N15</f>
        <v>0</v>
      </c>
      <c r="V15" s="21">
        <f>(Summer_Peak!F15+Summer_Peak!I15+Summer_Peak!J15)/Summer_Peak!N15</f>
        <v>1.5453080971232006E-4</v>
      </c>
      <c r="X15" s="22">
        <f>(Summer_Peak!G15+Summer_Peak!I15)/Summer_Peak!N15</f>
        <v>7.4064417037725697E-5</v>
      </c>
      <c r="Z15" s="23">
        <f t="shared" si="0"/>
        <v>7.4064417037725697E-5</v>
      </c>
      <c r="AB15" s="2">
        <v>4512523.8130472703</v>
      </c>
      <c r="AC15" s="1">
        <f>AB15*V15</f>
        <v>697.32395867632067</v>
      </c>
      <c r="AD15" s="2">
        <v>607.81415295803379</v>
      </c>
      <c r="AE15" s="2">
        <v>607.81415295803379</v>
      </c>
    </row>
    <row r="16" spans="1:31">
      <c r="A16" s="18">
        <v>2009</v>
      </c>
      <c r="B16" s="19">
        <f>'MW Summer Impact NEPACT'!H21</f>
        <v>680.03430140325338</v>
      </c>
      <c r="C16" s="2">
        <v>0</v>
      </c>
      <c r="D16" s="2">
        <v>5.378916133590832</v>
      </c>
      <c r="E16" s="2">
        <v>0</v>
      </c>
      <c r="F16" s="2">
        <f t="shared" si="1"/>
        <v>685.41321753684417</v>
      </c>
      <c r="G16" s="2">
        <f t="shared" ref="G16:G29" si="3">F16-F$14</f>
        <v>318.81791695730118</v>
      </c>
      <c r="I16" s="24">
        <v>231.95814871307599</v>
      </c>
      <c r="J16" s="25">
        <v>0</v>
      </c>
      <c r="L16" s="2">
        <f t="shared" ref="L16:L29" si="4">G16+I16+J16</f>
        <v>550.77606567037719</v>
      </c>
      <c r="N16" s="20">
        <v>4628743.5211666664</v>
      </c>
      <c r="O16" s="27">
        <f t="shared" si="2"/>
        <v>6.8877853244489926E-5</v>
      </c>
      <c r="Q16" s="27">
        <f t="shared" ref="Q16:Q27" si="5">L16/N16</f>
        <v>1.1899040488023304E-4</v>
      </c>
      <c r="S16" s="28">
        <f>Summer_Peak!I16/Summer_Peak!N16</f>
        <v>5.0112551635743118E-5</v>
      </c>
      <c r="T16" s="29">
        <f>Summer_Peak!J16/Summer_Peak!N16</f>
        <v>0</v>
      </c>
      <c r="V16" s="21">
        <f>(Summer_Peak!F16+Summer_Peak!I16+Summer_Peak!J16)/Summer_Peak!N16</f>
        <v>1.9819014859105832E-4</v>
      </c>
      <c r="X16" s="22">
        <f>(Summer_Peak!G16+Summer_Peak!I16)/Summer_Peak!N16</f>
        <v>1.1899040488023304E-4</v>
      </c>
      <c r="Z16" s="23">
        <f t="shared" si="0"/>
        <v>1.1899040488023304E-4</v>
      </c>
      <c r="AB16" s="2">
        <v>4532533.8143864786</v>
      </c>
      <c r="AC16" s="1">
        <f t="shared" ref="AC16:AC22" si="6">AB16*V16</f>
        <v>898.30355016725252</v>
      </c>
      <c r="AD16" s="2">
        <v>762.35665924345233</v>
      </c>
      <c r="AE16" s="2">
        <v>762.35665924345233</v>
      </c>
    </row>
    <row r="17" spans="1:31">
      <c r="A17" s="18">
        <v>2010</v>
      </c>
      <c r="B17" s="19">
        <f>'MW Summer Impact NEPACT'!H22</f>
        <v>851.79709215988589</v>
      </c>
      <c r="C17" s="2">
        <v>0.24671220131936877</v>
      </c>
      <c r="D17" s="2">
        <v>10.774117223378257</v>
      </c>
      <c r="E17" s="2">
        <v>0</v>
      </c>
      <c r="F17" s="2">
        <f t="shared" si="1"/>
        <v>862.81792158458359</v>
      </c>
      <c r="G17" s="2">
        <f t="shared" si="3"/>
        <v>496.22262100504059</v>
      </c>
      <c r="I17" s="24">
        <v>275.00867605334059</v>
      </c>
      <c r="J17" s="25">
        <v>0</v>
      </c>
      <c r="L17" s="2">
        <f t="shared" si="4"/>
        <v>771.23129705838119</v>
      </c>
      <c r="N17" s="20">
        <v>4708602.5844166661</v>
      </c>
      <c r="O17" s="27">
        <f t="shared" si="2"/>
        <v>1.0538638844724587E-4</v>
      </c>
      <c r="Q17" s="27">
        <f t="shared" si="5"/>
        <v>1.637919708090902E-4</v>
      </c>
      <c r="S17" s="28">
        <f>Summer_Peak!I17/Summer_Peak!N17</f>
        <v>5.8405582361844316E-5</v>
      </c>
      <c r="T17" s="29">
        <f>Summer_Peak!J17/Summer_Peak!N17</f>
        <v>0</v>
      </c>
      <c r="V17" s="21">
        <f>(Summer_Peak!F17+Summer_Peak!I17+Summer_Peak!J17)/Summer_Peak!N17</f>
        <v>2.4164846729762517E-4</v>
      </c>
      <c r="X17" s="22">
        <f>(Summer_Peak!G17+Summer_Peak!I17)/Summer_Peak!N17</f>
        <v>1.637919708090902E-4</v>
      </c>
      <c r="Z17" s="23">
        <f t="shared" si="0"/>
        <v>1.637919708090902E-4</v>
      </c>
      <c r="AB17" s="2">
        <v>4585695.8271823497</v>
      </c>
      <c r="AC17" s="1">
        <f t="shared" si="6"/>
        <v>1108.1263681317303</v>
      </c>
      <c r="AD17" s="2">
        <v>907.62843501725706</v>
      </c>
      <c r="AE17" s="2">
        <v>907.62843501725706</v>
      </c>
    </row>
    <row r="18" spans="1:31">
      <c r="A18" s="18">
        <v>2011</v>
      </c>
      <c r="B18" s="19">
        <f>'MW Summer Impact NEPACT'!H23</f>
        <v>1039.5125854839803</v>
      </c>
      <c r="C18" s="2">
        <v>0.49714597669621696</v>
      </c>
      <c r="D18" s="2">
        <v>16.238619614260664</v>
      </c>
      <c r="E18" s="2">
        <v>0</v>
      </c>
      <c r="F18" s="2">
        <f t="shared" si="1"/>
        <v>1056.2483510749371</v>
      </c>
      <c r="G18" s="2">
        <f t="shared" si="3"/>
        <v>689.65305049539415</v>
      </c>
      <c r="I18" s="24">
        <v>314.67353146363763</v>
      </c>
      <c r="J18" s="25">
        <v>0</v>
      </c>
      <c r="L18" s="2">
        <f t="shared" si="4"/>
        <v>1004.3265819590317</v>
      </c>
      <c r="N18" s="20">
        <v>4796344.0369166667</v>
      </c>
      <c r="O18" s="27">
        <f t="shared" si="2"/>
        <v>1.4378723569186212E-4</v>
      </c>
      <c r="Q18" s="27">
        <f t="shared" si="5"/>
        <v>2.0939419154024317E-4</v>
      </c>
      <c r="S18" s="28">
        <f>Summer_Peak!I18/Summer_Peak!N18</f>
        <v>6.5606955848381086E-5</v>
      </c>
      <c r="T18" s="29">
        <f>Summer_Peak!J18/Summer_Peak!N18</f>
        <v>0</v>
      </c>
      <c r="V18" s="21">
        <f>(Summer_Peak!F18+Summer_Peak!I18+Summer_Peak!J18)/Summer_Peak!N18</f>
        <v>2.8582642779308902E-4</v>
      </c>
      <c r="X18" s="22">
        <f>(Summer_Peak!G18+Summer_Peak!I18)/Summer_Peak!N18</f>
        <v>2.0939419154024317E-4</v>
      </c>
      <c r="Z18" s="23">
        <f>X18+0.25*T18</f>
        <v>2.0939419154024317E-4</v>
      </c>
      <c r="AB18" s="2">
        <v>4654007.9429121343</v>
      </c>
      <c r="AC18" s="1">
        <f t="shared" si="6"/>
        <v>1330.2384652432379</v>
      </c>
      <c r="AD18" s="2">
        <v>1066.3278824467179</v>
      </c>
      <c r="AE18" s="2">
        <v>1066.3278824467179</v>
      </c>
    </row>
    <row r="19" spans="1:31">
      <c r="A19" s="18">
        <v>2012</v>
      </c>
      <c r="B19" s="19">
        <f>'MW Summer Impact NEPACT'!H24</f>
        <v>1225.5447735030978</v>
      </c>
      <c r="C19" s="2">
        <v>0.74556146114224475</v>
      </c>
      <c r="D19" s="2">
        <v>21.665538395268985</v>
      </c>
      <c r="E19" s="2">
        <v>0</v>
      </c>
      <c r="F19" s="2">
        <f t="shared" si="1"/>
        <v>1247.955873359509</v>
      </c>
      <c r="G19" s="2">
        <f t="shared" si="3"/>
        <v>881.36057277996611</v>
      </c>
      <c r="I19" s="24">
        <v>351.48271245170042</v>
      </c>
      <c r="J19" s="25">
        <v>0</v>
      </c>
      <c r="L19" s="2">
        <f t="shared" si="4"/>
        <v>1232.8432852316664</v>
      </c>
      <c r="N19" s="20">
        <v>4880891.3372499999</v>
      </c>
      <c r="O19" s="27">
        <f t="shared" si="2"/>
        <v>1.8057369277074375E-4</v>
      </c>
      <c r="Q19" s="27">
        <f t="shared" si="5"/>
        <v>2.5258568569696475E-4</v>
      </c>
      <c r="S19" s="28">
        <f>Summer_Peak!I19/Summer_Peak!N19</f>
        <v>7.201199292622102E-5</v>
      </c>
      <c r="T19" s="29">
        <f>Summer_Peak!J19/Summer_Peak!N19</f>
        <v>0</v>
      </c>
      <c r="V19" s="21">
        <f>(Summer_Peak!F19+Summer_Peak!I19+Summer_Peak!J19)/Summer_Peak!N19</f>
        <v>3.2769395491446607E-4</v>
      </c>
      <c r="X19" s="22">
        <f>(Summer_Peak!G19+Summer_Peak!I19)/Summer_Peak!N19</f>
        <v>2.5258568569696475E-4</v>
      </c>
      <c r="Z19" s="23">
        <f>X19+0.5*T19</f>
        <v>2.5258568569696475E-4</v>
      </c>
      <c r="AB19" s="2">
        <v>4727001.3836900899</v>
      </c>
      <c r="AC19" s="1">
        <f t="shared" si="6"/>
        <v>1549.0097783075591</v>
      </c>
      <c r="AD19" s="2">
        <v>1220.4666017739719</v>
      </c>
      <c r="AE19" s="2">
        <v>1220.4666017739719</v>
      </c>
    </row>
    <row r="20" spans="1:31">
      <c r="A20" s="18">
        <v>2013</v>
      </c>
      <c r="B20" s="19">
        <f>'MW Summer Impact NEPACT'!H25</f>
        <v>1408.6484380212257</v>
      </c>
      <c r="C20" s="2">
        <v>0.98970428615848505</v>
      </c>
      <c r="D20" s="2">
        <v>27.012893837472884</v>
      </c>
      <c r="E20" s="2">
        <v>49.700200898385958</v>
      </c>
      <c r="F20" s="2">
        <f t="shared" si="1"/>
        <v>1486.3512370432429</v>
      </c>
      <c r="G20" s="2">
        <f t="shared" si="3"/>
        <v>1119.7559364637</v>
      </c>
      <c r="I20" s="24">
        <v>384.9376190874662</v>
      </c>
      <c r="J20" s="25">
        <v>0</v>
      </c>
      <c r="L20" s="2">
        <f t="shared" si="4"/>
        <v>1504.6935555511661</v>
      </c>
      <c r="N20" s="20">
        <v>4960871.0354166664</v>
      </c>
      <c r="O20" s="27">
        <f t="shared" si="2"/>
        <v>2.2571760653916113E-4</v>
      </c>
      <c r="Q20" s="27">
        <f t="shared" si="5"/>
        <v>3.0331237091406994E-4</v>
      </c>
      <c r="S20" s="28">
        <f>Summer_Peak!I20/Summer_Peak!N20</f>
        <v>7.759476437490883E-5</v>
      </c>
      <c r="T20" s="29">
        <f>Summer_Peak!J20/Summer_Peak!N20</f>
        <v>0</v>
      </c>
      <c r="V20" s="21">
        <f>(Summer_Peak!F20+Summer_Peak!I20+Summer_Peak!J20)/Summer_Peak!N20</f>
        <v>3.7720973651022123E-4</v>
      </c>
      <c r="X20" s="22">
        <f>(Summer_Peak!G20+Summer_Peak!I20)/Summer_Peak!N20</f>
        <v>3.0331237091406994E-4</v>
      </c>
      <c r="Z20" s="23">
        <f>X20+0.75*T20</f>
        <v>3.0331237091406994E-4</v>
      </c>
      <c r="AB20" s="2">
        <v>4799093.7610500334</v>
      </c>
      <c r="AC20" s="1">
        <f t="shared" si="6"/>
        <v>1810.2648930935297</v>
      </c>
      <c r="AD20" s="2">
        <v>1415.9720099201472</v>
      </c>
      <c r="AE20" s="2">
        <v>1415.9720099201472</v>
      </c>
    </row>
    <row r="21" spans="1:31">
      <c r="A21" s="18">
        <v>2014</v>
      </c>
      <c r="B21" s="19">
        <f>'MW Summer Impact NEPACT'!H26</f>
        <v>1591.7682082249312</v>
      </c>
      <c r="C21" s="2">
        <v>1.2346416279926871</v>
      </c>
      <c r="D21" s="2">
        <v>32.375044376691193</v>
      </c>
      <c r="E21" s="2">
        <v>109.64838698951418</v>
      </c>
      <c r="F21" s="2">
        <f t="shared" si="1"/>
        <v>1735.0262812191293</v>
      </c>
      <c r="G21" s="2">
        <f t="shared" si="3"/>
        <v>1368.4309806395863</v>
      </c>
      <c r="I21" s="24">
        <v>415.01127601288192</v>
      </c>
      <c r="J21" s="25">
        <v>0</v>
      </c>
      <c r="L21" s="2">
        <f t="shared" si="4"/>
        <v>1783.4422566524681</v>
      </c>
      <c r="N21" s="20">
        <v>5039871.0073333336</v>
      </c>
      <c r="O21" s="27">
        <f t="shared" si="2"/>
        <v>2.7152103271064516E-4</v>
      </c>
      <c r="Q21" s="27">
        <f t="shared" si="5"/>
        <v>3.5386664739185702E-4</v>
      </c>
      <c r="S21" s="28">
        <f>Summer_Peak!I21/Summer_Peak!N21</f>
        <v>8.2345614681211894E-5</v>
      </c>
      <c r="T21" s="29">
        <f>Summer_Peak!J21/Summer_Peak!N21</f>
        <v>0</v>
      </c>
      <c r="V21" s="21">
        <f>(Summer_Peak!F21+Summer_Peak!I21+Summer_Peak!J21)/Summer_Peak!N21</f>
        <v>4.2660567187207164E-4</v>
      </c>
      <c r="X21" s="22">
        <f>(Summer_Peak!G21+Summer_Peak!I21)/Summer_Peak!N21</f>
        <v>3.5386664739185702E-4</v>
      </c>
      <c r="Z21" s="23">
        <f t="shared" ref="Z21:Z29" si="7">X21+T21</f>
        <v>3.5386664739185702E-4</v>
      </c>
      <c r="AB21" s="2">
        <v>4870025.934646924</v>
      </c>
      <c r="AC21" s="1">
        <f t="shared" si="6"/>
        <v>2077.5806858844649</v>
      </c>
      <c r="AD21" s="2">
        <v>1616.6551273511602</v>
      </c>
      <c r="AE21" s="2">
        <v>1616.6551273511602</v>
      </c>
    </row>
    <row r="22" spans="1:31">
      <c r="A22" s="30">
        <f>A21+1</f>
        <v>2015</v>
      </c>
      <c r="B22" s="19">
        <f>B21</f>
        <v>1591.7682082249312</v>
      </c>
      <c r="C22" s="2">
        <v>1.4801123798555551</v>
      </c>
      <c r="D22" s="2">
        <v>37.747127812160763</v>
      </c>
      <c r="E22" s="2">
        <v>180.18060301139406</v>
      </c>
      <c r="F22" s="2">
        <f t="shared" si="1"/>
        <v>1811.1760514283415</v>
      </c>
      <c r="G22" s="2">
        <f t="shared" si="3"/>
        <v>1444.5807508487985</v>
      </c>
      <c r="I22" s="24">
        <v>442.2997738957024</v>
      </c>
      <c r="J22" s="25">
        <v>0</v>
      </c>
      <c r="L22" s="2">
        <f t="shared" si="4"/>
        <v>1886.8805247445009</v>
      </c>
      <c r="N22" s="20">
        <v>5119700.0291666659</v>
      </c>
      <c r="O22" s="27">
        <f t="shared" si="2"/>
        <v>2.8216120917614251E-4</v>
      </c>
      <c r="Q22" s="27">
        <f t="shared" si="5"/>
        <v>3.6855294528879431E-4</v>
      </c>
      <c r="S22" s="28">
        <f>Summer_Peak!I22/Summer_Peak!N22</f>
        <v>8.6391736112651811E-5</v>
      </c>
      <c r="T22" s="29">
        <f>Summer_Peak!J22/Summer_Peak!N22</f>
        <v>0</v>
      </c>
      <c r="V22" s="21">
        <f>(Summer_Peak!F22+Summer_Peak!I22+Summer_Peak!J22)/Summer_Peak!N22</f>
        <v>4.4015778512141509E-4</v>
      </c>
      <c r="X22" s="22">
        <f>(Summer_Peak!G22+Summer_Peak!I22)/Summer_Peak!N22</f>
        <v>3.6855294528879431E-4</v>
      </c>
      <c r="Z22" s="23">
        <f t="shared" si="7"/>
        <v>3.6855294528879431E-4</v>
      </c>
      <c r="AB22" s="2">
        <v>4940374.9794124588</v>
      </c>
      <c r="AC22" s="1">
        <f t="shared" si="6"/>
        <v>2174.5445086074446</v>
      </c>
      <c r="AD22" s="2">
        <v>1679.2940284612432</v>
      </c>
      <c r="AE22" s="2">
        <v>1679.2940284612432</v>
      </c>
    </row>
    <row r="23" spans="1:31">
      <c r="A23" s="30">
        <f t="shared" ref="A23:A29" si="8">A22+1</f>
        <v>2016</v>
      </c>
      <c r="B23" s="19">
        <f t="shared" ref="B23:B29" si="9">B22</f>
        <v>1591.7682082249312</v>
      </c>
      <c r="C23" s="2">
        <v>1.7262326734006592</v>
      </c>
      <c r="D23" s="2">
        <v>43.131306689773687</v>
      </c>
      <c r="E23" s="2">
        <v>261.73198970322466</v>
      </c>
      <c r="F23" s="2">
        <f t="shared" si="1"/>
        <v>1898.3577372913303</v>
      </c>
      <c r="G23" s="2">
        <f t="shared" si="3"/>
        <v>1531.7624367117874</v>
      </c>
      <c r="I23" s="24">
        <v>467.00240108990249</v>
      </c>
      <c r="J23" s="25">
        <v>0</v>
      </c>
      <c r="L23" s="2">
        <f t="shared" si="4"/>
        <v>1998.7648378016897</v>
      </c>
      <c r="N23" s="20">
        <v>5200464.7484999998</v>
      </c>
      <c r="O23" s="27">
        <f t="shared" si="2"/>
        <v>2.9454337463850753E-4</v>
      </c>
      <c r="Q23" s="27">
        <f t="shared" si="5"/>
        <v>3.8434350283370446E-4</v>
      </c>
      <c r="S23" s="28">
        <f>Summer_Peak!I23/Summer_Peak!N23</f>
        <v>8.9800128195196917E-5</v>
      </c>
      <c r="T23" s="29">
        <f>Summer_Peak!J23/Summer_Peak!N23</f>
        <v>0</v>
      </c>
      <c r="V23" s="21">
        <f>(Summer_Peak!F23+Summer_Peak!I23+Summer_Peak!J23)/Summer_Peak!N23</f>
        <v>4.5483629882569387E-4</v>
      </c>
      <c r="X23" s="22">
        <f>(Summer_Peak!G23+Summer_Peak!I23)/Summer_Peak!N23</f>
        <v>3.8434350283370446E-4</v>
      </c>
      <c r="Z23" s="23">
        <f t="shared" si="7"/>
        <v>3.8434350283370446E-4</v>
      </c>
      <c r="AB23" s="2">
        <v>5009974.1227522241</v>
      </c>
      <c r="AC23" s="1">
        <f>AB23*V23</f>
        <v>2278.718087205124</v>
      </c>
      <c r="AD23" s="2">
        <v>1771.094787166784</v>
      </c>
      <c r="AE23" s="2">
        <v>1771.094787166784</v>
      </c>
    </row>
    <row r="24" spans="1:31">
      <c r="A24" s="30">
        <f t="shared" si="8"/>
        <v>2017</v>
      </c>
      <c r="B24" s="19">
        <f t="shared" si="9"/>
        <v>1591.7682082249312</v>
      </c>
      <c r="C24" s="2">
        <v>1.972663194551231</v>
      </c>
      <c r="D24" s="2">
        <v>48.521262471557208</v>
      </c>
      <c r="E24" s="2">
        <v>335.84887443449344</v>
      </c>
      <c r="F24" s="2">
        <f t="shared" si="1"/>
        <v>1978.111008325533</v>
      </c>
      <c r="G24" s="2">
        <f t="shared" si="3"/>
        <v>1611.5157077459901</v>
      </c>
      <c r="I24" s="24">
        <v>489.24251351556597</v>
      </c>
      <c r="J24" s="25">
        <v>0</v>
      </c>
      <c r="K24" s="26"/>
      <c r="L24" s="2">
        <f t="shared" si="4"/>
        <v>2100.7582212615562</v>
      </c>
      <c r="N24" s="20">
        <v>5282082.3254166665</v>
      </c>
      <c r="O24" s="27">
        <f t="shared" si="2"/>
        <v>3.0509098655876572E-4</v>
      </c>
      <c r="Q24" s="27">
        <f t="shared" si="5"/>
        <v>3.9771402485587769E-4</v>
      </c>
      <c r="S24" s="28">
        <f>Summer_Peak!I24/Summer_Peak!N24</f>
        <v>9.2623038297111939E-5</v>
      </c>
      <c r="T24" s="29">
        <f>Summer_Peak!J24/Summer_Peak!N24</f>
        <v>0</v>
      </c>
      <c r="V24" s="21">
        <f>(Summer_Peak!F24+Summer_Peak!I24+Summer_Peak!J24)/Summer_Peak!N24</f>
        <v>4.6711758163414592E-4</v>
      </c>
      <c r="X24" s="22">
        <f>(Summer_Peak!G24+Summer_Peak!I24)/Summer_Peak!N24</f>
        <v>3.9771402485587769E-4</v>
      </c>
      <c r="Z24" s="23">
        <f t="shared" si="7"/>
        <v>3.9771402485587769E-4</v>
      </c>
      <c r="AB24" s="2">
        <v>5079161.8012798168</v>
      </c>
      <c r="AC24" s="1">
        <f t="shared" ref="AC24:AC29" si="10">AB24*V24</f>
        <v>2372.5657773423604</v>
      </c>
      <c r="AD24" s="2">
        <v>1852.4562433704994</v>
      </c>
      <c r="AE24" s="2">
        <v>1852.4562433704994</v>
      </c>
    </row>
    <row r="25" spans="1:31">
      <c r="A25" s="30">
        <f t="shared" si="8"/>
        <v>2018</v>
      </c>
      <c r="B25" s="19">
        <f t="shared" si="9"/>
        <v>1591.7682082249312</v>
      </c>
      <c r="C25" s="2">
        <v>2.2204147238222021</v>
      </c>
      <c r="D25" s="2">
        <v>53.935817409527623</v>
      </c>
      <c r="E25" s="2">
        <v>389.17368245857205</v>
      </c>
      <c r="F25" s="2">
        <f t="shared" si="1"/>
        <v>2037.098122816853</v>
      </c>
      <c r="G25" s="2">
        <f t="shared" si="3"/>
        <v>1670.5028222373101</v>
      </c>
      <c r="I25" s="24">
        <v>509.07266106968405</v>
      </c>
      <c r="J25" s="25">
        <v>0</v>
      </c>
      <c r="L25" s="2">
        <f t="shared" si="4"/>
        <v>2179.5754833069941</v>
      </c>
      <c r="N25" s="20">
        <v>5365919.7783333333</v>
      </c>
      <c r="O25" s="27">
        <f t="shared" si="2"/>
        <v>3.1131714435659566E-4</v>
      </c>
      <c r="Q25" s="27">
        <f t="shared" si="5"/>
        <v>4.0618860760977964E-4</v>
      </c>
      <c r="S25" s="28">
        <f>Summer_Peak!I25/Summer_Peak!N25</f>
        <v>9.4871463253184003E-5</v>
      </c>
      <c r="T25" s="29">
        <f>Summer_Peak!J25/Summer_Peak!N25</f>
        <v>0</v>
      </c>
      <c r="V25" s="21">
        <f>(Summer_Peak!F25+Summer_Peak!I25+Summer_Peak!J25)/Summer_Peak!N25</f>
        <v>4.7450779904827111E-4</v>
      </c>
      <c r="X25" s="22">
        <f>(Summer_Peak!G25+Summer_Peak!I25)/Summer_Peak!N25</f>
        <v>4.0618860760977964E-4</v>
      </c>
      <c r="Z25" s="23">
        <f t="shared" si="7"/>
        <v>4.0618860760977964E-4</v>
      </c>
      <c r="AB25" s="2">
        <v>5147633.5145382583</v>
      </c>
      <c r="AC25" s="1">
        <f t="shared" si="10"/>
        <v>2442.5922492906657</v>
      </c>
      <c r="AD25" s="2">
        <v>1909.9192152364678</v>
      </c>
      <c r="AE25" s="2">
        <v>1909.9192152364678</v>
      </c>
    </row>
    <row r="26" spans="1:31">
      <c r="A26" s="30">
        <f t="shared" si="8"/>
        <v>2019</v>
      </c>
      <c r="B26" s="19">
        <f t="shared" si="9"/>
        <v>1591.7682082249312</v>
      </c>
      <c r="C26" s="2">
        <v>2.4679974130779669</v>
      </c>
      <c r="D26" s="2">
        <v>59.347228292711101</v>
      </c>
      <c r="E26" s="2">
        <v>444.23334199598531</v>
      </c>
      <c r="F26" s="2">
        <f t="shared" si="1"/>
        <v>2097.8167759267058</v>
      </c>
      <c r="G26" s="2">
        <f t="shared" si="3"/>
        <v>1731.2214753471628</v>
      </c>
      <c r="I26" s="24">
        <v>526.67616124054643</v>
      </c>
      <c r="J26" s="25">
        <v>0</v>
      </c>
      <c r="L26" s="2">
        <f t="shared" si="4"/>
        <v>2257.8976365877093</v>
      </c>
      <c r="N26" s="20">
        <v>5448179.3467499996</v>
      </c>
      <c r="O26" s="27">
        <f t="shared" si="2"/>
        <v>3.1776146950446624E-4</v>
      </c>
      <c r="Q26" s="27">
        <f t="shared" si="5"/>
        <v>4.1443159134153909E-4</v>
      </c>
      <c r="S26" s="28">
        <f>Summer_Peak!I26/Summer_Peak!N26</f>
        <v>9.6670121837072855E-5</v>
      </c>
      <c r="T26" s="29">
        <f>Summer_Peak!J26/Summer_Peak!N26</f>
        <v>0</v>
      </c>
      <c r="V26" s="21">
        <f>(Summer_Peak!F26+Summer_Peak!I26+Summer_Peak!J26)/Summer_Peak!N26</f>
        <v>4.817192625519643E-4</v>
      </c>
      <c r="X26" s="22">
        <f>(Summer_Peak!G26+Summer_Peak!I26)/Summer_Peak!N26</f>
        <v>4.1443159134153909E-4</v>
      </c>
      <c r="Z26" s="23">
        <f t="shared" si="7"/>
        <v>4.1443159134153909E-4</v>
      </c>
      <c r="AB26" s="2">
        <v>5216630.5503008198</v>
      </c>
      <c r="AC26" s="1">
        <f t="shared" si="10"/>
        <v>2512.9514216969587</v>
      </c>
      <c r="AD26" s="2">
        <v>1967.5283673172437</v>
      </c>
      <c r="AE26" s="2">
        <v>1967.5283673172437</v>
      </c>
    </row>
    <row r="27" spans="1:31">
      <c r="A27" s="8">
        <f t="shared" si="8"/>
        <v>2020</v>
      </c>
      <c r="B27" s="31">
        <f t="shared" si="9"/>
        <v>1591.7682082249312</v>
      </c>
      <c r="C27" s="2">
        <v>2.7177706166251596</v>
      </c>
      <c r="D27" s="2">
        <v>64.799429843531001</v>
      </c>
      <c r="E27" s="2">
        <v>501.23760491865585</v>
      </c>
      <c r="F27" s="2">
        <f t="shared" si="1"/>
        <v>2160.523013603743</v>
      </c>
      <c r="G27" s="2">
        <f t="shared" si="3"/>
        <v>1793.9277130242001</v>
      </c>
      <c r="I27" s="24">
        <v>541.81182474808315</v>
      </c>
      <c r="J27" s="25">
        <v>0</v>
      </c>
      <c r="L27" s="2">
        <f t="shared" si="4"/>
        <v>2335.7395377722833</v>
      </c>
      <c r="N27" s="20">
        <v>5529010.4781666668</v>
      </c>
      <c r="O27" s="27">
        <f t="shared" si="2"/>
        <v>3.2445728220414558E-4</v>
      </c>
      <c r="Q27" s="27">
        <f t="shared" si="5"/>
        <v>4.2245163885939639E-4</v>
      </c>
      <c r="S27" s="28">
        <f>Summer_Peak!I27/Summer_Peak!N27</f>
        <v>9.7994356655250808E-5</v>
      </c>
      <c r="T27" s="29">
        <f>Summer_Peak!J27/Summer_Peak!N27</f>
        <v>0</v>
      </c>
      <c r="V27" s="21">
        <f>(Summer_Peak!F27+Summer_Peak!I27+Summer_Peak!J27)/Summer_Peak!N27</f>
        <v>4.8875560084810652E-4</v>
      </c>
      <c r="X27" s="22">
        <f>(Summer_Peak!G27+Summer_Peak!I27)/Summer_Peak!N27</f>
        <v>4.2245163885939639E-4</v>
      </c>
      <c r="Z27" s="23">
        <f t="shared" si="7"/>
        <v>4.2245163885939639E-4</v>
      </c>
      <c r="AB27" s="2">
        <v>5286577.6386289299</v>
      </c>
      <c r="AC27" s="1">
        <f t="shared" si="10"/>
        <v>2583.8444301982468</v>
      </c>
      <c r="AD27" s="2">
        <v>2025.4871308583133</v>
      </c>
      <c r="AE27" s="2">
        <v>2025.4871308583133</v>
      </c>
    </row>
    <row r="28" spans="1:31">
      <c r="A28" s="8">
        <f t="shared" si="8"/>
        <v>2021</v>
      </c>
      <c r="B28" s="31">
        <f t="shared" si="9"/>
        <v>1591.7682082249312</v>
      </c>
      <c r="C28" s="2">
        <f t="shared" ref="C28:E29" si="11">C27</f>
        <v>2.7177706166251596</v>
      </c>
      <c r="D28" s="2">
        <f t="shared" si="11"/>
        <v>64.799429843531001</v>
      </c>
      <c r="E28" s="2">
        <f t="shared" si="11"/>
        <v>501.23760491865585</v>
      </c>
      <c r="F28" s="2">
        <f t="shared" si="1"/>
        <v>2160.523013603743</v>
      </c>
      <c r="G28" s="2">
        <f t="shared" si="3"/>
        <v>1793.9277130242001</v>
      </c>
      <c r="I28" s="24">
        <f>I27</f>
        <v>541.81182474808315</v>
      </c>
      <c r="J28" s="25">
        <v>0</v>
      </c>
      <c r="L28" s="2">
        <f t="shared" si="4"/>
        <v>2335.7395377722833</v>
      </c>
      <c r="N28" s="20">
        <v>5603714.0134166665</v>
      </c>
      <c r="O28" s="27">
        <f>O27</f>
        <v>3.2445728220414558E-4</v>
      </c>
      <c r="Q28" s="27">
        <f>Q27</f>
        <v>4.2245163885939639E-4</v>
      </c>
      <c r="S28" s="28">
        <f>S27</f>
        <v>9.7994356655250808E-5</v>
      </c>
      <c r="T28" s="29">
        <f>T27</f>
        <v>0</v>
      </c>
      <c r="V28" s="21">
        <f>(Summer_Peak!F28+Summer_Peak!I28+Summer_Peak!J28)/Summer_Peak!N28</f>
        <v>4.8223996297487224E-4</v>
      </c>
      <c r="X28" s="22">
        <f>X27</f>
        <v>4.2245163885939639E-4</v>
      </c>
      <c r="Z28" s="23">
        <f t="shared" si="7"/>
        <v>4.2245163885939639E-4</v>
      </c>
      <c r="AB28" s="2">
        <v>5352553.8568120664</v>
      </c>
      <c r="AC28" s="1">
        <f t="shared" si="10"/>
        <v>2581.2153737300605</v>
      </c>
      <c r="AD28" s="2">
        <v>2023.4262018099641</v>
      </c>
      <c r="AE28" s="2">
        <v>2023.4262018099641</v>
      </c>
    </row>
    <row r="29" spans="1:31" ht="13.5" thickBot="1">
      <c r="A29" s="8">
        <f t="shared" si="8"/>
        <v>2022</v>
      </c>
      <c r="B29" s="31">
        <f t="shared" si="9"/>
        <v>1591.7682082249312</v>
      </c>
      <c r="C29" s="2">
        <f t="shared" si="11"/>
        <v>2.7177706166251596</v>
      </c>
      <c r="D29" s="2">
        <f t="shared" si="11"/>
        <v>64.799429843531001</v>
      </c>
      <c r="E29" s="2">
        <f t="shared" si="11"/>
        <v>501.23760491865585</v>
      </c>
      <c r="F29" s="2">
        <f t="shared" si="1"/>
        <v>2160.523013603743</v>
      </c>
      <c r="G29" s="2">
        <f t="shared" si="3"/>
        <v>1793.9277130242001</v>
      </c>
      <c r="I29" s="32">
        <f>I28</f>
        <v>541.81182474808315</v>
      </c>
      <c r="J29" s="25">
        <v>0</v>
      </c>
      <c r="L29" s="2">
        <f t="shared" si="4"/>
        <v>2335.7395377722833</v>
      </c>
      <c r="N29" s="20">
        <v>5674780.1015833328</v>
      </c>
      <c r="O29" s="27">
        <f>O28</f>
        <v>3.2445728220414558E-4</v>
      </c>
      <c r="Q29" s="27">
        <f>Q28</f>
        <v>4.2245163885939639E-4</v>
      </c>
      <c r="S29" s="28">
        <f>S28</f>
        <v>9.7994356655250808E-5</v>
      </c>
      <c r="T29" s="29">
        <f>T28</f>
        <v>0</v>
      </c>
      <c r="V29" s="21">
        <f>(Summer_Peak!F29+Summer_Peak!I29+Summer_Peak!J29)/Summer_Peak!N29</f>
        <v>4.7620080249415156E-4</v>
      </c>
      <c r="X29" s="22">
        <f>X28</f>
        <v>4.2245163885939639E-4</v>
      </c>
      <c r="Z29" s="23">
        <f t="shared" si="7"/>
        <v>4.2245163885939639E-4</v>
      </c>
      <c r="AB29" s="2">
        <v>5419375.3247752776</v>
      </c>
      <c r="AC29" s="1">
        <f t="shared" si="10"/>
        <v>2580.7108786749905</v>
      </c>
      <c r="AD29" s="2">
        <v>2023.0307258944317</v>
      </c>
      <c r="AE29" s="2">
        <v>2023.0307258944317</v>
      </c>
    </row>
    <row r="31" spans="1:31">
      <c r="F31" s="2"/>
      <c r="J31" s="2"/>
      <c r="K31" s="2"/>
    </row>
    <row r="32" spans="1:31">
      <c r="I32" s="2">
        <f>I29+F29</f>
        <v>2702.334838351826</v>
      </c>
      <c r="J32" s="2"/>
      <c r="K32" s="2"/>
    </row>
    <row r="33" spans="10:11">
      <c r="J33" s="2"/>
      <c r="K33" s="2"/>
    </row>
    <row r="34" spans="10:11">
      <c r="J34" s="2"/>
      <c r="K34" s="2"/>
    </row>
    <row r="35" spans="10:11">
      <c r="J35" s="2"/>
      <c r="K35" s="2"/>
    </row>
    <row r="36" spans="10:11">
      <c r="J36" s="2"/>
      <c r="K36" s="2"/>
    </row>
    <row r="37" spans="10:11">
      <c r="J37" s="2"/>
      <c r="K37" s="2"/>
    </row>
    <row r="38" spans="10:11">
      <c r="J38" s="2"/>
      <c r="K38" s="2"/>
    </row>
    <row r="39" spans="10:11">
      <c r="J39" s="2"/>
      <c r="K39" s="2"/>
    </row>
    <row r="40" spans="10:11">
      <c r="J40" s="2"/>
      <c r="K40" s="2"/>
    </row>
    <row r="41" spans="10:11">
      <c r="J41" s="2"/>
      <c r="K41" s="2"/>
    </row>
    <row r="42" spans="10:11">
      <c r="J42" s="2"/>
      <c r="K42" s="2"/>
    </row>
    <row r="43" spans="10:11">
      <c r="J43" s="2"/>
      <c r="K43" s="2"/>
    </row>
    <row r="44" spans="10:11">
      <c r="J44" s="2"/>
      <c r="K44" s="2"/>
    </row>
    <row r="45" spans="10:11">
      <c r="J45" s="2"/>
      <c r="K45" s="2"/>
    </row>
    <row r="46" spans="10:11">
      <c r="J46" s="2"/>
    </row>
  </sheetData>
  <mergeCells count="1">
    <mergeCell ref="C8:E8"/>
  </mergeCells>
  <phoneticPr fontId="8" type="noConversion"/>
  <pageMargins left="0.2" right="0.19" top="0.3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29"/>
  <sheetViews>
    <sheetView workbookViewId="0">
      <selection sqref="A1:A2"/>
    </sheetView>
  </sheetViews>
  <sheetFormatPr defaultRowHeight="12.75"/>
  <cols>
    <col min="1" max="1" width="14.140625" style="36" customWidth="1"/>
    <col min="2" max="8" width="42.42578125" style="36" customWidth="1"/>
    <col min="9" max="16384" width="9.140625" style="36"/>
  </cols>
  <sheetData>
    <row r="1" spans="1:8">
      <c r="A1" s="9" t="s">
        <v>44</v>
      </c>
    </row>
    <row r="2" spans="1:8">
      <c r="A2" s="9" t="s">
        <v>43</v>
      </c>
    </row>
    <row r="7" spans="1:8" s="34" customFormat="1" ht="15">
      <c r="A7" s="33" t="s">
        <v>0</v>
      </c>
      <c r="B7" s="33"/>
      <c r="C7" s="33"/>
      <c r="D7" s="33"/>
      <c r="E7" s="33"/>
      <c r="F7" s="33"/>
      <c r="G7" s="33"/>
      <c r="H7" s="33"/>
    </row>
    <row r="8" spans="1:8" s="34" customFormat="1" ht="15">
      <c r="A8" s="33" t="s">
        <v>1</v>
      </c>
      <c r="B8" s="33"/>
      <c r="C8" s="33"/>
      <c r="D8" s="33"/>
      <c r="E8" s="33"/>
      <c r="F8" s="33"/>
      <c r="G8" s="33"/>
      <c r="H8" s="33"/>
    </row>
    <row r="9" spans="1:8" s="34" customFormat="1" ht="15">
      <c r="A9" s="33" t="s">
        <v>2</v>
      </c>
      <c r="B9" s="33"/>
      <c r="C9" s="33"/>
      <c r="D9" s="33"/>
      <c r="E9" s="33"/>
      <c r="F9" s="33"/>
      <c r="G9" s="33"/>
      <c r="H9" s="33"/>
    </row>
    <row r="10" spans="1:8" s="34" customFormat="1" ht="15">
      <c r="A10" s="33" t="s">
        <v>27</v>
      </c>
      <c r="B10" s="33"/>
      <c r="C10" s="33"/>
      <c r="D10" s="33"/>
      <c r="E10" s="33"/>
      <c r="F10" s="33"/>
      <c r="G10" s="33"/>
      <c r="H10" s="33"/>
    </row>
    <row r="11" spans="1:8">
      <c r="A11" s="35"/>
      <c r="B11" s="35"/>
      <c r="C11" s="35"/>
      <c r="D11" s="35"/>
      <c r="E11" s="35"/>
      <c r="F11" s="35"/>
      <c r="G11" s="35"/>
      <c r="H11" s="35"/>
    </row>
    <row r="12" spans="1:8" s="40" customFormat="1">
      <c r="A12" s="37"/>
      <c r="B12" s="38" t="s">
        <v>3</v>
      </c>
      <c r="C12" s="38" t="s">
        <v>4</v>
      </c>
      <c r="D12" s="38" t="s">
        <v>5</v>
      </c>
      <c r="E12" s="38" t="s">
        <v>6</v>
      </c>
      <c r="F12" s="38" t="s">
        <v>7</v>
      </c>
      <c r="G12" s="39" t="s">
        <v>8</v>
      </c>
      <c r="H12" s="39" t="s">
        <v>9</v>
      </c>
    </row>
    <row r="13" spans="1:8" s="40" customFormat="1">
      <c r="A13" s="41"/>
      <c r="B13" s="42" t="s">
        <v>10</v>
      </c>
      <c r="C13" s="42" t="s">
        <v>10</v>
      </c>
      <c r="D13" s="42" t="s">
        <v>10</v>
      </c>
      <c r="E13" s="42" t="s">
        <v>10</v>
      </c>
      <c r="F13" s="42" t="s">
        <v>10</v>
      </c>
      <c r="G13" s="42" t="s">
        <v>10</v>
      </c>
      <c r="H13" s="42" t="s">
        <v>10</v>
      </c>
    </row>
    <row r="14" spans="1:8" s="40" customFormat="1">
      <c r="A14" s="41"/>
      <c r="B14" s="43" t="s">
        <v>11</v>
      </c>
      <c r="C14" s="43" t="s">
        <v>12</v>
      </c>
      <c r="D14" s="43" t="s">
        <v>13</v>
      </c>
      <c r="E14" s="43" t="s">
        <v>14</v>
      </c>
      <c r="F14" s="43" t="s">
        <v>15</v>
      </c>
      <c r="G14" s="44" t="s">
        <v>16</v>
      </c>
      <c r="H14" s="44" t="s">
        <v>17</v>
      </c>
    </row>
    <row r="15" spans="1:8" s="40" customFormat="1">
      <c r="A15" s="41"/>
      <c r="B15" s="43" t="s">
        <v>18</v>
      </c>
      <c r="C15" s="43" t="s">
        <v>19</v>
      </c>
      <c r="D15" s="43" t="s">
        <v>19</v>
      </c>
      <c r="E15" s="43" t="s">
        <v>20</v>
      </c>
      <c r="F15" s="43" t="s">
        <v>21</v>
      </c>
      <c r="G15" s="44" t="s">
        <v>22</v>
      </c>
      <c r="H15" s="44" t="s">
        <v>23</v>
      </c>
    </row>
    <row r="16" spans="1:8" s="40" customFormat="1">
      <c r="A16" s="45" t="s">
        <v>24</v>
      </c>
      <c r="B16" s="45" t="s">
        <v>28</v>
      </c>
      <c r="C16" s="45" t="s">
        <v>28</v>
      </c>
      <c r="D16" s="45" t="s">
        <v>28</v>
      </c>
      <c r="E16" s="45" t="s">
        <v>28</v>
      </c>
      <c r="F16" s="45" t="s">
        <v>28</v>
      </c>
      <c r="G16" s="17" t="s">
        <v>28</v>
      </c>
      <c r="H16" s="17" t="s">
        <v>28</v>
      </c>
    </row>
    <row r="17" spans="1:9">
      <c r="A17" s="46">
        <v>2005</v>
      </c>
      <c r="B17" s="47">
        <v>0</v>
      </c>
      <c r="C17" s="47">
        <v>15.176408750699466</v>
      </c>
      <c r="D17" s="47">
        <v>10.738928166074857</v>
      </c>
      <c r="E17" s="47">
        <v>0</v>
      </c>
      <c r="F17" s="47">
        <v>0</v>
      </c>
      <c r="G17" s="48">
        <v>0</v>
      </c>
      <c r="H17" s="48">
        <f t="shared" ref="H17:H26" si="0">SUM(B17:G17)</f>
        <v>25.915336916774322</v>
      </c>
      <c r="I17" s="49"/>
    </row>
    <row r="18" spans="1:9">
      <c r="A18" s="46">
        <v>2006</v>
      </c>
      <c r="B18" s="47">
        <v>108.1533249503218</v>
      </c>
      <c r="C18" s="47">
        <v>51.89165111527609</v>
      </c>
      <c r="D18" s="47">
        <v>24.668888087589721</v>
      </c>
      <c r="E18" s="47">
        <v>0</v>
      </c>
      <c r="F18" s="47">
        <v>0</v>
      </c>
      <c r="G18" s="48">
        <v>0.36931165427976398</v>
      </c>
      <c r="H18" s="48">
        <f t="shared" si="0"/>
        <v>185.08317580746737</v>
      </c>
      <c r="I18" s="49"/>
    </row>
    <row r="19" spans="1:9">
      <c r="A19" s="46">
        <v>2007</v>
      </c>
      <c r="B19" s="47">
        <v>209.53033780778605</v>
      </c>
      <c r="C19" s="47">
        <v>90.398860302209414</v>
      </c>
      <c r="D19" s="47">
        <v>39.278729834974229</v>
      </c>
      <c r="E19" s="47">
        <v>26.648749326013785</v>
      </c>
      <c r="F19" s="47">
        <v>0</v>
      </c>
      <c r="G19" s="48">
        <v>0.73862330855952796</v>
      </c>
      <c r="H19" s="48">
        <f t="shared" si="0"/>
        <v>366.59530057954299</v>
      </c>
      <c r="I19" s="49"/>
    </row>
    <row r="20" spans="1:9">
      <c r="A20" s="46">
        <v>2008</v>
      </c>
      <c r="B20" s="47">
        <v>299.48662669799614</v>
      </c>
      <c r="C20" s="47">
        <v>120.53051029487187</v>
      </c>
      <c r="D20" s="47">
        <v>50.710839491203842</v>
      </c>
      <c r="E20" s="47">
        <v>45.087263514331653</v>
      </c>
      <c r="F20" s="47">
        <v>0</v>
      </c>
      <c r="G20" s="48">
        <v>1.107934962839292</v>
      </c>
      <c r="H20" s="48">
        <f t="shared" si="0"/>
        <v>516.92317496124281</v>
      </c>
      <c r="I20" s="49"/>
    </row>
    <row r="21" spans="1:9">
      <c r="A21" s="46">
        <v>2009</v>
      </c>
      <c r="B21" s="47">
        <v>385.49382783639521</v>
      </c>
      <c r="C21" s="47">
        <v>157.75313684479079</v>
      </c>
      <c r="D21" s="47">
        <v>64.833303694630786</v>
      </c>
      <c r="E21" s="47">
        <v>70.476786410317573</v>
      </c>
      <c r="F21" s="47">
        <v>0</v>
      </c>
      <c r="G21" s="48">
        <v>1.4772466171190559</v>
      </c>
      <c r="H21" s="48">
        <f t="shared" si="0"/>
        <v>680.03430140325338</v>
      </c>
      <c r="I21" s="49"/>
    </row>
    <row r="22" spans="1:9">
      <c r="A22" s="46">
        <v>2010</v>
      </c>
      <c r="B22" s="47">
        <v>467.83054991324934</v>
      </c>
      <c r="C22" s="47">
        <v>202.7397940185665</v>
      </c>
      <c r="D22" s="47">
        <v>79.009462824792308</v>
      </c>
      <c r="E22" s="47">
        <v>96.00503968430553</v>
      </c>
      <c r="F22" s="47">
        <v>4.3656874475733218</v>
      </c>
      <c r="G22" s="48">
        <v>1.84655827139882</v>
      </c>
      <c r="H22" s="48">
        <f t="shared" si="0"/>
        <v>851.79709215988589</v>
      </c>
      <c r="I22" s="49"/>
    </row>
    <row r="23" spans="1:9">
      <c r="A23" s="46">
        <v>2011</v>
      </c>
      <c r="B23" s="47">
        <v>563.73986784616682</v>
      </c>
      <c r="C23" s="47">
        <v>248.45157671472225</v>
      </c>
      <c r="D23" s="47">
        <v>93.414122924805952</v>
      </c>
      <c r="E23" s="47">
        <v>122.12366578956494</v>
      </c>
      <c r="F23" s="47">
        <v>9.642422181058663</v>
      </c>
      <c r="G23" s="48">
        <v>2.1409300276616028</v>
      </c>
      <c r="H23" s="48">
        <f t="shared" si="0"/>
        <v>1039.5125854839803</v>
      </c>
      <c r="I23" s="49"/>
    </row>
    <row r="24" spans="1:9">
      <c r="A24" s="46">
        <v>2012</v>
      </c>
      <c r="B24" s="47">
        <v>658.83402324713916</v>
      </c>
      <c r="C24" s="47">
        <v>293.77010799550453</v>
      </c>
      <c r="D24" s="47">
        <v>107.69486195593527</v>
      </c>
      <c r="E24" s="47">
        <v>147.92211980829461</v>
      </c>
      <c r="F24" s="47">
        <v>14.888358712299791</v>
      </c>
      <c r="G24" s="48">
        <v>2.4353017839243853</v>
      </c>
      <c r="H24" s="48">
        <f t="shared" si="0"/>
        <v>1225.5447735030978</v>
      </c>
      <c r="I24" s="49"/>
    </row>
    <row r="25" spans="1:9">
      <c r="A25" s="46">
        <v>2013</v>
      </c>
      <c r="B25" s="47">
        <v>752.83748652662143</v>
      </c>
      <c r="C25" s="47">
        <v>338.25613820197077</v>
      </c>
      <c r="D25" s="47">
        <v>121.71326391987782</v>
      </c>
      <c r="E25" s="47">
        <v>173.04277942990348</v>
      </c>
      <c r="F25" s="47">
        <v>20.069096402664982</v>
      </c>
      <c r="G25" s="48">
        <v>2.7296735401871683</v>
      </c>
      <c r="H25" s="48">
        <f t="shared" si="0"/>
        <v>1408.6484380212257</v>
      </c>
      <c r="I25" s="49"/>
    </row>
    <row r="26" spans="1:9">
      <c r="A26" s="46">
        <v>2014</v>
      </c>
      <c r="B26" s="47">
        <v>846.51530395178179</v>
      </c>
      <c r="C26" s="47">
        <v>382.89697506115317</v>
      </c>
      <c r="D26" s="47">
        <v>135.78044843138309</v>
      </c>
      <c r="E26" s="47">
        <v>198.28947742561718</v>
      </c>
      <c r="F26" s="47">
        <v>25.261958058545957</v>
      </c>
      <c r="G26" s="48">
        <v>3.0240452964499513</v>
      </c>
      <c r="H26" s="48">
        <f t="shared" si="0"/>
        <v>1591.7682082249312</v>
      </c>
      <c r="I26" s="49"/>
    </row>
    <row r="28" spans="1:9">
      <c r="A28" s="36" t="s">
        <v>25</v>
      </c>
    </row>
    <row r="29" spans="1:9">
      <c r="A29" s="36" t="s">
        <v>26</v>
      </c>
    </row>
  </sheetData>
  <phoneticPr fontId="0" type="noConversion"/>
  <pageMargins left="0.75" right="0.75" top="1" bottom="1" header="0.5" footer="0.5"/>
  <pageSetup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Summer_Peak</vt:lpstr>
      <vt:lpstr>MW Summer Impact NEPACT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