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worksheets/sheet6.xml" ContentType="application/vnd.openxmlformats-officedocument.spreadsheetml.workshee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0935" yWindow="1485" windowWidth="14415" windowHeight="11760" tabRatio="803" firstSheet="3" activeTab="3"/>
  </bookViews>
  <sheets>
    <sheet name="Northwest Florida - Data" sheetId="1" state="hidden" r:id="rId1"/>
    <sheet name="Northwest Florida Forecast" sheetId="2" state="hidden" r:id="rId2"/>
    <sheet name="NW Monthly Energy &amp; Demand" sheetId="5" state="hidden" r:id="rId3"/>
    <sheet name="NW Fl History" sheetId="13" r:id="rId4"/>
    <sheet name="Sheet1" sheetId="14" state="hidden" r:id="rId5"/>
    <sheet name="Forecast 5 Year" sheetId="15" r:id="rId6"/>
    <sheet name="Forecast 10 year" sheetId="16" r:id="rId7"/>
    <sheet name="Forecast 20 Year" sheetId="17" r:id="rId8"/>
    <sheet name="Peak Forecast" sheetId="18" r:id="rId9"/>
    <sheet name="Yearly Comparison" sheetId="19" r:id="rId10"/>
  </sheets>
  <definedNames>
    <definedName name="_xlnm.Print_Area" localSheetId="2">'NW Monthly Energy &amp; Demand'!$A$1:$O$108</definedName>
  </definedNames>
  <calcPr calcId="152511"/>
</workbook>
</file>

<file path=xl/calcChain.xml><?xml version="1.0" encoding="utf-8"?>
<calcChain xmlns="http://schemas.openxmlformats.org/spreadsheetml/2006/main">
  <c r="J118" i="15" l="1"/>
  <c r="B68" i="17"/>
  <c r="B69" i="17"/>
  <c r="B70" i="17"/>
  <c r="B71" i="17"/>
  <c r="B72" i="17"/>
  <c r="B73" i="17"/>
  <c r="B74" i="17"/>
  <c r="B75" i="17"/>
  <c r="B76" i="17"/>
  <c r="B77" i="17"/>
  <c r="E81" i="15"/>
  <c r="D82" i="15"/>
  <c r="D83" i="15"/>
  <c r="D84" i="15"/>
  <c r="D85" i="15"/>
  <c r="D86" i="15"/>
  <c r="D87" i="15"/>
  <c r="D88" i="15"/>
  <c r="D89" i="15"/>
  <c r="D90" i="15"/>
  <c r="D91" i="15"/>
  <c r="D92" i="15"/>
  <c r="D81" i="15"/>
  <c r="A20" i="16" l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55" i="16" s="1"/>
  <c r="A56" i="16" s="1"/>
  <c r="A57" i="16" s="1"/>
  <c r="A58" i="16" s="1"/>
  <c r="A59" i="16" s="1"/>
  <c r="A60" i="16" s="1"/>
  <c r="A61" i="16" s="1"/>
  <c r="A62" i="16" s="1"/>
  <c r="A63" i="16" s="1"/>
  <c r="A64" i="16" s="1"/>
  <c r="A65" i="16" s="1"/>
  <c r="A66" i="16" s="1"/>
  <c r="A73" i="16" s="1"/>
  <c r="A74" i="16" s="1"/>
  <c r="A75" i="16" s="1"/>
  <c r="A76" i="16" s="1"/>
  <c r="A77" i="16" s="1"/>
  <c r="A78" i="16" s="1"/>
  <c r="A79" i="16" s="1"/>
  <c r="A80" i="16" s="1"/>
  <c r="A81" i="16" s="1"/>
  <c r="A82" i="16" s="1"/>
  <c r="A83" i="16" s="1"/>
  <c r="A84" i="16" s="1"/>
  <c r="A91" i="16" s="1"/>
  <c r="A92" i="16" s="1"/>
  <c r="A93" i="16" s="1"/>
  <c r="A94" i="16" s="1"/>
  <c r="A95" i="16" s="1"/>
  <c r="A96" i="16" s="1"/>
  <c r="A97" i="16" s="1"/>
  <c r="A98" i="16" s="1"/>
  <c r="A99" i="16" s="1"/>
  <c r="A100" i="16" s="1"/>
  <c r="A101" i="16" s="1"/>
  <c r="A102" i="16" s="1"/>
  <c r="A99" i="15"/>
  <c r="A100" i="15" s="1"/>
  <c r="A101" i="15" s="1"/>
  <c r="A102" i="15" s="1"/>
  <c r="A103" i="15" s="1"/>
  <c r="A104" i="15" s="1"/>
  <c r="A105" i="15" s="1"/>
  <c r="A106" i="15" s="1"/>
  <c r="A107" i="15" s="1"/>
  <c r="A108" i="15" s="1"/>
  <c r="A109" i="15" s="1"/>
  <c r="A110" i="15" s="1"/>
  <c r="A118" i="15" s="1"/>
  <c r="A119" i="15" s="1"/>
  <c r="A120" i="15" s="1"/>
  <c r="A121" i="15" s="1"/>
  <c r="A122" i="15" s="1"/>
  <c r="A123" i="15" s="1"/>
  <c r="A124" i="15" s="1"/>
  <c r="A125" i="15" s="1"/>
  <c r="A126" i="15" s="1"/>
  <c r="A127" i="15" s="1"/>
  <c r="A128" i="15" s="1"/>
  <c r="A129" i="15" s="1"/>
  <c r="A136" i="15" s="1"/>
  <c r="A137" i="15" s="1"/>
  <c r="A138" i="15" s="1"/>
  <c r="A139" i="15" s="1"/>
  <c r="A140" i="15" s="1"/>
  <c r="A141" i="15" s="1"/>
  <c r="A142" i="15" s="1"/>
  <c r="A143" i="15" s="1"/>
  <c r="A144" i="15" s="1"/>
  <c r="A145" i="15" s="1"/>
  <c r="A146" i="15" s="1"/>
  <c r="A147" i="15" s="1"/>
  <c r="A154" i="15" s="1"/>
  <c r="A155" i="15" s="1"/>
  <c r="A156" i="15" s="1"/>
  <c r="A157" i="15" s="1"/>
  <c r="A158" i="15" s="1"/>
  <c r="A159" i="15" s="1"/>
  <c r="A160" i="15" s="1"/>
  <c r="A161" i="15" s="1"/>
  <c r="A162" i="15" s="1"/>
  <c r="A163" i="15" s="1"/>
  <c r="A164" i="15" s="1"/>
  <c r="A165" i="15" s="1"/>
  <c r="A172" i="15" s="1"/>
  <c r="A173" i="15" s="1"/>
  <c r="A174" i="15" s="1"/>
  <c r="A175" i="15" s="1"/>
  <c r="A176" i="15" s="1"/>
  <c r="A177" i="15" s="1"/>
  <c r="A178" i="15" s="1"/>
  <c r="A179" i="15" s="1"/>
  <c r="A180" i="15" s="1"/>
  <c r="A181" i="15" s="1"/>
  <c r="A182" i="15" s="1"/>
  <c r="A183" i="15" s="1"/>
  <c r="A82" i="15"/>
  <c r="A83" i="15" s="1"/>
  <c r="A84" i="15" s="1"/>
  <c r="A85" i="15" s="1"/>
  <c r="A86" i="15" s="1"/>
  <c r="A87" i="15" s="1"/>
  <c r="A88" i="15" s="1"/>
  <c r="A89" i="15" s="1"/>
  <c r="A90" i="15" s="1"/>
  <c r="A91" i="15" s="1"/>
  <c r="A92" i="15" s="1"/>
  <c r="D50" i="15" l="1"/>
  <c r="E50" i="15"/>
  <c r="F50" i="15"/>
  <c r="G50" i="15"/>
  <c r="D51" i="15"/>
  <c r="E51" i="15"/>
  <c r="F51" i="15"/>
  <c r="G51" i="15"/>
  <c r="D52" i="15"/>
  <c r="E52" i="15"/>
  <c r="F52" i="15"/>
  <c r="G52" i="15"/>
  <c r="D53" i="15"/>
  <c r="E53" i="15"/>
  <c r="F53" i="15"/>
  <c r="G53" i="15"/>
  <c r="D54" i="15"/>
  <c r="E54" i="15"/>
  <c r="F54" i="15"/>
  <c r="G54" i="15"/>
  <c r="D55" i="15"/>
  <c r="E55" i="15"/>
  <c r="F55" i="15"/>
  <c r="G55" i="15"/>
  <c r="D56" i="15"/>
  <c r="E56" i="15"/>
  <c r="F56" i="15"/>
  <c r="G56" i="15"/>
  <c r="D57" i="15"/>
  <c r="E57" i="15"/>
  <c r="F57" i="15"/>
  <c r="G57" i="15"/>
  <c r="D58" i="15"/>
  <c r="E58" i="15"/>
  <c r="F58" i="15"/>
  <c r="G58" i="15"/>
  <c r="D59" i="15"/>
  <c r="E59" i="15"/>
  <c r="F59" i="15"/>
  <c r="G59" i="15"/>
  <c r="D60" i="15"/>
  <c r="E60" i="15"/>
  <c r="F60" i="15"/>
  <c r="G60" i="15"/>
  <c r="D61" i="15"/>
  <c r="E61" i="15"/>
  <c r="F61" i="15"/>
  <c r="G61" i="15"/>
  <c r="A51" i="15"/>
  <c r="A52" i="15" s="1"/>
  <c r="C65" i="15"/>
  <c r="C66" i="15"/>
  <c r="J7" i="19"/>
  <c r="H7" i="19"/>
  <c r="A53" i="15" l="1"/>
  <c r="A54" i="15" s="1"/>
  <c r="A55" i="15" s="1"/>
  <c r="A56" i="15" s="1"/>
  <c r="A57" i="15" s="1"/>
  <c r="A58" i="15" s="1"/>
  <c r="A59" i="15" s="1"/>
  <c r="A60" i="15" s="1"/>
  <c r="A61" i="15" s="1"/>
  <c r="G110" i="13"/>
  <c r="H110" i="13" s="1"/>
  <c r="G111" i="13"/>
  <c r="H111" i="13" s="1"/>
  <c r="G112" i="13"/>
  <c r="H112" i="13" s="1"/>
  <c r="G113" i="13"/>
  <c r="H113" i="13" s="1"/>
  <c r="G114" i="13"/>
  <c r="H114" i="13" s="1"/>
  <c r="G115" i="13"/>
  <c r="G116" i="13"/>
  <c r="H116" i="13" s="1"/>
  <c r="G117" i="13"/>
  <c r="G118" i="13"/>
  <c r="G119" i="13"/>
  <c r="G120" i="13"/>
  <c r="H120" i="13" s="1"/>
  <c r="G109" i="13"/>
  <c r="H109" i="13" s="1"/>
  <c r="F121" i="13"/>
  <c r="E121" i="13"/>
  <c r="D121" i="13"/>
  <c r="C121" i="13"/>
  <c r="B121" i="13"/>
  <c r="J120" i="13"/>
  <c r="J119" i="13"/>
  <c r="H119" i="13"/>
  <c r="J118" i="13"/>
  <c r="H118" i="13"/>
  <c r="J117" i="13"/>
  <c r="H117" i="13"/>
  <c r="J116" i="13"/>
  <c r="J115" i="13"/>
  <c r="H115" i="13"/>
  <c r="J114" i="13"/>
  <c r="J113" i="13"/>
  <c r="J112" i="13"/>
  <c r="J111" i="13"/>
  <c r="J110" i="13"/>
  <c r="A110" i="13"/>
  <c r="A111" i="13" s="1"/>
  <c r="A112" i="13" s="1"/>
  <c r="A113" i="13" s="1"/>
  <c r="A114" i="13" s="1"/>
  <c r="A115" i="13" s="1"/>
  <c r="A116" i="13" s="1"/>
  <c r="A117" i="13" s="1"/>
  <c r="A118" i="13" s="1"/>
  <c r="A119" i="13" s="1"/>
  <c r="A120" i="13" s="1"/>
  <c r="J109" i="13"/>
  <c r="I112" i="13" l="1"/>
  <c r="I116" i="13"/>
  <c r="I120" i="13"/>
  <c r="I113" i="13"/>
  <c r="I117" i="13"/>
  <c r="I109" i="13"/>
  <c r="I110" i="13"/>
  <c r="I114" i="13"/>
  <c r="I118" i="13"/>
  <c r="I111" i="13"/>
  <c r="I115" i="13"/>
  <c r="I119" i="13"/>
  <c r="J121" i="13"/>
  <c r="G121" i="13"/>
  <c r="H121" i="13"/>
  <c r="B27" i="17"/>
  <c r="F27" i="17"/>
  <c r="A5" i="18"/>
  <c r="A6" i="18" s="1"/>
  <c r="A7" i="18" s="1"/>
  <c r="A8" i="18" s="1"/>
  <c r="A9" i="18" s="1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7" i="17"/>
  <c r="A28" i="17" s="1"/>
  <c r="A29" i="17" s="1"/>
  <c r="A30" i="17" s="1"/>
  <c r="A31" i="17" s="1"/>
  <c r="A32" i="17" s="1"/>
  <c r="A33" i="17" s="1"/>
  <c r="A34" i="17" s="1"/>
  <c r="A35" i="17" s="1"/>
  <c r="A36" i="17" s="1"/>
  <c r="I121" i="13" l="1"/>
  <c r="B55" i="17"/>
  <c r="B40" i="17"/>
  <c r="D66" i="15"/>
  <c r="D65" i="15"/>
  <c r="A93" i="13"/>
  <c r="A94" i="13" s="1"/>
  <c r="A95" i="13" s="1"/>
  <c r="A96" i="13" s="1"/>
  <c r="A97" i="13" s="1"/>
  <c r="A98" i="13" s="1"/>
  <c r="A99" i="13" s="1"/>
  <c r="A100" i="13" s="1"/>
  <c r="A101" i="13" s="1"/>
  <c r="A102" i="13" s="1"/>
  <c r="A103" i="13" s="1"/>
  <c r="J103" i="13" l="1"/>
  <c r="J102" i="13"/>
  <c r="J101" i="13"/>
  <c r="J100" i="13"/>
  <c r="J99" i="13"/>
  <c r="J98" i="13"/>
  <c r="J97" i="13"/>
  <c r="J96" i="13"/>
  <c r="J95" i="13"/>
  <c r="J94" i="13"/>
  <c r="J93" i="13"/>
  <c r="J92" i="13"/>
  <c r="F104" i="13"/>
  <c r="E104" i="13"/>
  <c r="D104" i="13"/>
  <c r="C104" i="13"/>
  <c r="B104" i="13"/>
  <c r="G103" i="13"/>
  <c r="H103" i="13" s="1"/>
  <c r="G102" i="13"/>
  <c r="H102" i="13" s="1"/>
  <c r="G101" i="13"/>
  <c r="H101" i="13" s="1"/>
  <c r="G100" i="13"/>
  <c r="H100" i="13" s="1"/>
  <c r="G99" i="13"/>
  <c r="H99" i="13" s="1"/>
  <c r="G98" i="13"/>
  <c r="H98" i="13" s="1"/>
  <c r="G97" i="13"/>
  <c r="H97" i="13" s="1"/>
  <c r="G96" i="13"/>
  <c r="H96" i="13" s="1"/>
  <c r="G95" i="13"/>
  <c r="H95" i="13" s="1"/>
  <c r="G94" i="13"/>
  <c r="H94" i="13" s="1"/>
  <c r="G93" i="13"/>
  <c r="H93" i="13" s="1"/>
  <c r="G92" i="13"/>
  <c r="M27" i="17"/>
  <c r="M55" i="17" s="1"/>
  <c r="M68" i="17" s="1"/>
  <c r="L27" i="17"/>
  <c r="L28" i="17" s="1"/>
  <c r="L40" i="17"/>
  <c r="K27" i="17"/>
  <c r="K55" i="17" s="1"/>
  <c r="K68" i="17" s="1"/>
  <c r="J27" i="17"/>
  <c r="I27" i="17"/>
  <c r="I28" i="17" s="1"/>
  <c r="I40" i="17"/>
  <c r="H27" i="17"/>
  <c r="H55" i="17" s="1"/>
  <c r="H68" i="17" s="1"/>
  <c r="G27" i="17"/>
  <c r="G55" i="17" s="1"/>
  <c r="G68" i="17" s="1"/>
  <c r="F55" i="17"/>
  <c r="F68" i="17" s="1"/>
  <c r="E27" i="17"/>
  <c r="E55" i="17" s="1"/>
  <c r="E68" i="17" s="1"/>
  <c r="D27" i="17"/>
  <c r="D55" i="17" s="1"/>
  <c r="D68" i="17" s="1"/>
  <c r="C27" i="17"/>
  <c r="C55" i="17" s="1"/>
  <c r="C68" i="17" s="1"/>
  <c r="F63" i="15"/>
  <c r="G63" i="15"/>
  <c r="I55" i="17"/>
  <c r="I68" i="17" s="1"/>
  <c r="H40" i="17"/>
  <c r="L55" i="17"/>
  <c r="L68" i="17" s="1"/>
  <c r="G28" i="17"/>
  <c r="G41" i="17" s="1"/>
  <c r="K28" i="17"/>
  <c r="K41" i="17" s="1"/>
  <c r="C40" i="17"/>
  <c r="M28" i="17"/>
  <c r="M29" i="17" s="1"/>
  <c r="F28" i="17"/>
  <c r="F29" i="17" s="1"/>
  <c r="J28" i="17"/>
  <c r="F40" i="17"/>
  <c r="J40" i="17"/>
  <c r="D14" i="15"/>
  <c r="E14" i="15"/>
  <c r="D15" i="15"/>
  <c r="F15" i="15" s="1"/>
  <c r="E15" i="15"/>
  <c r="G15" i="15" s="1"/>
  <c r="D16" i="15"/>
  <c r="F16" i="15" s="1"/>
  <c r="E16" i="15"/>
  <c r="G16" i="15" s="1"/>
  <c r="D17" i="15"/>
  <c r="F17" i="15" s="1"/>
  <c r="E17" i="15"/>
  <c r="G17" i="15" s="1"/>
  <c r="D18" i="15"/>
  <c r="F18" i="15" s="1"/>
  <c r="E18" i="15"/>
  <c r="G18" i="15" s="1"/>
  <c r="D19" i="15"/>
  <c r="F19" i="15" s="1"/>
  <c r="E19" i="15"/>
  <c r="G19" i="15" s="1"/>
  <c r="D20" i="15"/>
  <c r="F20" i="15" s="1"/>
  <c r="E20" i="15"/>
  <c r="G20" i="15" s="1"/>
  <c r="D21" i="15"/>
  <c r="F21" i="15" s="1"/>
  <c r="E21" i="15"/>
  <c r="G21" i="15" s="1"/>
  <c r="D22" i="15"/>
  <c r="F22" i="15" s="1"/>
  <c r="E22" i="15"/>
  <c r="G22" i="15" s="1"/>
  <c r="D23" i="15"/>
  <c r="F23" i="15" s="1"/>
  <c r="E23" i="15"/>
  <c r="G23" i="15" s="1"/>
  <c r="D24" i="15"/>
  <c r="F24" i="15" s="1"/>
  <c r="E24" i="15"/>
  <c r="G24" i="15" s="1"/>
  <c r="D25" i="15"/>
  <c r="F25" i="15" s="1"/>
  <c r="E25" i="15"/>
  <c r="G25" i="15" s="1"/>
  <c r="D26" i="15"/>
  <c r="F26" i="15" s="1"/>
  <c r="E26" i="15"/>
  <c r="G26" i="15" s="1"/>
  <c r="D27" i="15"/>
  <c r="F27" i="15" s="1"/>
  <c r="E27" i="15"/>
  <c r="G27" i="15" s="1"/>
  <c r="D28" i="15"/>
  <c r="F28" i="15" s="1"/>
  <c r="E28" i="15"/>
  <c r="G28" i="15" s="1"/>
  <c r="D29" i="15"/>
  <c r="F29" i="15" s="1"/>
  <c r="E29" i="15"/>
  <c r="G29" i="15" s="1"/>
  <c r="D30" i="15"/>
  <c r="F30" i="15" s="1"/>
  <c r="E30" i="15"/>
  <c r="G30" i="15" s="1"/>
  <c r="D31" i="15"/>
  <c r="F31" i="15" s="1"/>
  <c r="E31" i="15"/>
  <c r="G31" i="15" s="1"/>
  <c r="D32" i="15"/>
  <c r="F32" i="15" s="1"/>
  <c r="E32" i="15"/>
  <c r="G32" i="15" s="1"/>
  <c r="D33" i="15"/>
  <c r="F33" i="15" s="1"/>
  <c r="E33" i="15"/>
  <c r="G33" i="15" s="1"/>
  <c r="D34" i="15"/>
  <c r="F34" i="15" s="1"/>
  <c r="E34" i="15"/>
  <c r="G34" i="15" s="1"/>
  <c r="D35" i="15"/>
  <c r="F35" i="15" s="1"/>
  <c r="E35" i="15"/>
  <c r="G35" i="15" s="1"/>
  <c r="D36" i="15"/>
  <c r="F36" i="15" s="1"/>
  <c r="E36" i="15"/>
  <c r="G36" i="15" s="1"/>
  <c r="D37" i="15"/>
  <c r="F37" i="15" s="1"/>
  <c r="E37" i="15"/>
  <c r="G37" i="15" s="1"/>
  <c r="D38" i="15"/>
  <c r="F38" i="15" s="1"/>
  <c r="E38" i="15"/>
  <c r="G38" i="15" s="1"/>
  <c r="D39" i="15"/>
  <c r="F39" i="15" s="1"/>
  <c r="E39" i="15"/>
  <c r="G39" i="15" s="1"/>
  <c r="D40" i="15"/>
  <c r="F40" i="15" s="1"/>
  <c r="E40" i="15"/>
  <c r="G40" i="15" s="1"/>
  <c r="D41" i="15"/>
  <c r="F41" i="15" s="1"/>
  <c r="E41" i="15"/>
  <c r="G41" i="15" s="1"/>
  <c r="D42" i="15"/>
  <c r="F42" i="15" s="1"/>
  <c r="E42" i="15"/>
  <c r="G42" i="15" s="1"/>
  <c r="D43" i="15"/>
  <c r="F43" i="15" s="1"/>
  <c r="E43" i="15"/>
  <c r="G43" i="15" s="1"/>
  <c r="D44" i="15"/>
  <c r="F44" i="15" s="1"/>
  <c r="E44" i="15"/>
  <c r="G44" i="15" s="1"/>
  <c r="D45" i="15"/>
  <c r="F45" i="15" s="1"/>
  <c r="E45" i="15"/>
  <c r="G45" i="15" s="1"/>
  <c r="D46" i="15"/>
  <c r="F46" i="15" s="1"/>
  <c r="E46" i="15"/>
  <c r="G46" i="15" s="1"/>
  <c r="D47" i="15"/>
  <c r="F47" i="15" s="1"/>
  <c r="E47" i="15"/>
  <c r="G47" i="15" s="1"/>
  <c r="D48" i="15"/>
  <c r="F48" i="15" s="1"/>
  <c r="E48" i="15"/>
  <c r="G48" i="15" s="1"/>
  <c r="D49" i="15"/>
  <c r="F49" i="15" s="1"/>
  <c r="E49" i="15"/>
  <c r="G49" i="15" s="1"/>
  <c r="E13" i="15"/>
  <c r="D13" i="15"/>
  <c r="D89" i="14"/>
  <c r="F63" i="14"/>
  <c r="G68" i="14"/>
  <c r="F74" i="14"/>
  <c r="F79" i="14"/>
  <c r="F86" i="14"/>
  <c r="F89" i="14"/>
  <c r="E61" i="14"/>
  <c r="G61" i="14" s="1"/>
  <c r="E62" i="14"/>
  <c r="G62" i="14" s="1"/>
  <c r="E63" i="14"/>
  <c r="G63" i="14" s="1"/>
  <c r="E64" i="14"/>
  <c r="G64" i="14" s="1"/>
  <c r="E65" i="14"/>
  <c r="G65" i="14" s="1"/>
  <c r="E66" i="14"/>
  <c r="G66" i="14" s="1"/>
  <c r="E67" i="14"/>
  <c r="G67" i="14" s="1"/>
  <c r="E68" i="14"/>
  <c r="E69" i="14"/>
  <c r="G69" i="14" s="1"/>
  <c r="E70" i="14"/>
  <c r="G70" i="14" s="1"/>
  <c r="E71" i="14"/>
  <c r="G71" i="14" s="1"/>
  <c r="E72" i="14"/>
  <c r="G72" i="14" s="1"/>
  <c r="E73" i="14"/>
  <c r="G73" i="14" s="1"/>
  <c r="E74" i="14"/>
  <c r="G74" i="14" s="1"/>
  <c r="E75" i="14"/>
  <c r="G75" i="14" s="1"/>
  <c r="E76" i="14"/>
  <c r="G76" i="14" s="1"/>
  <c r="E77" i="14"/>
  <c r="G77" i="14" s="1"/>
  <c r="E78" i="14"/>
  <c r="G78" i="14" s="1"/>
  <c r="E79" i="14"/>
  <c r="G79" i="14" s="1"/>
  <c r="E80" i="14"/>
  <c r="G80" i="14" s="1"/>
  <c r="E81" i="14"/>
  <c r="G81" i="14" s="1"/>
  <c r="E82" i="14"/>
  <c r="G82" i="14" s="1"/>
  <c r="E83" i="14"/>
  <c r="G83" i="14" s="1"/>
  <c r="E84" i="14"/>
  <c r="G84" i="14" s="1"/>
  <c r="E85" i="14"/>
  <c r="G85" i="14" s="1"/>
  <c r="E112" i="14" s="1"/>
  <c r="E86" i="14"/>
  <c r="G86" i="14" s="1"/>
  <c r="E87" i="14"/>
  <c r="G87" i="14" s="1"/>
  <c r="E88" i="14"/>
  <c r="G88" i="14" s="1"/>
  <c r="E89" i="14"/>
  <c r="G89" i="14" s="1"/>
  <c r="D61" i="14"/>
  <c r="F61" i="14" s="1"/>
  <c r="D62" i="14"/>
  <c r="F62" i="14" s="1"/>
  <c r="D63" i="14"/>
  <c r="D64" i="14"/>
  <c r="F64" i="14" s="1"/>
  <c r="D65" i="14"/>
  <c r="F65" i="14" s="1"/>
  <c r="D66" i="14"/>
  <c r="F66" i="14" s="1"/>
  <c r="D105" i="14" s="1"/>
  <c r="D67" i="14"/>
  <c r="F67" i="14" s="1"/>
  <c r="D68" i="14"/>
  <c r="F68" i="14" s="1"/>
  <c r="D69" i="14"/>
  <c r="F69" i="14" s="1"/>
  <c r="D70" i="14"/>
  <c r="F70" i="14" s="1"/>
  <c r="D71" i="14"/>
  <c r="F71" i="14" s="1"/>
  <c r="D72" i="14"/>
  <c r="F72" i="14" s="1"/>
  <c r="D73" i="14"/>
  <c r="F73" i="14" s="1"/>
  <c r="D74" i="14"/>
  <c r="D75" i="14"/>
  <c r="F75" i="14" s="1"/>
  <c r="D76" i="14"/>
  <c r="F76" i="14" s="1"/>
  <c r="D77" i="14"/>
  <c r="F77" i="14" s="1"/>
  <c r="D116" i="14" s="1"/>
  <c r="D78" i="14"/>
  <c r="F78" i="14" s="1"/>
  <c r="D79" i="14"/>
  <c r="D80" i="14"/>
  <c r="F80" i="14" s="1"/>
  <c r="D81" i="14"/>
  <c r="F81" i="14" s="1"/>
  <c r="D82" i="14"/>
  <c r="F82" i="14" s="1"/>
  <c r="D83" i="14"/>
  <c r="F83" i="14" s="1"/>
  <c r="D84" i="14"/>
  <c r="F84" i="14" s="1"/>
  <c r="D85" i="14"/>
  <c r="F85" i="14" s="1"/>
  <c r="D86" i="14"/>
  <c r="D87" i="14"/>
  <c r="F87" i="14" s="1"/>
  <c r="D88" i="14"/>
  <c r="F88" i="14" s="1"/>
  <c r="E60" i="14"/>
  <c r="C113" i="14" s="1"/>
  <c r="D60" i="14"/>
  <c r="F51" i="14"/>
  <c r="E51" i="14"/>
  <c r="H51" i="14" s="1"/>
  <c r="D51" i="14"/>
  <c r="C51" i="14"/>
  <c r="B51" i="14"/>
  <c r="G50" i="14"/>
  <c r="H50" i="14" s="1"/>
  <c r="G49" i="14"/>
  <c r="H49" i="14" s="1"/>
  <c r="G48" i="14"/>
  <c r="H48" i="14" s="1"/>
  <c r="G47" i="14"/>
  <c r="H47" i="14" s="1"/>
  <c r="G46" i="14"/>
  <c r="H46" i="14" s="1"/>
  <c r="G45" i="14"/>
  <c r="H45" i="14" s="1"/>
  <c r="G44" i="14"/>
  <c r="H44" i="14" s="1"/>
  <c r="G43" i="14"/>
  <c r="H43" i="14" s="1"/>
  <c r="G42" i="14"/>
  <c r="H42" i="14" s="1"/>
  <c r="G41" i="14"/>
  <c r="H41" i="14" s="1"/>
  <c r="G40" i="14"/>
  <c r="G39" i="14"/>
  <c r="H39" i="14" s="1"/>
  <c r="J86" i="13"/>
  <c r="J85" i="13"/>
  <c r="J128" i="15" s="1"/>
  <c r="J84" i="13"/>
  <c r="J83" i="13"/>
  <c r="J82" i="13"/>
  <c r="J81" i="13"/>
  <c r="J124" i="15" s="1"/>
  <c r="J80" i="13"/>
  <c r="J79" i="13"/>
  <c r="J78" i="13"/>
  <c r="J77" i="13"/>
  <c r="J120" i="15" s="1"/>
  <c r="J76" i="13"/>
  <c r="J75" i="13"/>
  <c r="F87" i="13"/>
  <c r="E87" i="13"/>
  <c r="D87" i="13"/>
  <c r="C87" i="13"/>
  <c r="B87" i="13"/>
  <c r="C68" i="15" s="1"/>
  <c r="G86" i="13"/>
  <c r="H86" i="13" s="1"/>
  <c r="G85" i="13"/>
  <c r="H85" i="13" s="1"/>
  <c r="G84" i="13"/>
  <c r="H84" i="13" s="1"/>
  <c r="G83" i="13"/>
  <c r="H83" i="13" s="1"/>
  <c r="G82" i="13"/>
  <c r="H82" i="13" s="1"/>
  <c r="G81" i="13"/>
  <c r="H81" i="13" s="1"/>
  <c r="G80" i="13"/>
  <c r="H80" i="13"/>
  <c r="G79" i="13"/>
  <c r="H79" i="13" s="1"/>
  <c r="G78" i="13"/>
  <c r="H78" i="13" s="1"/>
  <c r="G77" i="13"/>
  <c r="H77" i="13" s="1"/>
  <c r="G76" i="13"/>
  <c r="H76" i="13" s="1"/>
  <c r="G75" i="13"/>
  <c r="H75" i="13" s="1"/>
  <c r="F69" i="13"/>
  <c r="E69" i="13"/>
  <c r="H69" i="13" s="1"/>
  <c r="D69" i="13"/>
  <c r="C69" i="13"/>
  <c r="D67" i="15" s="1"/>
  <c r="B69" i="13"/>
  <c r="C67" i="15" s="1"/>
  <c r="G68" i="13"/>
  <c r="H68" i="13" s="1"/>
  <c r="G67" i="13"/>
  <c r="H67" i="13" s="1"/>
  <c r="H66" i="13"/>
  <c r="G66" i="13"/>
  <c r="G65" i="13"/>
  <c r="H65" i="13" s="1"/>
  <c r="G64" i="13"/>
  <c r="H64" i="13" s="1"/>
  <c r="G63" i="13"/>
  <c r="H63" i="13" s="1"/>
  <c r="H62" i="13"/>
  <c r="G62" i="13"/>
  <c r="G61" i="13"/>
  <c r="H61" i="13" s="1"/>
  <c r="G60" i="13"/>
  <c r="H60" i="13" s="1"/>
  <c r="G59" i="13"/>
  <c r="H59" i="13" s="1"/>
  <c r="H58" i="13"/>
  <c r="G58" i="13"/>
  <c r="G57" i="13"/>
  <c r="K56" i="17"/>
  <c r="K69" i="17" s="1"/>
  <c r="M41" i="17"/>
  <c r="H57" i="13"/>
  <c r="H51" i="1"/>
  <c r="F47" i="1"/>
  <c r="F46" i="1"/>
  <c r="F45" i="1"/>
  <c r="F44" i="1"/>
  <c r="F43" i="1"/>
  <c r="F42" i="1"/>
  <c r="F41" i="1"/>
  <c r="F40" i="1"/>
  <c r="F39" i="1"/>
  <c r="F38" i="1"/>
  <c r="F37" i="1"/>
  <c r="F53" i="1" s="1"/>
  <c r="F36" i="1"/>
  <c r="F35" i="1"/>
  <c r="F34" i="1"/>
  <c r="F33" i="1"/>
  <c r="F32" i="1"/>
  <c r="F31" i="1"/>
  <c r="F30" i="1"/>
  <c r="F29" i="1"/>
  <c r="F28" i="1"/>
  <c r="F27" i="1"/>
  <c r="F26" i="1"/>
  <c r="F25" i="1"/>
  <c r="G3" i="13"/>
  <c r="I68" i="13"/>
  <c r="I67" i="13"/>
  <c r="I66" i="13"/>
  <c r="I65" i="13"/>
  <c r="I64" i="13"/>
  <c r="I63" i="13"/>
  <c r="I62" i="13"/>
  <c r="I61" i="13"/>
  <c r="I60" i="13"/>
  <c r="I59" i="13"/>
  <c r="I58" i="13"/>
  <c r="J68" i="13"/>
  <c r="J67" i="13"/>
  <c r="J66" i="13"/>
  <c r="J65" i="13"/>
  <c r="J64" i="13"/>
  <c r="J63" i="13"/>
  <c r="J62" i="13"/>
  <c r="J61" i="13"/>
  <c r="J60" i="13"/>
  <c r="J59" i="13"/>
  <c r="J58" i="13"/>
  <c r="J57" i="13"/>
  <c r="J50" i="13"/>
  <c r="J49" i="13"/>
  <c r="J48" i="13"/>
  <c r="J47" i="13"/>
  <c r="J46" i="13"/>
  <c r="J45" i="13"/>
  <c r="J44" i="13"/>
  <c r="J43" i="13"/>
  <c r="J42" i="13"/>
  <c r="J41" i="13"/>
  <c r="J40" i="13"/>
  <c r="J39" i="13"/>
  <c r="J32" i="13"/>
  <c r="J31" i="13"/>
  <c r="J30" i="13"/>
  <c r="J29" i="13"/>
  <c r="J28" i="13"/>
  <c r="J27" i="13"/>
  <c r="J26" i="13"/>
  <c r="J25" i="13"/>
  <c r="J24" i="13"/>
  <c r="J23" i="13"/>
  <c r="J22" i="13"/>
  <c r="J21" i="13"/>
  <c r="I57" i="13"/>
  <c r="I50" i="13"/>
  <c r="I49" i="13"/>
  <c r="I48" i="13"/>
  <c r="I47" i="13"/>
  <c r="I46" i="13"/>
  <c r="I45" i="13"/>
  <c r="I44" i="13"/>
  <c r="I43" i="13"/>
  <c r="I42" i="13"/>
  <c r="I41" i="13"/>
  <c r="I40" i="13"/>
  <c r="I39" i="13"/>
  <c r="I32" i="13"/>
  <c r="I31" i="13"/>
  <c r="I30" i="13"/>
  <c r="I29" i="13"/>
  <c r="I28" i="13"/>
  <c r="I27" i="13"/>
  <c r="I26" i="13"/>
  <c r="I25" i="13"/>
  <c r="I24" i="13"/>
  <c r="I23" i="13"/>
  <c r="I22" i="13"/>
  <c r="I21" i="13"/>
  <c r="I3" i="13"/>
  <c r="I14" i="13"/>
  <c r="I13" i="13"/>
  <c r="I12" i="13"/>
  <c r="I11" i="13"/>
  <c r="I10" i="13"/>
  <c r="I9" i="13"/>
  <c r="I8" i="13"/>
  <c r="I7" i="13"/>
  <c r="I6" i="13"/>
  <c r="I5" i="13"/>
  <c r="I4" i="13"/>
  <c r="J14" i="13"/>
  <c r="J13" i="13"/>
  <c r="J12" i="13"/>
  <c r="J11" i="13"/>
  <c r="J10" i="13"/>
  <c r="J9" i="13"/>
  <c r="J8" i="13"/>
  <c r="J7" i="13"/>
  <c r="J6" i="13"/>
  <c r="J5" i="13"/>
  <c r="J4" i="13"/>
  <c r="J3" i="13"/>
  <c r="J15" i="13" s="1"/>
  <c r="E51" i="1"/>
  <c r="D51" i="1"/>
  <c r="C51" i="1"/>
  <c r="C65" i="1" s="1"/>
  <c r="B51" i="1"/>
  <c r="C63" i="1" s="1"/>
  <c r="E53" i="1"/>
  <c r="D53" i="1"/>
  <c r="C53" i="1"/>
  <c r="B53" i="1"/>
  <c r="D63" i="1" s="1"/>
  <c r="D75" i="1" s="1"/>
  <c r="E55" i="1"/>
  <c r="D55" i="1"/>
  <c r="C55" i="1"/>
  <c r="E65" i="1" s="1"/>
  <c r="B55" i="1"/>
  <c r="E63" i="1" s="1"/>
  <c r="E75" i="1" s="1"/>
  <c r="E57" i="1"/>
  <c r="D57" i="1"/>
  <c r="C57" i="1"/>
  <c r="F65" i="1" s="1"/>
  <c r="B57" i="1"/>
  <c r="F63" i="1" s="1"/>
  <c r="H27" i="2"/>
  <c r="F27" i="2"/>
  <c r="D27" i="2"/>
  <c r="B27" i="2"/>
  <c r="H26" i="2"/>
  <c r="F26" i="2"/>
  <c r="D26" i="2"/>
  <c r="B26" i="2"/>
  <c r="B63" i="1"/>
  <c r="A88" i="5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34" i="5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H28" i="2"/>
  <c r="F28" i="2"/>
  <c r="D28" i="2"/>
  <c r="B28" i="2"/>
  <c r="A57" i="2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30" i="2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I13" i="1"/>
  <c r="I7" i="1"/>
  <c r="I5" i="1"/>
  <c r="H25" i="2"/>
  <c r="F25" i="2"/>
  <c r="D25" i="2"/>
  <c r="B25" i="2"/>
  <c r="I77" i="1"/>
  <c r="B65" i="1"/>
  <c r="B69" i="1"/>
  <c r="I69" i="1" s="1"/>
  <c r="J69" i="1" s="1"/>
  <c r="B72" i="1"/>
  <c r="I72" i="1" s="1"/>
  <c r="F51" i="1"/>
  <c r="F57" i="1"/>
  <c r="F55" i="1"/>
  <c r="I63" i="1"/>
  <c r="J63" i="1" s="1"/>
  <c r="M75" i="5"/>
  <c r="L75" i="5"/>
  <c r="K75" i="5"/>
  <c r="J75" i="5"/>
  <c r="H75" i="5"/>
  <c r="G75" i="5"/>
  <c r="F75" i="5"/>
  <c r="E75" i="5"/>
  <c r="E80" i="5" s="1"/>
  <c r="C75" i="5"/>
  <c r="B75" i="5"/>
  <c r="M70" i="5"/>
  <c r="L70" i="5"/>
  <c r="K70" i="5"/>
  <c r="J70" i="5"/>
  <c r="I70" i="5"/>
  <c r="H70" i="5"/>
  <c r="G70" i="5"/>
  <c r="F70" i="5"/>
  <c r="E70" i="5"/>
  <c r="D70" i="5"/>
  <c r="C70" i="5"/>
  <c r="B70" i="5"/>
  <c r="M65" i="5"/>
  <c r="M80" i="5" s="1"/>
  <c r="L65" i="5"/>
  <c r="K65" i="5"/>
  <c r="J65" i="5"/>
  <c r="I65" i="5"/>
  <c r="I80" i="5" s="1"/>
  <c r="H65" i="5"/>
  <c r="H80" i="5" s="1"/>
  <c r="G65" i="5"/>
  <c r="F65" i="5"/>
  <c r="E65" i="5"/>
  <c r="D65" i="5"/>
  <c r="D80" i="5" s="1"/>
  <c r="C65" i="5"/>
  <c r="C80" i="5" s="1"/>
  <c r="B65" i="5"/>
  <c r="M21" i="5"/>
  <c r="L21" i="5"/>
  <c r="K21" i="5"/>
  <c r="J21" i="5"/>
  <c r="H21" i="5"/>
  <c r="G21" i="5"/>
  <c r="F21" i="5"/>
  <c r="E21" i="5"/>
  <c r="C21" i="5"/>
  <c r="B21" i="5"/>
  <c r="M16" i="5"/>
  <c r="L16" i="5"/>
  <c r="K16" i="5"/>
  <c r="J16" i="5"/>
  <c r="I16" i="5"/>
  <c r="H16" i="5"/>
  <c r="G16" i="5"/>
  <c r="G26" i="5" s="1"/>
  <c r="F16" i="5"/>
  <c r="E16" i="5"/>
  <c r="D16" i="5"/>
  <c r="C16" i="5"/>
  <c r="C26" i="5" s="1"/>
  <c r="B16" i="5"/>
  <c r="N16" i="5" s="1"/>
  <c r="M11" i="5"/>
  <c r="L11" i="5"/>
  <c r="K11" i="5"/>
  <c r="J11" i="5"/>
  <c r="J26" i="5" s="1"/>
  <c r="H11" i="5"/>
  <c r="G11" i="5"/>
  <c r="F11" i="5"/>
  <c r="F26" i="5" s="1"/>
  <c r="E11" i="5"/>
  <c r="E26" i="5" s="1"/>
  <c r="D11" i="5"/>
  <c r="C11" i="5"/>
  <c r="B11" i="5"/>
  <c r="N11" i="5" s="1"/>
  <c r="D65" i="1"/>
  <c r="N6" i="5"/>
  <c r="B23" i="2"/>
  <c r="D23" i="2"/>
  <c r="F23" i="2"/>
  <c r="H23" i="2"/>
  <c r="B22" i="2"/>
  <c r="D22" i="2"/>
  <c r="J22" i="2" s="1"/>
  <c r="F22" i="2"/>
  <c r="H22" i="2"/>
  <c r="B21" i="2"/>
  <c r="D21" i="2"/>
  <c r="F21" i="2"/>
  <c r="H21" i="2"/>
  <c r="B20" i="2"/>
  <c r="D20" i="2"/>
  <c r="F20" i="2"/>
  <c r="H20" i="2"/>
  <c r="B19" i="2"/>
  <c r="D19" i="2"/>
  <c r="F19" i="2"/>
  <c r="H19" i="2"/>
  <c r="B18" i="2"/>
  <c r="D18" i="2"/>
  <c r="F18" i="2"/>
  <c r="H18" i="2"/>
  <c r="B17" i="2"/>
  <c r="D17" i="2"/>
  <c r="F17" i="2"/>
  <c r="H17" i="2"/>
  <c r="B16" i="2"/>
  <c r="D16" i="2"/>
  <c r="F16" i="2"/>
  <c r="H16" i="2"/>
  <c r="B15" i="2"/>
  <c r="D15" i="2"/>
  <c r="F15" i="2"/>
  <c r="H15" i="2"/>
  <c r="B14" i="2"/>
  <c r="D14" i="2"/>
  <c r="F14" i="2"/>
  <c r="H14" i="2"/>
  <c r="B13" i="2"/>
  <c r="D13" i="2"/>
  <c r="F13" i="2"/>
  <c r="H13" i="2"/>
  <c r="B12" i="2"/>
  <c r="D12" i="2"/>
  <c r="F12" i="2"/>
  <c r="H12" i="2"/>
  <c r="B11" i="2"/>
  <c r="D11" i="2"/>
  <c r="F11" i="2"/>
  <c r="H11" i="2"/>
  <c r="B10" i="2"/>
  <c r="D10" i="2"/>
  <c r="F10" i="2"/>
  <c r="H10" i="2"/>
  <c r="B9" i="2"/>
  <c r="D9" i="2"/>
  <c r="F9" i="2"/>
  <c r="H9" i="2"/>
  <c r="B8" i="2"/>
  <c r="D8" i="2"/>
  <c r="F8" i="2"/>
  <c r="H8" i="2"/>
  <c r="B7" i="2"/>
  <c r="D7" i="2"/>
  <c r="F7" i="2"/>
  <c r="H7" i="2"/>
  <c r="H6" i="2"/>
  <c r="F6" i="2"/>
  <c r="D6" i="2"/>
  <c r="B6" i="2"/>
  <c r="E72" i="1"/>
  <c r="D5" i="1"/>
  <c r="D7" i="1"/>
  <c r="E7" i="1" s="1"/>
  <c r="D13" i="1"/>
  <c r="E13" i="1" s="1"/>
  <c r="D15" i="1"/>
  <c r="F17" i="1"/>
  <c r="I65" i="1"/>
  <c r="J65" i="1"/>
  <c r="E69" i="1"/>
  <c r="D72" i="1"/>
  <c r="D69" i="1"/>
  <c r="C72" i="1"/>
  <c r="C69" i="1"/>
  <c r="C17" i="1"/>
  <c r="H17" i="1"/>
  <c r="H24" i="2"/>
  <c r="D24" i="2"/>
  <c r="F24" i="2"/>
  <c r="B24" i="2"/>
  <c r="L80" i="5"/>
  <c r="I75" i="5"/>
  <c r="E15" i="1"/>
  <c r="D75" i="5"/>
  <c r="K80" i="5"/>
  <c r="M26" i="5"/>
  <c r="I11" i="5"/>
  <c r="H26" i="5"/>
  <c r="L26" i="5"/>
  <c r="K26" i="5"/>
  <c r="J20" i="2"/>
  <c r="G72" i="1"/>
  <c r="H72" i="1"/>
  <c r="G13" i="1"/>
  <c r="G65" i="1"/>
  <c r="H65" i="1" s="1"/>
  <c r="F72" i="1"/>
  <c r="F29" i="2"/>
  <c r="F30" i="2" s="1"/>
  <c r="F69" i="1"/>
  <c r="H29" i="2"/>
  <c r="H56" i="2" s="1"/>
  <c r="D21" i="5"/>
  <c r="D26" i="5"/>
  <c r="I21" i="5"/>
  <c r="I26" i="5"/>
  <c r="D29" i="2" l="1"/>
  <c r="D56" i="2" s="1"/>
  <c r="I33" i="13"/>
  <c r="I51" i="13"/>
  <c r="I69" i="13"/>
  <c r="I78" i="13"/>
  <c r="I82" i="13"/>
  <c r="I86" i="13"/>
  <c r="I79" i="13"/>
  <c r="I83" i="13"/>
  <c r="I75" i="13"/>
  <c r="I76" i="13"/>
  <c r="I80" i="13"/>
  <c r="I84" i="13"/>
  <c r="I77" i="13"/>
  <c r="I81" i="13"/>
  <c r="I85" i="13"/>
  <c r="D68" i="15"/>
  <c r="J122" i="15"/>
  <c r="J126" i="15"/>
  <c r="D115" i="14"/>
  <c r="D111" i="14"/>
  <c r="E108" i="14"/>
  <c r="B100" i="15"/>
  <c r="B84" i="15"/>
  <c r="B91" i="15"/>
  <c r="F91" i="15" s="1"/>
  <c r="B103" i="15"/>
  <c r="B92" i="15"/>
  <c r="B108" i="15"/>
  <c r="B104" i="15"/>
  <c r="B101" i="15"/>
  <c r="B90" i="15"/>
  <c r="B88" i="15"/>
  <c r="B109" i="15"/>
  <c r="B86" i="15"/>
  <c r="B105" i="15"/>
  <c r="B81" i="15"/>
  <c r="B82" i="15"/>
  <c r="B110" i="15"/>
  <c r="B106" i="15"/>
  <c r="F106" i="15" s="1"/>
  <c r="B102" i="15"/>
  <c r="B83" i="15"/>
  <c r="B89" i="15"/>
  <c r="B87" i="15"/>
  <c r="B99" i="15"/>
  <c r="F99" i="15" s="1"/>
  <c r="B85" i="15"/>
  <c r="B107" i="15"/>
  <c r="E91" i="15"/>
  <c r="E89" i="15"/>
  <c r="E87" i="15"/>
  <c r="E85" i="15"/>
  <c r="E83" i="15"/>
  <c r="I95" i="13"/>
  <c r="I99" i="13"/>
  <c r="I103" i="13"/>
  <c r="I96" i="13"/>
  <c r="I100" i="13"/>
  <c r="I92" i="13"/>
  <c r="I93" i="13"/>
  <c r="I97" i="13"/>
  <c r="I101" i="13"/>
  <c r="I94" i="13"/>
  <c r="I98" i="13"/>
  <c r="I102" i="13"/>
  <c r="F56" i="2"/>
  <c r="J13" i="2"/>
  <c r="J16" i="2"/>
  <c r="J21" i="2"/>
  <c r="J80" i="5"/>
  <c r="F80" i="5"/>
  <c r="J119" i="15"/>
  <c r="J123" i="15"/>
  <c r="J127" i="15"/>
  <c r="D106" i="14"/>
  <c r="G60" i="14"/>
  <c r="C83" i="15"/>
  <c r="C81" i="15"/>
  <c r="C89" i="15"/>
  <c r="C99" i="15"/>
  <c r="G99" i="15" s="1"/>
  <c r="C87" i="15"/>
  <c r="C107" i="15"/>
  <c r="G107" i="15" s="1"/>
  <c r="C85" i="15"/>
  <c r="C103" i="15"/>
  <c r="C84" i="15"/>
  <c r="C92" i="15"/>
  <c r="C108" i="15"/>
  <c r="C104" i="15"/>
  <c r="C100" i="15"/>
  <c r="C91" i="15"/>
  <c r="C109" i="15"/>
  <c r="C90" i="15"/>
  <c r="C105" i="15"/>
  <c r="C88" i="15"/>
  <c r="C101" i="15"/>
  <c r="C86" i="15"/>
  <c r="C110" i="15"/>
  <c r="C82" i="15"/>
  <c r="C106" i="15"/>
  <c r="C102" i="15"/>
  <c r="D17" i="1"/>
  <c r="E21" i="1" s="1"/>
  <c r="B26" i="5"/>
  <c r="N26" i="5" s="1"/>
  <c r="G7" i="1"/>
  <c r="N21" i="5"/>
  <c r="E5" i="1"/>
  <c r="E17" i="1" s="1"/>
  <c r="G69" i="1"/>
  <c r="H69" i="1" s="1"/>
  <c r="J24" i="2"/>
  <c r="I17" i="1"/>
  <c r="G80" i="5"/>
  <c r="J33" i="13"/>
  <c r="G69" i="13"/>
  <c r="E106" i="14"/>
  <c r="E92" i="15"/>
  <c r="E90" i="15"/>
  <c r="E88" i="15"/>
  <c r="E86" i="15"/>
  <c r="E84" i="15"/>
  <c r="E82" i="15"/>
  <c r="C75" i="1"/>
  <c r="I15" i="13"/>
  <c r="J121" i="15"/>
  <c r="J125" i="15"/>
  <c r="J129" i="15"/>
  <c r="G40" i="17"/>
  <c r="C28" i="17"/>
  <c r="M40" i="17"/>
  <c r="J26" i="2"/>
  <c r="K29" i="17"/>
  <c r="D40" i="17"/>
  <c r="D28" i="17"/>
  <c r="D56" i="17" s="1"/>
  <c r="D69" i="17" s="1"/>
  <c r="F41" i="17"/>
  <c r="H28" i="17"/>
  <c r="H56" i="17" s="1"/>
  <c r="H69" i="17" s="1"/>
  <c r="K40" i="17"/>
  <c r="M56" i="17"/>
  <c r="M69" i="17" s="1"/>
  <c r="E40" i="17"/>
  <c r="C80" i="17" s="1"/>
  <c r="J55" i="17"/>
  <c r="J68" i="17" s="1"/>
  <c r="B80" i="17" s="1"/>
  <c r="F14" i="15"/>
  <c r="F30" i="17"/>
  <c r="F42" i="17"/>
  <c r="F57" i="17"/>
  <c r="F70" i="17" s="1"/>
  <c r="M57" i="17"/>
  <c r="M70" i="17" s="1"/>
  <c r="M42" i="17"/>
  <c r="M30" i="17"/>
  <c r="I56" i="17"/>
  <c r="I69" i="17" s="1"/>
  <c r="I29" i="17"/>
  <c r="I41" i="17"/>
  <c r="L56" i="17"/>
  <c r="L69" i="17" s="1"/>
  <c r="L29" i="17"/>
  <c r="L57" i="17" s="1"/>
  <c r="L70" i="17" s="1"/>
  <c r="D29" i="17"/>
  <c r="F56" i="17"/>
  <c r="F69" i="17" s="1"/>
  <c r="D41" i="17"/>
  <c r="C56" i="17"/>
  <c r="C69" i="17" s="1"/>
  <c r="E28" i="17"/>
  <c r="B28" i="17"/>
  <c r="P68" i="17"/>
  <c r="G88" i="15"/>
  <c r="J104" i="13"/>
  <c r="H104" i="13"/>
  <c r="G104" i="13"/>
  <c r="H92" i="13"/>
  <c r="F75" i="1"/>
  <c r="B29" i="2"/>
  <c r="J29" i="2" s="1"/>
  <c r="G17" i="1"/>
  <c r="J72" i="1"/>
  <c r="J75" i="1" s="1"/>
  <c r="I75" i="1"/>
  <c r="G63" i="1"/>
  <c r="J6" i="2"/>
  <c r="J7" i="2"/>
  <c r="J8" i="2"/>
  <c r="J9" i="2"/>
  <c r="J10" i="2"/>
  <c r="J11" i="2"/>
  <c r="J12" i="2"/>
  <c r="J14" i="2"/>
  <c r="J15" i="2"/>
  <c r="J17" i="2"/>
  <c r="J18" i="2"/>
  <c r="J19" i="2"/>
  <c r="J23" i="2"/>
  <c r="J69" i="13"/>
  <c r="L42" i="17"/>
  <c r="J28" i="2"/>
  <c r="B75" i="1"/>
  <c r="H30" i="2"/>
  <c r="G5" i="1"/>
  <c r="B80" i="5"/>
  <c r="J25" i="2"/>
  <c r="D107" i="14"/>
  <c r="E116" i="14"/>
  <c r="D113" i="14"/>
  <c r="J27" i="2"/>
  <c r="D114" i="14"/>
  <c r="E111" i="14"/>
  <c r="C126" i="15"/>
  <c r="J56" i="17"/>
  <c r="J69" i="17" s="1"/>
  <c r="J41" i="17"/>
  <c r="H41" i="17"/>
  <c r="G56" i="17"/>
  <c r="G69" i="17" s="1"/>
  <c r="G29" i="17"/>
  <c r="J51" i="13"/>
  <c r="L41" i="17"/>
  <c r="J29" i="17"/>
  <c r="E115" i="14"/>
  <c r="F100" i="15"/>
  <c r="F102" i="15"/>
  <c r="F104" i="15"/>
  <c r="F108" i="15"/>
  <c r="F110" i="15"/>
  <c r="F101" i="15"/>
  <c r="F103" i="15"/>
  <c r="F105" i="15"/>
  <c r="F107" i="15"/>
  <c r="F109" i="15"/>
  <c r="F13" i="15"/>
  <c r="G14" i="15"/>
  <c r="G51" i="14"/>
  <c r="H40" i="14"/>
  <c r="B106" i="14"/>
  <c r="F106" i="14" s="1"/>
  <c r="B107" i="14"/>
  <c r="F107" i="14" s="1"/>
  <c r="B111" i="14"/>
  <c r="B115" i="14"/>
  <c r="F115" i="14" s="1"/>
  <c r="B105" i="14"/>
  <c r="B108" i="14"/>
  <c r="B113" i="14"/>
  <c r="F113" i="14" s="1"/>
  <c r="F60" i="14"/>
  <c r="B109" i="14"/>
  <c r="B114" i="14"/>
  <c r="F114" i="14" s="1"/>
  <c r="B110" i="14"/>
  <c r="B116" i="14"/>
  <c r="F116" i="14" s="1"/>
  <c r="D109" i="14"/>
  <c r="E114" i="14"/>
  <c r="E110" i="14"/>
  <c r="D110" i="14"/>
  <c r="C108" i="14"/>
  <c r="G108" i="14" s="1"/>
  <c r="D112" i="14"/>
  <c r="D108" i="14"/>
  <c r="E113" i="14"/>
  <c r="G113" i="14" s="1"/>
  <c r="E109" i="14"/>
  <c r="E105" i="14"/>
  <c r="E107" i="14"/>
  <c r="B112" i="14"/>
  <c r="F112" i="14" s="1"/>
  <c r="C107" i="14"/>
  <c r="G107" i="14" s="1"/>
  <c r="C111" i="14"/>
  <c r="C115" i="14"/>
  <c r="C105" i="14"/>
  <c r="C112" i="14"/>
  <c r="G112" i="14" s="1"/>
  <c r="C106" i="14"/>
  <c r="G106" i="14" s="1"/>
  <c r="C116" i="14"/>
  <c r="G116" i="14" s="1"/>
  <c r="C110" i="14"/>
  <c r="G110" i="14" s="1"/>
  <c r="C114" i="14"/>
  <c r="G114" i="14" s="1"/>
  <c r="C109" i="14"/>
  <c r="G13" i="15"/>
  <c r="J87" i="13"/>
  <c r="H87" i="13"/>
  <c r="G87" i="13"/>
  <c r="D30" i="2"/>
  <c r="D31" i="2" s="1"/>
  <c r="D58" i="2" s="1"/>
  <c r="F31" i="2"/>
  <c r="F57" i="2"/>
  <c r="B30" i="2"/>
  <c r="C41" i="17" l="1"/>
  <c r="C29" i="17"/>
  <c r="B56" i="2"/>
  <c r="J56" i="2" s="1"/>
  <c r="L30" i="17"/>
  <c r="L31" i="17" s="1"/>
  <c r="B56" i="17"/>
  <c r="B41" i="17"/>
  <c r="I104" i="13"/>
  <c r="F110" i="14"/>
  <c r="F111" i="14"/>
  <c r="I87" i="13"/>
  <c r="N68" i="17"/>
  <c r="H29" i="17"/>
  <c r="H42" i="17" s="1"/>
  <c r="K57" i="17"/>
  <c r="K70" i="17" s="1"/>
  <c r="K42" i="17"/>
  <c r="K30" i="17"/>
  <c r="H99" i="15"/>
  <c r="J99" i="15"/>
  <c r="G90" i="15"/>
  <c r="F89" i="15"/>
  <c r="G91" i="15"/>
  <c r="G85" i="15"/>
  <c r="G82" i="15"/>
  <c r="E56" i="17"/>
  <c r="E69" i="17" s="1"/>
  <c r="N69" i="17" s="1"/>
  <c r="E41" i="17"/>
  <c r="E29" i="17"/>
  <c r="I30" i="17"/>
  <c r="I42" i="17"/>
  <c r="I57" i="17"/>
  <c r="I70" i="17" s="1"/>
  <c r="M58" i="17"/>
  <c r="M71" i="17" s="1"/>
  <c r="M31" i="17"/>
  <c r="M43" i="17"/>
  <c r="B29" i="17"/>
  <c r="D42" i="17"/>
  <c r="D30" i="17"/>
  <c r="D57" i="17"/>
  <c r="D70" i="17" s="1"/>
  <c r="F31" i="17"/>
  <c r="F58" i="17"/>
  <c r="F71" i="17" s="1"/>
  <c r="F43" i="17"/>
  <c r="G86" i="15"/>
  <c r="G92" i="15"/>
  <c r="G89" i="15"/>
  <c r="F83" i="15"/>
  <c r="F87" i="15"/>
  <c r="F90" i="15"/>
  <c r="F82" i="15"/>
  <c r="G83" i="15"/>
  <c r="F85" i="15"/>
  <c r="G84" i="15"/>
  <c r="G87" i="15"/>
  <c r="B111" i="15"/>
  <c r="F105" i="14"/>
  <c r="B117" i="14"/>
  <c r="G104" i="15"/>
  <c r="C123" i="15"/>
  <c r="D32" i="2"/>
  <c r="G81" i="15"/>
  <c r="C93" i="15"/>
  <c r="G105" i="14"/>
  <c r="C117" i="14"/>
  <c r="F81" i="15"/>
  <c r="B93" i="15"/>
  <c r="G110" i="15"/>
  <c r="C129" i="15"/>
  <c r="G105" i="15"/>
  <c r="C124" i="15"/>
  <c r="C118" i="15"/>
  <c r="B118" i="15" s="1"/>
  <c r="C111" i="15"/>
  <c r="F88" i="15"/>
  <c r="J42" i="17"/>
  <c r="J30" i="17"/>
  <c r="J57" i="17"/>
  <c r="J70" i="17" s="1"/>
  <c r="H57" i="17"/>
  <c r="H70" i="17" s="1"/>
  <c r="L43" i="17"/>
  <c r="G75" i="1"/>
  <c r="H63" i="1"/>
  <c r="H75" i="1" s="1"/>
  <c r="D57" i="2"/>
  <c r="G115" i="14"/>
  <c r="G106" i="15"/>
  <c r="C125" i="15"/>
  <c r="G100" i="15"/>
  <c r="C119" i="15"/>
  <c r="F86" i="15"/>
  <c r="G30" i="17"/>
  <c r="G57" i="17"/>
  <c r="G70" i="17" s="1"/>
  <c r="G42" i="17"/>
  <c r="C144" i="15"/>
  <c r="B126" i="15"/>
  <c r="F126" i="15" s="1"/>
  <c r="G126" i="15"/>
  <c r="H57" i="2"/>
  <c r="H31" i="2"/>
  <c r="F109" i="14"/>
  <c r="G109" i="15"/>
  <c r="C128" i="15"/>
  <c r="G109" i="14"/>
  <c r="G111" i="14"/>
  <c r="F108" i="14"/>
  <c r="G103" i="15"/>
  <c r="C122" i="15"/>
  <c r="B122" i="15" s="1"/>
  <c r="F122" i="15" s="1"/>
  <c r="G102" i="15"/>
  <c r="C121" i="15"/>
  <c r="G108" i="15"/>
  <c r="C127" i="15"/>
  <c r="G101" i="15"/>
  <c r="C120" i="15"/>
  <c r="F92" i="15"/>
  <c r="F84" i="15"/>
  <c r="P69" i="17"/>
  <c r="F33" i="5"/>
  <c r="F87" i="5" s="1"/>
  <c r="K33" i="5"/>
  <c r="K87" i="5" s="1"/>
  <c r="D33" i="5"/>
  <c r="D87" i="5" s="1"/>
  <c r="L33" i="5"/>
  <c r="L87" i="5" s="1"/>
  <c r="G33" i="5"/>
  <c r="G87" i="5" s="1"/>
  <c r="J33" i="5"/>
  <c r="J87" i="5" s="1"/>
  <c r="C33" i="5"/>
  <c r="C87" i="5" s="1"/>
  <c r="E33" i="5"/>
  <c r="E87" i="5" s="1"/>
  <c r="B33" i="5"/>
  <c r="I33" i="5"/>
  <c r="I87" i="5" s="1"/>
  <c r="H33" i="5"/>
  <c r="H87" i="5" s="1"/>
  <c r="M33" i="5"/>
  <c r="M87" i="5" s="1"/>
  <c r="B31" i="2"/>
  <c r="B57" i="2"/>
  <c r="J30" i="2"/>
  <c r="D33" i="2"/>
  <c r="D59" i="2"/>
  <c r="F58" i="2"/>
  <c r="F32" i="2"/>
  <c r="L58" i="17" l="1"/>
  <c r="L71" i="17" s="1"/>
  <c r="B57" i="17"/>
  <c r="B42" i="17"/>
  <c r="C30" i="17"/>
  <c r="C42" i="17"/>
  <c r="C57" i="17"/>
  <c r="C70" i="17" s="1"/>
  <c r="C81" i="17"/>
  <c r="J57" i="2"/>
  <c r="J34" i="5" s="1"/>
  <c r="J88" i="5" s="1"/>
  <c r="H30" i="17"/>
  <c r="H43" i="17" s="1"/>
  <c r="K58" i="17"/>
  <c r="K71" i="17" s="1"/>
  <c r="K31" i="17"/>
  <c r="K43" i="17"/>
  <c r="B81" i="17"/>
  <c r="F59" i="17"/>
  <c r="F72" i="17" s="1"/>
  <c r="F44" i="17"/>
  <c r="F32" i="17"/>
  <c r="B30" i="17"/>
  <c r="M32" i="17"/>
  <c r="M59" i="17"/>
  <c r="M72" i="17" s="1"/>
  <c r="M44" i="17"/>
  <c r="I58" i="17"/>
  <c r="I71" i="17" s="1"/>
  <c r="I43" i="17"/>
  <c r="I31" i="17"/>
  <c r="E30" i="17"/>
  <c r="E57" i="17"/>
  <c r="E70" i="17" s="1"/>
  <c r="E42" i="17"/>
  <c r="D43" i="17"/>
  <c r="D58" i="17"/>
  <c r="D71" i="17" s="1"/>
  <c r="D31" i="17"/>
  <c r="P70" i="17"/>
  <c r="G93" i="15"/>
  <c r="J81" i="15"/>
  <c r="G144" i="15"/>
  <c r="C162" i="15"/>
  <c r="B144" i="15"/>
  <c r="F144" i="15" s="1"/>
  <c r="C145" i="15"/>
  <c r="G127" i="15"/>
  <c r="B127" i="15"/>
  <c r="F127" i="15" s="1"/>
  <c r="G122" i="15"/>
  <c r="C140" i="15"/>
  <c r="B128" i="15"/>
  <c r="F128" i="15" s="1"/>
  <c r="C146" i="15"/>
  <c r="G128" i="15"/>
  <c r="H32" i="2"/>
  <c r="H58" i="2"/>
  <c r="G119" i="15"/>
  <c r="B119" i="15"/>
  <c r="F119" i="15" s="1"/>
  <c r="C137" i="15"/>
  <c r="H31" i="17"/>
  <c r="H81" i="15"/>
  <c r="F93" i="15"/>
  <c r="F117" i="14"/>
  <c r="C142" i="15"/>
  <c r="G124" i="15"/>
  <c r="B124" i="15"/>
  <c r="F124" i="15" s="1"/>
  <c r="F118" i="15"/>
  <c r="J31" i="17"/>
  <c r="J43" i="17"/>
  <c r="J58" i="17"/>
  <c r="J71" i="17" s="1"/>
  <c r="C130" i="15"/>
  <c r="G118" i="15"/>
  <c r="C136" i="15"/>
  <c r="G129" i="15"/>
  <c r="C147" i="15"/>
  <c r="B129" i="15"/>
  <c r="F129" i="15" s="1"/>
  <c r="C141" i="15"/>
  <c r="G123" i="15"/>
  <c r="B123" i="15"/>
  <c r="F123" i="15" s="1"/>
  <c r="C138" i="15"/>
  <c r="G120" i="15"/>
  <c r="B120" i="15"/>
  <c r="F120" i="15" s="1"/>
  <c r="B121" i="15"/>
  <c r="F121" i="15" s="1"/>
  <c r="G121" i="15"/>
  <c r="C139" i="15"/>
  <c r="G58" i="17"/>
  <c r="G71" i="17" s="1"/>
  <c r="G31" i="17"/>
  <c r="G43" i="17"/>
  <c r="G125" i="15"/>
  <c r="B125" i="15"/>
  <c r="F125" i="15" s="1"/>
  <c r="C143" i="15"/>
  <c r="L59" i="17"/>
  <c r="L72" i="17" s="1"/>
  <c r="L44" i="17"/>
  <c r="L32" i="17"/>
  <c r="G111" i="15"/>
  <c r="G117" i="14"/>
  <c r="F111" i="15"/>
  <c r="B32" i="2"/>
  <c r="B58" i="2"/>
  <c r="J31" i="2"/>
  <c r="B87" i="5"/>
  <c r="N87" i="5" s="1"/>
  <c r="N33" i="5"/>
  <c r="O87" i="5"/>
  <c r="F33" i="2"/>
  <c r="F59" i="2"/>
  <c r="L34" i="5"/>
  <c r="L88" i="5" s="1"/>
  <c r="C34" i="5"/>
  <c r="C88" i="5" s="1"/>
  <c r="D34" i="5"/>
  <c r="D88" i="5" s="1"/>
  <c r="E34" i="5"/>
  <c r="E88" i="5" s="1"/>
  <c r="I34" i="5"/>
  <c r="I88" i="5" s="1"/>
  <c r="K34" i="5"/>
  <c r="K88" i="5" s="1"/>
  <c r="M34" i="5"/>
  <c r="M88" i="5" s="1"/>
  <c r="G34" i="5"/>
  <c r="G88" i="5" s="1"/>
  <c r="B34" i="5"/>
  <c r="D60" i="2"/>
  <c r="D34" i="2"/>
  <c r="H58" i="17" l="1"/>
  <c r="H71" i="17" s="1"/>
  <c r="C58" i="17"/>
  <c r="C71" i="17" s="1"/>
  <c r="C31" i="17"/>
  <c r="C43" i="17"/>
  <c r="F34" i="5"/>
  <c r="F88" i="5" s="1"/>
  <c r="H34" i="5"/>
  <c r="H88" i="5" s="1"/>
  <c r="B58" i="17"/>
  <c r="B43" i="17"/>
  <c r="C83" i="17" s="1"/>
  <c r="J58" i="2"/>
  <c r="K44" i="17"/>
  <c r="K32" i="17"/>
  <c r="K59" i="17"/>
  <c r="K72" i="17" s="1"/>
  <c r="N70" i="17"/>
  <c r="B82" i="17"/>
  <c r="C82" i="17"/>
  <c r="I59" i="17"/>
  <c r="I72" i="17" s="1"/>
  <c r="I44" i="17"/>
  <c r="I32" i="17"/>
  <c r="M33" i="17"/>
  <c r="M45" i="17"/>
  <c r="M60" i="17"/>
  <c r="M73" i="17" s="1"/>
  <c r="F33" i="17"/>
  <c r="F45" i="17"/>
  <c r="F60" i="17"/>
  <c r="F73" i="17" s="1"/>
  <c r="D59" i="17"/>
  <c r="D72" i="17" s="1"/>
  <c r="D44" i="17"/>
  <c r="D32" i="17"/>
  <c r="E58" i="17"/>
  <c r="E71" i="17" s="1"/>
  <c r="E43" i="17"/>
  <c r="E31" i="17"/>
  <c r="B31" i="17"/>
  <c r="O118" i="15"/>
  <c r="C161" i="15"/>
  <c r="B143" i="15"/>
  <c r="F143" i="15" s="1"/>
  <c r="G143" i="15"/>
  <c r="G44" i="17"/>
  <c r="G59" i="17"/>
  <c r="G72" i="17" s="1"/>
  <c r="G32" i="17"/>
  <c r="L45" i="17"/>
  <c r="L60" i="17"/>
  <c r="L73" i="17" s="1"/>
  <c r="L33" i="17"/>
  <c r="P71" i="17"/>
  <c r="C159" i="15"/>
  <c r="B141" i="15"/>
  <c r="F141" i="15" s="1"/>
  <c r="G141" i="15"/>
  <c r="G136" i="15"/>
  <c r="C154" i="15"/>
  <c r="C148" i="15"/>
  <c r="B136" i="15"/>
  <c r="B130" i="15"/>
  <c r="B142" i="15"/>
  <c r="F142" i="15" s="1"/>
  <c r="G142" i="15"/>
  <c r="C160" i="15"/>
  <c r="H44" i="17"/>
  <c r="H32" i="17"/>
  <c r="H59" i="17"/>
  <c r="H72" i="17" s="1"/>
  <c r="B146" i="15"/>
  <c r="F146" i="15" s="1"/>
  <c r="C164" i="15"/>
  <c r="G146" i="15"/>
  <c r="G139" i="15"/>
  <c r="C157" i="15"/>
  <c r="B139" i="15"/>
  <c r="F139" i="15" s="1"/>
  <c r="G130" i="15"/>
  <c r="J44" i="17"/>
  <c r="J59" i="17"/>
  <c r="J72" i="17" s="1"/>
  <c r="J32" i="17"/>
  <c r="M118" i="15"/>
  <c r="F130" i="15"/>
  <c r="C156" i="15"/>
  <c r="B138" i="15"/>
  <c r="F138" i="15" s="1"/>
  <c r="G138" i="15"/>
  <c r="G147" i="15"/>
  <c r="B147" i="15"/>
  <c r="F147" i="15" s="1"/>
  <c r="C165" i="15"/>
  <c r="C155" i="15"/>
  <c r="B137" i="15"/>
  <c r="F137" i="15" s="1"/>
  <c r="G137" i="15"/>
  <c r="H33" i="2"/>
  <c r="H59" i="2"/>
  <c r="G140" i="15"/>
  <c r="B140" i="15"/>
  <c r="F140" i="15" s="1"/>
  <c r="C158" i="15"/>
  <c r="B145" i="15"/>
  <c r="F145" i="15" s="1"/>
  <c r="C163" i="15"/>
  <c r="G145" i="15"/>
  <c r="C180" i="15"/>
  <c r="C27" i="16" s="1"/>
  <c r="G162" i="15"/>
  <c r="B162" i="15"/>
  <c r="F162" i="15" s="1"/>
  <c r="O88" i="5"/>
  <c r="B59" i="2"/>
  <c r="B33" i="2"/>
  <c r="J32" i="2"/>
  <c r="L35" i="5"/>
  <c r="L89" i="5" s="1"/>
  <c r="J35" i="5"/>
  <c r="J89" i="5" s="1"/>
  <c r="C35" i="5"/>
  <c r="C89" i="5" s="1"/>
  <c r="E35" i="5"/>
  <c r="E89" i="5" s="1"/>
  <c r="F35" i="5"/>
  <c r="F89" i="5" s="1"/>
  <c r="B35" i="5"/>
  <c r="D35" i="5"/>
  <c r="D89" i="5" s="1"/>
  <c r="G35" i="5"/>
  <c r="G89" i="5" s="1"/>
  <c r="M35" i="5"/>
  <c r="M89" i="5" s="1"/>
  <c r="K35" i="5"/>
  <c r="K89" i="5" s="1"/>
  <c r="H35" i="5"/>
  <c r="H89" i="5" s="1"/>
  <c r="I35" i="5"/>
  <c r="I89" i="5" s="1"/>
  <c r="B88" i="5"/>
  <c r="N88" i="5" s="1"/>
  <c r="F34" i="2"/>
  <c r="F60" i="2"/>
  <c r="D61" i="2"/>
  <c r="D35" i="2"/>
  <c r="B59" i="17" l="1"/>
  <c r="B44" i="17"/>
  <c r="C84" i="17" s="1"/>
  <c r="N34" i="5"/>
  <c r="C44" i="17"/>
  <c r="C59" i="17"/>
  <c r="C72" i="17" s="1"/>
  <c r="C32" i="17"/>
  <c r="K33" i="17"/>
  <c r="K60" i="17"/>
  <c r="K73" i="17" s="1"/>
  <c r="K45" i="17"/>
  <c r="G148" i="15"/>
  <c r="G27" i="16"/>
  <c r="B27" i="16"/>
  <c r="F27" i="16" s="1"/>
  <c r="C45" i="16"/>
  <c r="B83" i="17"/>
  <c r="N71" i="17"/>
  <c r="D45" i="17"/>
  <c r="D60" i="17"/>
  <c r="D73" i="17" s="1"/>
  <c r="D33" i="17"/>
  <c r="F34" i="17"/>
  <c r="F61" i="17"/>
  <c r="F74" i="17" s="1"/>
  <c r="F46" i="17"/>
  <c r="I60" i="17"/>
  <c r="I73" i="17" s="1"/>
  <c r="I33" i="17"/>
  <c r="I45" i="17"/>
  <c r="E32" i="17"/>
  <c r="E59" i="17"/>
  <c r="E72" i="17" s="1"/>
  <c r="N72" i="17" s="1"/>
  <c r="E44" i="17"/>
  <c r="B32" i="17"/>
  <c r="M61" i="17"/>
  <c r="M74" i="17" s="1"/>
  <c r="M34" i="17"/>
  <c r="M46" i="17"/>
  <c r="B180" i="15"/>
  <c r="F180" i="15" s="1"/>
  <c r="G180" i="15"/>
  <c r="G158" i="15"/>
  <c r="B158" i="15"/>
  <c r="F158" i="15" s="1"/>
  <c r="C176" i="15"/>
  <c r="C23" i="16" s="1"/>
  <c r="H34" i="2"/>
  <c r="H60" i="2"/>
  <c r="C174" i="15"/>
  <c r="C21" i="16" s="1"/>
  <c r="B156" i="15"/>
  <c r="F156" i="15" s="1"/>
  <c r="G156" i="15"/>
  <c r="J59" i="2"/>
  <c r="J33" i="17"/>
  <c r="J60" i="17"/>
  <c r="J73" i="17" s="1"/>
  <c r="J45" i="17"/>
  <c r="H33" i="17"/>
  <c r="H60" i="17"/>
  <c r="H73" i="17" s="1"/>
  <c r="H45" i="17"/>
  <c r="B160" i="15"/>
  <c r="F160" i="15" s="1"/>
  <c r="G160" i="15"/>
  <c r="C178" i="15"/>
  <c r="C25" i="16" s="1"/>
  <c r="F136" i="15"/>
  <c r="F148" i="15" s="1"/>
  <c r="B148" i="15"/>
  <c r="L61" i="17"/>
  <c r="L74" i="17" s="1"/>
  <c r="L34" i="17"/>
  <c r="L46" i="17"/>
  <c r="G163" i="15"/>
  <c r="B163" i="15"/>
  <c r="F163" i="15" s="1"/>
  <c r="C181" i="15"/>
  <c r="C28" i="16" s="1"/>
  <c r="C175" i="15"/>
  <c r="C22" i="16" s="1"/>
  <c r="B157" i="15"/>
  <c r="F157" i="15" s="1"/>
  <c r="G157" i="15"/>
  <c r="G164" i="15"/>
  <c r="B164" i="15"/>
  <c r="F164" i="15" s="1"/>
  <c r="C182" i="15"/>
  <c r="C29" i="16" s="1"/>
  <c r="O136" i="15"/>
  <c r="G45" i="17"/>
  <c r="G60" i="17"/>
  <c r="G73" i="17" s="1"/>
  <c r="G33" i="17"/>
  <c r="G155" i="15"/>
  <c r="C173" i="15"/>
  <c r="C20" i="16" s="1"/>
  <c r="B155" i="15"/>
  <c r="F155" i="15" s="1"/>
  <c r="C183" i="15"/>
  <c r="C30" i="16" s="1"/>
  <c r="G165" i="15"/>
  <c r="B165" i="15"/>
  <c r="F165" i="15" s="1"/>
  <c r="C172" i="15"/>
  <c r="B154" i="15"/>
  <c r="G154" i="15"/>
  <c r="C166" i="15"/>
  <c r="C177" i="15"/>
  <c r="C24" i="16" s="1"/>
  <c r="G159" i="15"/>
  <c r="B159" i="15"/>
  <c r="F159" i="15" s="1"/>
  <c r="P72" i="17"/>
  <c r="B161" i="15"/>
  <c r="F161" i="15" s="1"/>
  <c r="C179" i="15"/>
  <c r="C26" i="16" s="1"/>
  <c r="G161" i="15"/>
  <c r="M36" i="5"/>
  <c r="M90" i="5" s="1"/>
  <c r="C36" i="5"/>
  <c r="C90" i="5" s="1"/>
  <c r="F36" i="5"/>
  <c r="F90" i="5" s="1"/>
  <c r="E36" i="5"/>
  <c r="E90" i="5" s="1"/>
  <c r="H36" i="5"/>
  <c r="H90" i="5" s="1"/>
  <c r="I36" i="5"/>
  <c r="I90" i="5" s="1"/>
  <c r="G36" i="5"/>
  <c r="G90" i="5" s="1"/>
  <c r="J36" i="5"/>
  <c r="J90" i="5" s="1"/>
  <c r="L36" i="5"/>
  <c r="L90" i="5" s="1"/>
  <c r="K36" i="5"/>
  <c r="K90" i="5" s="1"/>
  <c r="B36" i="5"/>
  <c r="D36" i="5"/>
  <c r="D90" i="5" s="1"/>
  <c r="O89" i="5"/>
  <c r="J33" i="2"/>
  <c r="B60" i="2"/>
  <c r="B34" i="2"/>
  <c r="D36" i="2"/>
  <c r="D62" i="2"/>
  <c r="B89" i="5"/>
  <c r="N89" i="5" s="1"/>
  <c r="N35" i="5"/>
  <c r="F35" i="2"/>
  <c r="F61" i="2"/>
  <c r="C45" i="17" l="1"/>
  <c r="C60" i="17"/>
  <c r="C73" i="17" s="1"/>
  <c r="C33" i="17"/>
  <c r="B60" i="17"/>
  <c r="B45" i="17"/>
  <c r="J60" i="2"/>
  <c r="F37" i="5" s="1"/>
  <c r="F91" i="5" s="1"/>
  <c r="K34" i="17"/>
  <c r="K46" i="17"/>
  <c r="K61" i="17"/>
  <c r="K74" i="17" s="1"/>
  <c r="G166" i="15"/>
  <c r="G29" i="16"/>
  <c r="C47" i="16"/>
  <c r="B29" i="16"/>
  <c r="F29" i="16" s="1"/>
  <c r="G23" i="16"/>
  <c r="C41" i="16"/>
  <c r="B23" i="16"/>
  <c r="F23" i="16" s="1"/>
  <c r="G24" i="16"/>
  <c r="B24" i="16"/>
  <c r="F24" i="16" s="1"/>
  <c r="C42" i="16"/>
  <c r="B172" i="15"/>
  <c r="F172" i="15" s="1"/>
  <c r="C19" i="16"/>
  <c r="C40" i="16"/>
  <c r="B22" i="16"/>
  <c r="F22" i="16" s="1"/>
  <c r="G22" i="16"/>
  <c r="B21" i="16"/>
  <c r="F21" i="16" s="1"/>
  <c r="C39" i="16"/>
  <c r="G21" i="16"/>
  <c r="B45" i="16"/>
  <c r="F45" i="16" s="1"/>
  <c r="G45" i="16"/>
  <c r="C63" i="16"/>
  <c r="G20" i="16"/>
  <c r="B20" i="16"/>
  <c r="F20" i="16" s="1"/>
  <c r="C38" i="16"/>
  <c r="B28" i="16"/>
  <c r="F28" i="16" s="1"/>
  <c r="G28" i="16"/>
  <c r="C46" i="16"/>
  <c r="G25" i="16"/>
  <c r="B25" i="16"/>
  <c r="F25" i="16" s="1"/>
  <c r="C43" i="16"/>
  <c r="G26" i="16"/>
  <c r="B26" i="16"/>
  <c r="F26" i="16" s="1"/>
  <c r="C44" i="16"/>
  <c r="G30" i="16"/>
  <c r="B30" i="16"/>
  <c r="F30" i="16" s="1"/>
  <c r="C48" i="16"/>
  <c r="M62" i="17"/>
  <c r="M75" i="17" s="1"/>
  <c r="M47" i="17"/>
  <c r="M35" i="17"/>
  <c r="D46" i="17"/>
  <c r="D61" i="17"/>
  <c r="D74" i="17" s="1"/>
  <c r="D34" i="17"/>
  <c r="I34" i="17"/>
  <c r="I61" i="17"/>
  <c r="I74" i="17" s="1"/>
  <c r="I46" i="17"/>
  <c r="F35" i="17"/>
  <c r="F62" i="17"/>
  <c r="F75" i="17" s="1"/>
  <c r="F47" i="17"/>
  <c r="P73" i="17"/>
  <c r="B84" i="17"/>
  <c r="B33" i="17"/>
  <c r="E33" i="17"/>
  <c r="E60" i="17"/>
  <c r="E73" i="17" s="1"/>
  <c r="E45" i="17"/>
  <c r="C85" i="17" s="1"/>
  <c r="G174" i="15"/>
  <c r="B174" i="15"/>
  <c r="F174" i="15" s="1"/>
  <c r="O154" i="15"/>
  <c r="B183" i="15"/>
  <c r="F183" i="15" s="1"/>
  <c r="G183" i="15"/>
  <c r="G34" i="17"/>
  <c r="G61" i="17"/>
  <c r="G74" i="17" s="1"/>
  <c r="G46" i="17"/>
  <c r="B182" i="15"/>
  <c r="F182" i="15" s="1"/>
  <c r="G182" i="15"/>
  <c r="M136" i="15"/>
  <c r="F154" i="15"/>
  <c r="F166" i="15" s="1"/>
  <c r="B166" i="15"/>
  <c r="B175" i="15"/>
  <c r="F175" i="15" s="1"/>
  <c r="G175" i="15"/>
  <c r="G181" i="15"/>
  <c r="B181" i="15"/>
  <c r="F181" i="15" s="1"/>
  <c r="L35" i="17"/>
  <c r="L62" i="17"/>
  <c r="L75" i="17" s="1"/>
  <c r="L47" i="17"/>
  <c r="B178" i="15"/>
  <c r="F178" i="15" s="1"/>
  <c r="G178" i="15"/>
  <c r="J34" i="17"/>
  <c r="J61" i="17"/>
  <c r="J74" i="17" s="1"/>
  <c r="J46" i="17"/>
  <c r="H35" i="2"/>
  <c r="H61" i="2"/>
  <c r="G179" i="15"/>
  <c r="B179" i="15"/>
  <c r="F179" i="15" s="1"/>
  <c r="G177" i="15"/>
  <c r="B177" i="15"/>
  <c r="F177" i="15" s="1"/>
  <c r="C184" i="15"/>
  <c r="G172" i="15"/>
  <c r="B173" i="15"/>
  <c r="F173" i="15" s="1"/>
  <c r="G173" i="15"/>
  <c r="H61" i="17"/>
  <c r="H74" i="17" s="1"/>
  <c r="H34" i="17"/>
  <c r="H46" i="17"/>
  <c r="G176" i="15"/>
  <c r="B176" i="15"/>
  <c r="F176" i="15" s="1"/>
  <c r="F36" i="2"/>
  <c r="F62" i="2"/>
  <c r="D63" i="2"/>
  <c r="D37" i="2"/>
  <c r="C37" i="5"/>
  <c r="C91" i="5" s="1"/>
  <c r="J37" i="5"/>
  <c r="J91" i="5" s="1"/>
  <c r="L37" i="5"/>
  <c r="L91" i="5" s="1"/>
  <c r="D37" i="5"/>
  <c r="D91" i="5" s="1"/>
  <c r="M37" i="5"/>
  <c r="M91" i="5" s="1"/>
  <c r="K37" i="5"/>
  <c r="K91" i="5" s="1"/>
  <c r="N36" i="5"/>
  <c r="B90" i="5"/>
  <c r="N90" i="5" s="1"/>
  <c r="O90" i="5"/>
  <c r="J34" i="2"/>
  <c r="B61" i="2"/>
  <c r="J61" i="2" s="1"/>
  <c r="B35" i="2"/>
  <c r="B61" i="17" l="1"/>
  <c r="B46" i="17"/>
  <c r="I37" i="5"/>
  <c r="I91" i="5" s="1"/>
  <c r="B37" i="5"/>
  <c r="B91" i="5" s="1"/>
  <c r="N91" i="5" s="1"/>
  <c r="G37" i="5"/>
  <c r="G91" i="5" s="1"/>
  <c r="C61" i="17"/>
  <c r="C74" i="17" s="1"/>
  <c r="C34" i="17"/>
  <c r="C46" i="17"/>
  <c r="H37" i="5"/>
  <c r="H91" i="5" s="1"/>
  <c r="E37" i="5"/>
  <c r="E91" i="5" s="1"/>
  <c r="K62" i="17"/>
  <c r="K75" i="17" s="1"/>
  <c r="K35" i="17"/>
  <c r="K47" i="17"/>
  <c r="O172" i="15"/>
  <c r="N19" i="16"/>
  <c r="C81" i="16"/>
  <c r="B63" i="16"/>
  <c r="F63" i="16" s="1"/>
  <c r="G63" i="16"/>
  <c r="C57" i="16"/>
  <c r="G39" i="16"/>
  <c r="B39" i="16"/>
  <c r="F39" i="16" s="1"/>
  <c r="C58" i="16"/>
  <c r="B40" i="16"/>
  <c r="F40" i="16" s="1"/>
  <c r="G40" i="16"/>
  <c r="B48" i="16"/>
  <c r="F48" i="16" s="1"/>
  <c r="C66" i="16"/>
  <c r="G48" i="16"/>
  <c r="B38" i="16"/>
  <c r="F38" i="16" s="1"/>
  <c r="G38" i="16"/>
  <c r="C56" i="16"/>
  <c r="B19" i="16"/>
  <c r="G19" i="16"/>
  <c r="G31" i="16" s="1"/>
  <c r="C37" i="16"/>
  <c r="C31" i="16"/>
  <c r="C64" i="16"/>
  <c r="B46" i="16"/>
  <c r="F46" i="16" s="1"/>
  <c r="G46" i="16"/>
  <c r="B47" i="16"/>
  <c r="F47" i="16" s="1"/>
  <c r="G47" i="16"/>
  <c r="C65" i="16"/>
  <c r="C62" i="16"/>
  <c r="B44" i="16"/>
  <c r="F44" i="16" s="1"/>
  <c r="G44" i="16"/>
  <c r="G43" i="16"/>
  <c r="C61" i="16"/>
  <c r="B43" i="16"/>
  <c r="F43" i="16" s="1"/>
  <c r="C60" i="16"/>
  <c r="G42" i="16"/>
  <c r="B42" i="16"/>
  <c r="F42" i="16" s="1"/>
  <c r="C59" i="16"/>
  <c r="G41" i="16"/>
  <c r="B41" i="16"/>
  <c r="F41" i="16" s="1"/>
  <c r="N73" i="17"/>
  <c r="I47" i="17"/>
  <c r="I35" i="17"/>
  <c r="I62" i="17"/>
  <c r="I75" i="17" s="1"/>
  <c r="M63" i="17"/>
  <c r="M76" i="17" s="1"/>
  <c r="M48" i="17"/>
  <c r="M36" i="17"/>
  <c r="B85" i="17"/>
  <c r="E46" i="17"/>
  <c r="E34" i="17"/>
  <c r="E61" i="17"/>
  <c r="E74" i="17" s="1"/>
  <c r="F48" i="17"/>
  <c r="F36" i="17"/>
  <c r="F63" i="17"/>
  <c r="F76" i="17" s="1"/>
  <c r="D35" i="17"/>
  <c r="D47" i="17"/>
  <c r="D62" i="17"/>
  <c r="D75" i="17" s="1"/>
  <c r="B34" i="17"/>
  <c r="H47" i="17"/>
  <c r="H62" i="17"/>
  <c r="H75" i="17" s="1"/>
  <c r="H35" i="17"/>
  <c r="G184" i="15"/>
  <c r="H62" i="2"/>
  <c r="H36" i="2"/>
  <c r="M154" i="15"/>
  <c r="B184" i="15"/>
  <c r="J35" i="17"/>
  <c r="J62" i="17"/>
  <c r="J75" i="17" s="1"/>
  <c r="J47" i="17"/>
  <c r="P74" i="17"/>
  <c r="L48" i="17"/>
  <c r="L36" i="17"/>
  <c r="L63" i="17"/>
  <c r="L76" i="17" s="1"/>
  <c r="G62" i="17"/>
  <c r="G75" i="17" s="1"/>
  <c r="G35" i="17"/>
  <c r="G47" i="17"/>
  <c r="N37" i="5"/>
  <c r="F63" i="2"/>
  <c r="F37" i="2"/>
  <c r="O91" i="5"/>
  <c r="C38" i="5"/>
  <c r="C92" i="5" s="1"/>
  <c r="H38" i="5"/>
  <c r="H92" i="5" s="1"/>
  <c r="K38" i="5"/>
  <c r="K92" i="5" s="1"/>
  <c r="M38" i="5"/>
  <c r="M92" i="5" s="1"/>
  <c r="L38" i="5"/>
  <c r="L92" i="5" s="1"/>
  <c r="G38" i="5"/>
  <c r="G92" i="5" s="1"/>
  <c r="B38" i="5"/>
  <c r="F38" i="5"/>
  <c r="F92" i="5" s="1"/>
  <c r="J38" i="5"/>
  <c r="J92" i="5" s="1"/>
  <c r="E38" i="5"/>
  <c r="E92" i="5" s="1"/>
  <c r="D38" i="5"/>
  <c r="D92" i="5" s="1"/>
  <c r="I38" i="5"/>
  <c r="I92" i="5" s="1"/>
  <c r="B62" i="2"/>
  <c r="J62" i="2" s="1"/>
  <c r="J35" i="2"/>
  <c r="B36" i="2"/>
  <c r="D64" i="2"/>
  <c r="D38" i="2"/>
  <c r="C62" i="17" l="1"/>
  <c r="C75" i="17" s="1"/>
  <c r="C47" i="17"/>
  <c r="C35" i="17"/>
  <c r="B62" i="17"/>
  <c r="B47" i="17"/>
  <c r="N37" i="16"/>
  <c r="K36" i="17"/>
  <c r="K63" i="17"/>
  <c r="K76" i="17" s="1"/>
  <c r="K48" i="17"/>
  <c r="B65" i="16"/>
  <c r="F65" i="16" s="1"/>
  <c r="G65" i="16"/>
  <c r="C83" i="16"/>
  <c r="B81" i="16"/>
  <c r="F81" i="16" s="1"/>
  <c r="C99" i="16"/>
  <c r="G81" i="16"/>
  <c r="C78" i="16"/>
  <c r="G60" i="16"/>
  <c r="B60" i="16"/>
  <c r="F60" i="16" s="1"/>
  <c r="G64" i="16"/>
  <c r="C82" i="16"/>
  <c r="B64" i="16"/>
  <c r="F64" i="16" s="1"/>
  <c r="B31" i="16"/>
  <c r="F19" i="16"/>
  <c r="C75" i="16"/>
  <c r="B57" i="16"/>
  <c r="F57" i="16" s="1"/>
  <c r="G57" i="16"/>
  <c r="C77" i="16"/>
  <c r="B59" i="16"/>
  <c r="F59" i="16" s="1"/>
  <c r="G59" i="16"/>
  <c r="G56" i="16"/>
  <c r="B56" i="16"/>
  <c r="F56" i="16" s="1"/>
  <c r="C74" i="16"/>
  <c r="B66" i="16"/>
  <c r="F66" i="16" s="1"/>
  <c r="G66" i="16"/>
  <c r="C84" i="16"/>
  <c r="B58" i="16"/>
  <c r="F58" i="16" s="1"/>
  <c r="C76" i="16"/>
  <c r="G58" i="16"/>
  <c r="G61" i="16"/>
  <c r="B61" i="16"/>
  <c r="F61" i="16" s="1"/>
  <c r="C79" i="16"/>
  <c r="B62" i="16"/>
  <c r="F62" i="16" s="1"/>
  <c r="C80" i="16"/>
  <c r="G62" i="16"/>
  <c r="C49" i="16"/>
  <c r="C55" i="16"/>
  <c r="B37" i="16"/>
  <c r="G37" i="16"/>
  <c r="G49" i="16" s="1"/>
  <c r="B86" i="17"/>
  <c r="C86" i="17"/>
  <c r="B35" i="17"/>
  <c r="B48" i="17" s="1"/>
  <c r="D48" i="17"/>
  <c r="D36" i="17"/>
  <c r="D63" i="17"/>
  <c r="D76" i="17" s="1"/>
  <c r="E47" i="17"/>
  <c r="E35" i="17"/>
  <c r="E62" i="17"/>
  <c r="E75" i="17" s="1"/>
  <c r="I48" i="17"/>
  <c r="I36" i="17"/>
  <c r="I63" i="17"/>
  <c r="I76" i="17" s="1"/>
  <c r="M64" i="17"/>
  <c r="M77" i="17" s="1"/>
  <c r="M49" i="17"/>
  <c r="N74" i="17"/>
  <c r="F64" i="17"/>
  <c r="F77" i="17" s="1"/>
  <c r="F49" i="17"/>
  <c r="H37" i="2"/>
  <c r="H63" i="2"/>
  <c r="G63" i="17"/>
  <c r="G76" i="17" s="1"/>
  <c r="G48" i="17"/>
  <c r="G36" i="17"/>
  <c r="J63" i="17"/>
  <c r="J76" i="17" s="1"/>
  <c r="J48" i="17"/>
  <c r="J36" i="17"/>
  <c r="P75" i="17"/>
  <c r="M172" i="15"/>
  <c r="F184" i="15"/>
  <c r="L49" i="17"/>
  <c r="L64" i="17"/>
  <c r="L77" i="17" s="1"/>
  <c r="H48" i="17"/>
  <c r="H36" i="17"/>
  <c r="H63" i="17"/>
  <c r="H76" i="17" s="1"/>
  <c r="O92" i="5"/>
  <c r="B92" i="5"/>
  <c r="N92" i="5" s="1"/>
  <c r="N38" i="5"/>
  <c r="B37" i="2"/>
  <c r="J36" i="2"/>
  <c r="B63" i="2"/>
  <c r="D65" i="2"/>
  <c r="D39" i="2"/>
  <c r="C39" i="5"/>
  <c r="C93" i="5" s="1"/>
  <c r="K39" i="5"/>
  <c r="K93" i="5" s="1"/>
  <c r="L39" i="5"/>
  <c r="L93" i="5" s="1"/>
  <c r="F39" i="5"/>
  <c r="F93" i="5" s="1"/>
  <c r="B39" i="5"/>
  <c r="D39" i="5"/>
  <c r="D93" i="5" s="1"/>
  <c r="I39" i="5"/>
  <c r="I93" i="5" s="1"/>
  <c r="G39" i="5"/>
  <c r="G93" i="5" s="1"/>
  <c r="J39" i="5"/>
  <c r="J93" i="5" s="1"/>
  <c r="M39" i="5"/>
  <c r="M93" i="5" s="1"/>
  <c r="H39" i="5"/>
  <c r="H93" i="5" s="1"/>
  <c r="E39" i="5"/>
  <c r="E93" i="5" s="1"/>
  <c r="F38" i="2"/>
  <c r="F64" i="2"/>
  <c r="C63" i="17" l="1"/>
  <c r="C76" i="17" s="1"/>
  <c r="C36" i="17"/>
  <c r="C48" i="17"/>
  <c r="K49" i="17"/>
  <c r="K64" i="17"/>
  <c r="K77" i="17" s="1"/>
  <c r="B87" i="17"/>
  <c r="N55" i="16"/>
  <c r="B75" i="16"/>
  <c r="F75" i="16" s="1"/>
  <c r="G75" i="16"/>
  <c r="C93" i="16"/>
  <c r="B82" i="16"/>
  <c r="F82" i="16" s="1"/>
  <c r="G82" i="16"/>
  <c r="C100" i="16"/>
  <c r="C96" i="16"/>
  <c r="G78" i="16"/>
  <c r="B78" i="16"/>
  <c r="F78" i="16" s="1"/>
  <c r="C101" i="16"/>
  <c r="B83" i="16"/>
  <c r="F83" i="16" s="1"/>
  <c r="G83" i="16"/>
  <c r="B49" i="16"/>
  <c r="F37" i="16"/>
  <c r="G80" i="16"/>
  <c r="C98" i="16"/>
  <c r="B80" i="16"/>
  <c r="F80" i="16" s="1"/>
  <c r="G84" i="16"/>
  <c r="C102" i="16"/>
  <c r="B84" i="16"/>
  <c r="F84" i="16" s="1"/>
  <c r="C95" i="16"/>
  <c r="G77" i="16"/>
  <c r="B77" i="16"/>
  <c r="F77" i="16" s="1"/>
  <c r="L19" i="16"/>
  <c r="F31" i="16"/>
  <c r="C97" i="16"/>
  <c r="B79" i="16"/>
  <c r="F79" i="16" s="1"/>
  <c r="G79" i="16"/>
  <c r="C94" i="16"/>
  <c r="G76" i="16"/>
  <c r="B76" i="16"/>
  <c r="F76" i="16" s="1"/>
  <c r="C92" i="16"/>
  <c r="B74" i="16"/>
  <c r="F74" i="16" s="1"/>
  <c r="G74" i="16"/>
  <c r="B55" i="16"/>
  <c r="C67" i="16"/>
  <c r="C73" i="16"/>
  <c r="G55" i="16"/>
  <c r="G67" i="16" s="1"/>
  <c r="G99" i="16"/>
  <c r="B99" i="16"/>
  <c r="F99" i="16" s="1"/>
  <c r="C87" i="17"/>
  <c r="N75" i="17"/>
  <c r="E36" i="17"/>
  <c r="E48" i="17"/>
  <c r="E63" i="17"/>
  <c r="E76" i="17" s="1"/>
  <c r="B88" i="17" s="1"/>
  <c r="I49" i="17"/>
  <c r="I64" i="17"/>
  <c r="I77" i="17" s="1"/>
  <c r="P76" i="17"/>
  <c r="D64" i="17"/>
  <c r="D77" i="17" s="1"/>
  <c r="D49" i="17"/>
  <c r="B36" i="17"/>
  <c r="B49" i="17" s="1"/>
  <c r="B63" i="17"/>
  <c r="J64" i="17"/>
  <c r="J77" i="17" s="1"/>
  <c r="J49" i="17"/>
  <c r="J63" i="2"/>
  <c r="M40" i="5" s="1"/>
  <c r="M94" i="5" s="1"/>
  <c r="G49" i="17"/>
  <c r="G64" i="17"/>
  <c r="G77" i="17" s="1"/>
  <c r="H64" i="2"/>
  <c r="H38" i="2"/>
  <c r="H64" i="17"/>
  <c r="H77" i="17" s="1"/>
  <c r="H49" i="17"/>
  <c r="O93" i="5"/>
  <c r="D66" i="2"/>
  <c r="D40" i="2"/>
  <c r="B64" i="2"/>
  <c r="B38" i="2"/>
  <c r="J37" i="2"/>
  <c r="F65" i="2"/>
  <c r="F39" i="2"/>
  <c r="B93" i="5"/>
  <c r="N93" i="5" s="1"/>
  <c r="N39" i="5"/>
  <c r="I40" i="5"/>
  <c r="I94" i="5" s="1"/>
  <c r="J40" i="5"/>
  <c r="J94" i="5" s="1"/>
  <c r="E40" i="5"/>
  <c r="E94" i="5" s="1"/>
  <c r="L40" i="5" l="1"/>
  <c r="L94" i="5" s="1"/>
  <c r="D40" i="5"/>
  <c r="D94" i="5" s="1"/>
  <c r="C64" i="17"/>
  <c r="C77" i="17" s="1"/>
  <c r="C49" i="17"/>
  <c r="B40" i="5"/>
  <c r="C40" i="5"/>
  <c r="C94" i="5" s="1"/>
  <c r="H40" i="5"/>
  <c r="H94" i="5" s="1"/>
  <c r="O94" i="5" s="1"/>
  <c r="K40" i="5"/>
  <c r="K94" i="5" s="1"/>
  <c r="G40" i="5"/>
  <c r="G94" i="5" s="1"/>
  <c r="F40" i="5"/>
  <c r="F94" i="5" s="1"/>
  <c r="J64" i="2"/>
  <c r="C41" i="5" s="1"/>
  <c r="C95" i="5" s="1"/>
  <c r="N76" i="17"/>
  <c r="N73" i="16"/>
  <c r="B67" i="16"/>
  <c r="F55" i="16"/>
  <c r="G102" i="16"/>
  <c r="B102" i="16"/>
  <c r="F102" i="16" s="1"/>
  <c r="G96" i="16"/>
  <c r="B96" i="16"/>
  <c r="F96" i="16" s="1"/>
  <c r="G97" i="16"/>
  <c r="B97" i="16"/>
  <c r="F97" i="16" s="1"/>
  <c r="B101" i="16"/>
  <c r="F101" i="16" s="1"/>
  <c r="G101" i="16"/>
  <c r="G92" i="16"/>
  <c r="B92" i="16"/>
  <c r="F92" i="16" s="1"/>
  <c r="B98" i="16"/>
  <c r="F98" i="16" s="1"/>
  <c r="G98" i="16"/>
  <c r="G93" i="16"/>
  <c r="B93" i="16"/>
  <c r="F93" i="16" s="1"/>
  <c r="F49" i="16"/>
  <c r="L37" i="16"/>
  <c r="B100" i="16"/>
  <c r="F100" i="16" s="1"/>
  <c r="G100" i="16"/>
  <c r="B73" i="16"/>
  <c r="C85" i="16"/>
  <c r="G73" i="16"/>
  <c r="G85" i="16" s="1"/>
  <c r="C91" i="16"/>
  <c r="B94" i="16"/>
  <c r="F94" i="16" s="1"/>
  <c r="G94" i="16"/>
  <c r="G95" i="16"/>
  <c r="B95" i="16"/>
  <c r="F95" i="16" s="1"/>
  <c r="C88" i="17"/>
  <c r="B64" i="17"/>
  <c r="E64" i="17"/>
  <c r="E77" i="17" s="1"/>
  <c r="E49" i="17"/>
  <c r="P77" i="17"/>
  <c r="H65" i="2"/>
  <c r="H39" i="2"/>
  <c r="D41" i="2"/>
  <c r="D67" i="2"/>
  <c r="F66" i="2"/>
  <c r="F40" i="2"/>
  <c r="K41" i="5"/>
  <c r="K95" i="5" s="1"/>
  <c r="M41" i="5"/>
  <c r="M95" i="5" s="1"/>
  <c r="H41" i="5"/>
  <c r="H95" i="5" s="1"/>
  <c r="B94" i="5"/>
  <c r="N94" i="5" s="1"/>
  <c r="B39" i="2"/>
  <c r="B65" i="2"/>
  <c r="J38" i="2"/>
  <c r="N91" i="16" l="1"/>
  <c r="D41" i="5"/>
  <c r="D95" i="5" s="1"/>
  <c r="F41" i="5"/>
  <c r="F95" i="5" s="1"/>
  <c r="J65" i="2"/>
  <c r="F42" i="5" s="1"/>
  <c r="F96" i="5" s="1"/>
  <c r="G41" i="5"/>
  <c r="G95" i="5" s="1"/>
  <c r="B41" i="5"/>
  <c r="E41" i="5"/>
  <c r="E95" i="5" s="1"/>
  <c r="N40" i="5"/>
  <c r="L41" i="5"/>
  <c r="L95" i="5" s="1"/>
  <c r="I41" i="5"/>
  <c r="I95" i="5" s="1"/>
  <c r="J41" i="5"/>
  <c r="J95" i="5" s="1"/>
  <c r="L55" i="16"/>
  <c r="F67" i="16"/>
  <c r="C103" i="16"/>
  <c r="G91" i="16"/>
  <c r="G103" i="16" s="1"/>
  <c r="B91" i="16"/>
  <c r="F73" i="16"/>
  <c r="B85" i="16"/>
  <c r="N77" i="17"/>
  <c r="C89" i="17"/>
  <c r="B89" i="17"/>
  <c r="H40" i="2"/>
  <c r="H66" i="2"/>
  <c r="D42" i="2"/>
  <c r="D68" i="2"/>
  <c r="F67" i="2"/>
  <c r="F41" i="2"/>
  <c r="K42" i="5"/>
  <c r="K96" i="5" s="1"/>
  <c r="H42" i="5"/>
  <c r="H96" i="5" s="1"/>
  <c r="C42" i="5"/>
  <c r="C96" i="5" s="1"/>
  <c r="G42" i="5"/>
  <c r="G96" i="5" s="1"/>
  <c r="D42" i="5"/>
  <c r="D96" i="5" s="1"/>
  <c r="B95" i="5"/>
  <c r="J39" i="2"/>
  <c r="B66" i="2"/>
  <c r="B40" i="2"/>
  <c r="J42" i="5" l="1"/>
  <c r="J96" i="5" s="1"/>
  <c r="O95" i="5"/>
  <c r="J66" i="2"/>
  <c r="N41" i="5"/>
  <c r="E42" i="5"/>
  <c r="E96" i="5" s="1"/>
  <c r="I42" i="5"/>
  <c r="I96" i="5" s="1"/>
  <c r="O96" i="5" s="1"/>
  <c r="L42" i="5"/>
  <c r="L96" i="5" s="1"/>
  <c r="B42" i="5"/>
  <c r="M42" i="5"/>
  <c r="M96" i="5" s="1"/>
  <c r="N95" i="5"/>
  <c r="L73" i="16"/>
  <c r="F85" i="16"/>
  <c r="F91" i="16"/>
  <c r="B103" i="16"/>
  <c r="H41" i="2"/>
  <c r="H67" i="2"/>
  <c r="D43" i="2"/>
  <c r="D69" i="2"/>
  <c r="B96" i="5"/>
  <c r="D43" i="5"/>
  <c r="D97" i="5" s="1"/>
  <c r="E43" i="5"/>
  <c r="E97" i="5" s="1"/>
  <c r="B43" i="5"/>
  <c r="F43" i="5"/>
  <c r="F97" i="5" s="1"/>
  <c r="L43" i="5"/>
  <c r="L97" i="5" s="1"/>
  <c r="H43" i="5"/>
  <c r="H97" i="5" s="1"/>
  <c r="G43" i="5"/>
  <c r="G97" i="5" s="1"/>
  <c r="C43" i="5"/>
  <c r="C97" i="5" s="1"/>
  <c r="J43" i="5"/>
  <c r="J97" i="5" s="1"/>
  <c r="K43" i="5"/>
  <c r="K97" i="5" s="1"/>
  <c r="M43" i="5"/>
  <c r="M97" i="5" s="1"/>
  <c r="I43" i="5"/>
  <c r="I97" i="5" s="1"/>
  <c r="J40" i="2"/>
  <c r="B67" i="2"/>
  <c r="B41" i="2"/>
  <c r="F42" i="2"/>
  <c r="F68" i="2"/>
  <c r="N96" i="5" l="1"/>
  <c r="N42" i="5"/>
  <c r="J67" i="2"/>
  <c r="L91" i="16"/>
  <c r="F103" i="16"/>
  <c r="H68" i="2"/>
  <c r="H42" i="2"/>
  <c r="B97" i="5"/>
  <c r="N97" i="5" s="1"/>
  <c r="N43" i="5"/>
  <c r="D44" i="2"/>
  <c r="D70" i="2"/>
  <c r="O97" i="5"/>
  <c r="B42" i="2"/>
  <c r="B68" i="2"/>
  <c r="J68" i="2" s="1"/>
  <c r="J41" i="2"/>
  <c r="F43" i="2"/>
  <c r="F69" i="2"/>
  <c r="I44" i="5"/>
  <c r="I98" i="5" s="1"/>
  <c r="G44" i="5"/>
  <c r="G98" i="5" s="1"/>
  <c r="F44" i="5"/>
  <c r="F98" i="5" s="1"/>
  <c r="C44" i="5"/>
  <c r="C98" i="5" s="1"/>
  <c r="E44" i="5"/>
  <c r="E98" i="5" s="1"/>
  <c r="B44" i="5"/>
  <c r="D44" i="5"/>
  <c r="D98" i="5" s="1"/>
  <c r="J44" i="5"/>
  <c r="J98" i="5" s="1"/>
  <c r="L44" i="5"/>
  <c r="L98" i="5" s="1"/>
  <c r="H44" i="5"/>
  <c r="H98" i="5" s="1"/>
  <c r="M44" i="5"/>
  <c r="M98" i="5" s="1"/>
  <c r="K44" i="5"/>
  <c r="K98" i="5" s="1"/>
  <c r="H69" i="2" l="1"/>
  <c r="H43" i="2"/>
  <c r="B98" i="5"/>
  <c r="N98" i="5" s="1"/>
  <c r="N44" i="5"/>
  <c r="J42" i="2"/>
  <c r="B43" i="2"/>
  <c r="B69" i="2"/>
  <c r="J69" i="2" s="1"/>
  <c r="O98" i="5"/>
  <c r="F44" i="2"/>
  <c r="F70" i="2"/>
  <c r="G45" i="5"/>
  <c r="G99" i="5" s="1"/>
  <c r="M45" i="5"/>
  <c r="M99" i="5" s="1"/>
  <c r="J45" i="5"/>
  <c r="J99" i="5" s="1"/>
  <c r="F45" i="5"/>
  <c r="F99" i="5" s="1"/>
  <c r="B45" i="5"/>
  <c r="I45" i="5"/>
  <c r="I99" i="5" s="1"/>
  <c r="C45" i="5"/>
  <c r="C99" i="5" s="1"/>
  <c r="K45" i="5"/>
  <c r="K99" i="5" s="1"/>
  <c r="H45" i="5"/>
  <c r="H99" i="5" s="1"/>
  <c r="L45" i="5"/>
  <c r="L99" i="5" s="1"/>
  <c r="D45" i="5"/>
  <c r="D99" i="5" s="1"/>
  <c r="E45" i="5"/>
  <c r="E99" i="5" s="1"/>
  <c r="D45" i="2"/>
  <c r="D71" i="2"/>
  <c r="H70" i="2" l="1"/>
  <c r="H44" i="2"/>
  <c r="F45" i="2"/>
  <c r="F71" i="2"/>
  <c r="B70" i="2"/>
  <c r="J70" i="2" s="1"/>
  <c r="B44" i="2"/>
  <c r="J43" i="2"/>
  <c r="H46" i="5"/>
  <c r="H100" i="5" s="1"/>
  <c r="K46" i="5"/>
  <c r="K100" i="5" s="1"/>
  <c r="L46" i="5"/>
  <c r="L100" i="5" s="1"/>
  <c r="E46" i="5"/>
  <c r="E100" i="5" s="1"/>
  <c r="M46" i="5"/>
  <c r="M100" i="5" s="1"/>
  <c r="D46" i="5"/>
  <c r="D100" i="5" s="1"/>
  <c r="F46" i="5"/>
  <c r="F100" i="5" s="1"/>
  <c r="G46" i="5"/>
  <c r="G100" i="5" s="1"/>
  <c r="C46" i="5"/>
  <c r="C100" i="5" s="1"/>
  <c r="J46" i="5"/>
  <c r="J100" i="5" s="1"/>
  <c r="B46" i="5"/>
  <c r="I46" i="5"/>
  <c r="I100" i="5" s="1"/>
  <c r="O99" i="5"/>
  <c r="D72" i="2"/>
  <c r="D46" i="2"/>
  <c r="B99" i="5"/>
  <c r="N99" i="5" s="1"/>
  <c r="N45" i="5"/>
  <c r="H45" i="2" l="1"/>
  <c r="H71" i="2"/>
  <c r="F46" i="2"/>
  <c r="F72" i="2"/>
  <c r="D47" i="2"/>
  <c r="D73" i="2"/>
  <c r="N46" i="5"/>
  <c r="B100" i="5"/>
  <c r="N100" i="5" s="1"/>
  <c r="L47" i="5"/>
  <c r="L101" i="5" s="1"/>
  <c r="M47" i="5"/>
  <c r="M101" i="5" s="1"/>
  <c r="C47" i="5"/>
  <c r="C101" i="5" s="1"/>
  <c r="J47" i="5"/>
  <c r="J101" i="5" s="1"/>
  <c r="B47" i="5"/>
  <c r="K47" i="5"/>
  <c r="K101" i="5" s="1"/>
  <c r="H47" i="5"/>
  <c r="H101" i="5" s="1"/>
  <c r="E47" i="5"/>
  <c r="E101" i="5" s="1"/>
  <c r="G47" i="5"/>
  <c r="G101" i="5" s="1"/>
  <c r="I47" i="5"/>
  <c r="I101" i="5" s="1"/>
  <c r="D47" i="5"/>
  <c r="D101" i="5" s="1"/>
  <c r="F47" i="5"/>
  <c r="F101" i="5" s="1"/>
  <c r="O100" i="5"/>
  <c r="B71" i="2"/>
  <c r="J71" i="2" s="1"/>
  <c r="B45" i="2"/>
  <c r="J44" i="2"/>
  <c r="H46" i="2" l="1"/>
  <c r="H72" i="2"/>
  <c r="B101" i="5"/>
  <c r="N101" i="5" s="1"/>
  <c r="N47" i="5"/>
  <c r="F73" i="2"/>
  <c r="F47" i="2"/>
  <c r="O101" i="5"/>
  <c r="K48" i="5"/>
  <c r="K102" i="5" s="1"/>
  <c r="J48" i="5"/>
  <c r="J102" i="5" s="1"/>
  <c r="F48" i="5"/>
  <c r="F102" i="5" s="1"/>
  <c r="G48" i="5"/>
  <c r="G102" i="5" s="1"/>
  <c r="D48" i="5"/>
  <c r="D102" i="5" s="1"/>
  <c r="I48" i="5"/>
  <c r="I102" i="5" s="1"/>
  <c r="C48" i="5"/>
  <c r="C102" i="5" s="1"/>
  <c r="E48" i="5"/>
  <c r="E102" i="5" s="1"/>
  <c r="B48" i="5"/>
  <c r="H48" i="5"/>
  <c r="H102" i="5" s="1"/>
  <c r="M48" i="5"/>
  <c r="M102" i="5" s="1"/>
  <c r="L48" i="5"/>
  <c r="L102" i="5" s="1"/>
  <c r="J45" i="2"/>
  <c r="B72" i="2"/>
  <c r="J72" i="2" s="1"/>
  <c r="B46" i="2"/>
  <c r="D74" i="2"/>
  <c r="D48" i="2"/>
  <c r="H47" i="2" l="1"/>
  <c r="H73" i="2"/>
  <c r="O102" i="5"/>
  <c r="B102" i="5"/>
  <c r="N102" i="5" s="1"/>
  <c r="N48" i="5"/>
  <c r="D75" i="2"/>
  <c r="D49" i="2"/>
  <c r="D76" i="2" s="1"/>
  <c r="G49" i="5"/>
  <c r="G103" i="5" s="1"/>
  <c r="L49" i="5"/>
  <c r="L103" i="5" s="1"/>
  <c r="H49" i="5"/>
  <c r="H103" i="5" s="1"/>
  <c r="M49" i="5"/>
  <c r="M103" i="5" s="1"/>
  <c r="I49" i="5"/>
  <c r="I103" i="5" s="1"/>
  <c r="B49" i="5"/>
  <c r="E49" i="5"/>
  <c r="E103" i="5" s="1"/>
  <c r="K49" i="5"/>
  <c r="K103" i="5" s="1"/>
  <c r="C49" i="5"/>
  <c r="C103" i="5" s="1"/>
  <c r="F49" i="5"/>
  <c r="F103" i="5" s="1"/>
  <c r="D49" i="5"/>
  <c r="D103" i="5" s="1"/>
  <c r="J49" i="5"/>
  <c r="J103" i="5" s="1"/>
  <c r="B73" i="2"/>
  <c r="B47" i="2"/>
  <c r="J46" i="2"/>
  <c r="F74" i="2"/>
  <c r="F48" i="2"/>
  <c r="J73" i="2" l="1"/>
  <c r="H48" i="2"/>
  <c r="H74" i="2"/>
  <c r="E50" i="5"/>
  <c r="E104" i="5" s="1"/>
  <c r="L50" i="5"/>
  <c r="L104" i="5" s="1"/>
  <c r="K50" i="5"/>
  <c r="K104" i="5" s="1"/>
  <c r="B50" i="5"/>
  <c r="I50" i="5"/>
  <c r="I104" i="5" s="1"/>
  <c r="F50" i="5"/>
  <c r="F104" i="5" s="1"/>
  <c r="C50" i="5"/>
  <c r="C104" i="5" s="1"/>
  <c r="H50" i="5"/>
  <c r="H104" i="5" s="1"/>
  <c r="M50" i="5"/>
  <c r="M104" i="5" s="1"/>
  <c r="G50" i="5"/>
  <c r="G104" i="5" s="1"/>
  <c r="J50" i="5"/>
  <c r="J104" i="5" s="1"/>
  <c r="D50" i="5"/>
  <c r="D104" i="5" s="1"/>
  <c r="O103" i="5"/>
  <c r="B103" i="5"/>
  <c r="N103" i="5" s="1"/>
  <c r="N49" i="5"/>
  <c r="F75" i="2"/>
  <c r="F49" i="2"/>
  <c r="F76" i="2" s="1"/>
  <c r="B48" i="2"/>
  <c r="B74" i="2"/>
  <c r="J74" i="2" s="1"/>
  <c r="J47" i="2"/>
  <c r="O104" i="5" l="1"/>
  <c r="H49" i="2"/>
  <c r="H76" i="2" s="1"/>
  <c r="H75" i="2"/>
  <c r="B49" i="2"/>
  <c r="B75" i="2"/>
  <c r="J48" i="2"/>
  <c r="E51" i="5"/>
  <c r="E105" i="5" s="1"/>
  <c r="H51" i="5"/>
  <c r="H105" i="5" s="1"/>
  <c r="L51" i="5"/>
  <c r="L105" i="5" s="1"/>
  <c r="B51" i="5"/>
  <c r="C51" i="5"/>
  <c r="C105" i="5" s="1"/>
  <c r="I51" i="5"/>
  <c r="I105" i="5" s="1"/>
  <c r="F51" i="5"/>
  <c r="F105" i="5" s="1"/>
  <c r="G51" i="5"/>
  <c r="G105" i="5" s="1"/>
  <c r="K51" i="5"/>
  <c r="K105" i="5" s="1"/>
  <c r="M51" i="5"/>
  <c r="M105" i="5" s="1"/>
  <c r="J51" i="5"/>
  <c r="J105" i="5" s="1"/>
  <c r="D51" i="5"/>
  <c r="D105" i="5" s="1"/>
  <c r="N50" i="5"/>
  <c r="B104" i="5"/>
  <c r="N104" i="5" s="1"/>
  <c r="J75" i="2" l="1"/>
  <c r="B76" i="2"/>
  <c r="J76" i="2" s="1"/>
  <c r="J49" i="2"/>
  <c r="M52" i="5"/>
  <c r="M106" i="5" s="1"/>
  <c r="C52" i="5"/>
  <c r="C106" i="5" s="1"/>
  <c r="G52" i="5"/>
  <c r="G106" i="5" s="1"/>
  <c r="E52" i="5"/>
  <c r="E106" i="5" s="1"/>
  <c r="I52" i="5"/>
  <c r="I106" i="5" s="1"/>
  <c r="D52" i="5"/>
  <c r="D106" i="5" s="1"/>
  <c r="K52" i="5"/>
  <c r="K106" i="5" s="1"/>
  <c r="H52" i="5"/>
  <c r="H106" i="5" s="1"/>
  <c r="L52" i="5"/>
  <c r="L106" i="5" s="1"/>
  <c r="F52" i="5"/>
  <c r="F106" i="5" s="1"/>
  <c r="J52" i="5"/>
  <c r="J106" i="5" s="1"/>
  <c r="B52" i="5"/>
  <c r="B105" i="5"/>
  <c r="N105" i="5" s="1"/>
  <c r="N51" i="5"/>
  <c r="O105" i="5"/>
  <c r="K53" i="5" l="1"/>
  <c r="K107" i="5" s="1"/>
  <c r="M53" i="5"/>
  <c r="M107" i="5" s="1"/>
  <c r="C53" i="5"/>
  <c r="C107" i="5" s="1"/>
  <c r="G53" i="5"/>
  <c r="G107" i="5" s="1"/>
  <c r="L53" i="5"/>
  <c r="L107" i="5" s="1"/>
  <c r="E53" i="5"/>
  <c r="E107" i="5" s="1"/>
  <c r="F53" i="5"/>
  <c r="F107" i="5" s="1"/>
  <c r="J53" i="5"/>
  <c r="J107" i="5" s="1"/>
  <c r="H53" i="5"/>
  <c r="H107" i="5" s="1"/>
  <c r="B53" i="5"/>
  <c r="I53" i="5"/>
  <c r="I107" i="5" s="1"/>
  <c r="D53" i="5"/>
  <c r="D107" i="5" s="1"/>
  <c r="O106" i="5"/>
  <c r="B106" i="5"/>
  <c r="N106" i="5" s="1"/>
  <c r="N52" i="5"/>
  <c r="B107" i="5" l="1"/>
  <c r="N107" i="5" s="1"/>
  <c r="N53" i="5"/>
  <c r="O107" i="5"/>
</calcChain>
</file>

<file path=xl/sharedStrings.xml><?xml version="1.0" encoding="utf-8"?>
<sst xmlns="http://schemas.openxmlformats.org/spreadsheetml/2006/main" count="731" uniqueCount="170">
  <si>
    <t>Residential</t>
  </si>
  <si>
    <t>Comm. &amp; Indus.</t>
  </si>
  <si>
    <t>Gen. Serv.</t>
  </si>
  <si>
    <t>Gen. Serv. Dem.</t>
  </si>
  <si>
    <t>Gen. Serv. Large Dem.</t>
  </si>
  <si>
    <t>Lighting</t>
  </si>
  <si>
    <t>Outdoor Lighting</t>
  </si>
  <si>
    <t>Mills</t>
  </si>
  <si>
    <t>Industrial</t>
  </si>
  <si>
    <t>12 months ending</t>
  </si>
  <si>
    <t>Interdepartmental</t>
  </si>
  <si>
    <t>Total</t>
  </si>
  <si>
    <t>Forecast</t>
  </si>
  <si>
    <t>Headings</t>
  </si>
  <si>
    <t>Rate</t>
  </si>
  <si>
    <t>Sales Volumes (MWh)</t>
  </si>
  <si>
    <t>Year</t>
  </si>
  <si>
    <t>R</t>
  </si>
  <si>
    <t>C&amp;I</t>
  </si>
  <si>
    <t>TOTAL</t>
  </si>
  <si>
    <t>12 month sales</t>
  </si>
  <si>
    <t>12 month purchases</t>
  </si>
  <si>
    <t>with losses</t>
  </si>
  <si>
    <t>Street Lighting</t>
  </si>
  <si>
    <t xml:space="preserve">Lighting </t>
  </si>
  <si>
    <t>(Street Lgt only)</t>
  </si>
  <si>
    <t>Northwest Florida</t>
  </si>
  <si>
    <t>% Growth</t>
  </si>
  <si>
    <t>Commercial</t>
  </si>
  <si>
    <t>MWH Purchases</t>
  </si>
  <si>
    <t>% Loss</t>
  </si>
  <si>
    <t>Budget Forecast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</si>
  <si>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</si>
  <si>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</si>
  <si>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</si>
  <si>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</si>
  <si>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</si>
  <si>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</si>
  <si>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</si>
  <si>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</si>
  <si>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</si>
  <si>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</si>
  <si>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</si>
  <si>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</si>
  <si>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MONTHLY ENERGY PURCHASES (MWh) by LRCA</t>
  </si>
  <si>
    <t>% per month</t>
  </si>
  <si>
    <t>Load Factor by LRCA</t>
  </si>
  <si>
    <t>Peak</t>
  </si>
  <si>
    <t>MWH RETAIL SALES</t>
  </si>
  <si>
    <t>KWH</t>
  </si>
  <si>
    <t>cent/KWH</t>
  </si>
  <si>
    <t>Demand (Gen)</t>
  </si>
  <si>
    <t>Demand (Transm.)</t>
  </si>
  <si>
    <t>Total Cost</t>
  </si>
  <si>
    <t>Summer</t>
  </si>
  <si>
    <t>12 mths actual</t>
  </si>
  <si>
    <t>Variance budget to</t>
  </si>
  <si>
    <t>Annual</t>
  </si>
  <si>
    <t>Var. 2011 - 2012</t>
  </si>
  <si>
    <t>2012 Nov. 12 mths</t>
  </si>
  <si>
    <t>2012 Load</t>
  </si>
  <si>
    <t>trended 2012</t>
  </si>
  <si>
    <t>2012 load forecast</t>
  </si>
  <si>
    <t>MONTHLY ENERGY PURCHASES (MWh) by 2011 Actual Amounts</t>
  </si>
  <si>
    <t>Load Factor from 2011 Actual Amounts</t>
  </si>
  <si>
    <t>Purchases from 12 months ending Dec. 2011</t>
  </si>
  <si>
    <t>Dec. 2012</t>
  </si>
  <si>
    <t>with losses (2012)</t>
  </si>
  <si>
    <t>2013 Sales</t>
  </si>
  <si>
    <t>OCT. 2013 12 mths</t>
  </si>
  <si>
    <t>Purchases from 12 months ending December 2012</t>
  </si>
  <si>
    <t>Line Losses (est.)</t>
  </si>
  <si>
    <t>Line Losses (calc.)</t>
  </si>
  <si>
    <t>2014 Forecast</t>
  </si>
  <si>
    <t>2000 - 2013</t>
  </si>
  <si>
    <t>2004 - 2013</t>
  </si>
  <si>
    <t>trended 2014</t>
  </si>
  <si>
    <t>2013 Load</t>
  </si>
  <si>
    <t>Trended 2013</t>
  </si>
  <si>
    <t>12 months ending Oct. 2013</t>
  </si>
  <si>
    <t>Oct. 2013 12 Mnths Ending</t>
  </si>
  <si>
    <t>2008 - 2013</t>
  </si>
  <si>
    <t>1998 - 2013</t>
  </si>
  <si>
    <t xml:space="preserve">FPUC MONTHLY ENERGY PURCHASES (MWh) FORECAST 2014 - 2034 </t>
  </si>
  <si>
    <t>MONTHLY ENERGY PURCHASES (MWh) by 2012 Actual Amounts</t>
  </si>
  <si>
    <t xml:space="preserve">MONTHLY ENERGY PURCHASES (MWh) by 2013 Actual Amounts </t>
  </si>
  <si>
    <t>MONTHLY ENERGY PURCHASES (MWh) Average from 2011, 2012 and 2013</t>
  </si>
  <si>
    <t>Load Factor from 2012 Actual Amounts</t>
  </si>
  <si>
    <t xml:space="preserve">Load Factor from 2013 Actual Amounts </t>
  </si>
  <si>
    <t>Average Load Factor from 2011, 2012 and 2013 Actual</t>
  </si>
  <si>
    <t>KWH/month</t>
  </si>
  <si>
    <t>Load Factor</t>
  </si>
  <si>
    <t>FPUC MONTHLY DEMAND (MW) FORECAST 2014 - 2034</t>
  </si>
  <si>
    <t>Gulf &amp; Southern CO (Actual Cost) 2010</t>
  </si>
  <si>
    <t>Cost Generation</t>
  </si>
  <si>
    <t>Cost Transmission</t>
  </si>
  <si>
    <t>Gulf &amp; Southern CO (Actual Cost) 2011</t>
  </si>
  <si>
    <t>Gulf &amp; Southern CO (Actual Cost) 2012</t>
  </si>
  <si>
    <t>Gulf &amp; Southern CO (Actual Cost) 2013</t>
  </si>
  <si>
    <t>Gulf &amp; Southern CO (Actual Cost) 2014</t>
  </si>
  <si>
    <t>6 Mnth Moving Ave</t>
  </si>
  <si>
    <t>KWh</t>
  </si>
  <si>
    <t>Kw</t>
  </si>
  <si>
    <t>Sum:</t>
  </si>
  <si>
    <t>Without Weather Factors</t>
  </si>
  <si>
    <t>With Weather Factors</t>
  </si>
  <si>
    <t>Factor Ave</t>
  </si>
  <si>
    <t>n/a</t>
  </si>
  <si>
    <t>Month</t>
  </si>
  <si>
    <t>Without Seasonal Effects</t>
  </si>
  <si>
    <t>With Seasonal Effects</t>
  </si>
  <si>
    <t>Yearly Totals</t>
  </si>
  <si>
    <t>KW</t>
  </si>
  <si>
    <t>2015 Sum:</t>
  </si>
  <si>
    <t>KW Calculated Using Average Load Factor (ALF)</t>
  </si>
  <si>
    <t>ALF</t>
  </si>
  <si>
    <t>Hours/month</t>
  </si>
  <si>
    <t>2016 Sum:</t>
  </si>
  <si>
    <t>KW Calculated Using Average Load Factor</t>
  </si>
  <si>
    <t>2017 Sum:</t>
  </si>
  <si>
    <t>Forcast 2018 using 1% Growth and .5% added to Factors During Winter and Summer</t>
  </si>
  <si>
    <t>2018 Sum:</t>
  </si>
  <si>
    <t>Forcast 2019 using 1% Growth and .5% added to Factors During Winter and Summer</t>
  </si>
  <si>
    <t>2019 Sum:</t>
  </si>
  <si>
    <t>Forecasted</t>
  </si>
  <si>
    <t>2020 Sum:</t>
  </si>
  <si>
    <t>2021 Sum:</t>
  </si>
  <si>
    <t>Forcast 2022 using .5% Growth and 0% added to Factors During Winter and Summer</t>
  </si>
  <si>
    <t>2022 Sum:</t>
  </si>
  <si>
    <t>Forcast 2023 using .5% Growth and 0% added to Factors During Winter and Summer</t>
  </si>
  <si>
    <t>2023 Sum:</t>
  </si>
  <si>
    <t>Forcast 2024 using .5% Growth and 0% added to Factors During Winter and Summer</t>
  </si>
  <si>
    <t>2024 Sum:</t>
  </si>
  <si>
    <t>.5% Growth</t>
  </si>
  <si>
    <t>Hours</t>
  </si>
  <si>
    <t>Totals</t>
  </si>
  <si>
    <t xml:space="preserve">Year </t>
  </si>
  <si>
    <t>Annual Peak(KW)</t>
  </si>
  <si>
    <t>Summer Peak(KW)</t>
  </si>
  <si>
    <t>Summer Peak</t>
  </si>
  <si>
    <t>KWh w/o Factor</t>
  </si>
  <si>
    <t>KWH Factor</t>
  </si>
  <si>
    <t>KWh w/ Factor</t>
  </si>
  <si>
    <t>KW w/o Factor</t>
  </si>
  <si>
    <t>KW Factor</t>
  </si>
  <si>
    <t>KW w/ Factor</t>
  </si>
  <si>
    <t>FLORIDA PUBLIC UTILITIES COMPANY - Northwest Florida Division</t>
  </si>
  <si>
    <t>Gulf &amp; Southern CO (Actual Cost) 2015</t>
  </si>
  <si>
    <t>Actual</t>
  </si>
  <si>
    <t>Projected</t>
  </si>
  <si>
    <t>Forcast 2015</t>
  </si>
  <si>
    <t>Forcast 2020 using 1% Growth and .5% added to Factors During Winter and Summer</t>
  </si>
  <si>
    <t>Forcast 2025 using .5% Growth and 0% added to Factors During Winter and Summer</t>
  </si>
  <si>
    <t>2025 Sum:</t>
  </si>
  <si>
    <t>Gulf &amp; Southern CO (Actual Cost) 2016</t>
  </si>
  <si>
    <t>Actual Peak</t>
  </si>
  <si>
    <t>Actual Summer Peak</t>
  </si>
  <si>
    <t>Forcast 2016</t>
  </si>
  <si>
    <t>Forecast 2017</t>
  </si>
  <si>
    <t>Forcast 2021 using 1% Growth and .5% added to Factors During Winter and Summer</t>
  </si>
  <si>
    <t>Yearly Peak</t>
  </si>
  <si>
    <t>kW</t>
  </si>
  <si>
    <t>kWh</t>
  </si>
  <si>
    <t>Complete</t>
  </si>
  <si>
    <t>Working</t>
  </si>
  <si>
    <t>Forcast 2026 using .5% Growth and 0% added to Factors During Winter and Summer</t>
  </si>
  <si>
    <t>2026 Sum:</t>
  </si>
  <si>
    <t>*No factor applied*</t>
  </si>
  <si>
    <t>kW factor</t>
  </si>
  <si>
    <t>kWh 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</si>
</sst>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.000%"/>
    <numFmt numFmtId="166" formatCode="[$-409]mmmm\-yy;@"/>
    <numFmt numFmtId="167" formatCode="&quot;$&quot;#,##0.00"/>
    <numFmt numFmtId="168" formatCode="&quot;$&quot;#,##0.0000"/>
    <numFmt numFmtId="169" formatCode="_(* #,##0.00_);_(* \(\ #,##0.00\ \);_(* &quot;-&quot;??_);_(\ @_ \)"/>
    <numFmt numFmtId="170" formatCode="#,###,##0;\(#,###,##0\)"/>
    <numFmt numFmtId="171" formatCode="&quot;$&quot;#,###,##0;\(&quot;$&quot;#,###,##0\)"/>
    <numFmt numFmtId="172" formatCode="#,##0.00%;\(#,##0.00%\)"/>
    <numFmt numFmtId="173" formatCode="_(* #,##0_);_(* \(#,##0\);_(* &quot;-&quot;??_);_(@_)"/>
  </numFmts>
  <fonts count="34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name val="Arial"/>
      <family val="2"/>
    </font>
    <font>
      <sz val="2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7.5"/>
      <name val="Arial"/>
      <family val="2"/>
    </font>
    <font>
      <sz val="11"/>
      <color indexed="8"/>
      <name val="Calibri"/>
      <family val="2"/>
    </font>
    <font>
      <sz val="10"/>
      <name val="Tahoma"/>
      <family val="2"/>
    </font>
    <font>
      <sz val="10"/>
      <color indexed="0"/>
      <name val="Arial"/>
      <family val="2"/>
    </font>
    <font>
      <sz val="12"/>
      <name val="Arial MT"/>
    </font>
    <font>
      <sz val="14"/>
      <color indexed="0"/>
      <name val="Arial Black"/>
      <family val="2"/>
    </font>
    <font>
      <sz val="12"/>
      <color indexed="0"/>
      <name val="Arial Black"/>
      <family val="2"/>
    </font>
    <font>
      <b/>
      <sz val="10"/>
      <color indexed="0"/>
      <name val="Arial"/>
      <family val="2"/>
    </font>
    <font>
      <b/>
      <i/>
      <sz val="10"/>
      <color indexed="0"/>
      <name val="Arial"/>
      <family val="2"/>
    </font>
    <font>
      <b/>
      <sz val="12"/>
      <color indexed="0"/>
      <name val="Arial Narrow"/>
      <family val="2"/>
    </font>
    <font>
      <sz val="10"/>
      <color indexed="0"/>
      <name val="Arial Black"/>
      <family val="2"/>
    </font>
    <font>
      <b/>
      <i/>
      <sz val="9"/>
      <color indexed="21"/>
      <name val="Arial"/>
      <family val="2"/>
    </font>
    <font>
      <i/>
      <sz val="10"/>
      <color indexed="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1"/>
      <color theme="4"/>
      <name val="Calibri"/>
      <family val="2"/>
      <scheme val="minor"/>
    </font>
    <font>
      <sz val="10"/>
      <color theme="4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</patternFill>
    </fill>
    <fill>
      <patternFill patternType="solid">
        <fgColor indexed="9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0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3" fillId="0" borderId="0"/>
    <xf numFmtId="170" fontId="13" fillId="0" borderId="0"/>
    <xf numFmtId="171" fontId="13" fillId="0" borderId="0"/>
    <xf numFmtId="171" fontId="13" fillId="0" borderId="0"/>
    <xf numFmtId="172" fontId="13" fillId="0" borderId="0"/>
    <xf numFmtId="172" fontId="13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4" fillId="0" borderId="0"/>
    <xf numFmtId="0" fontId="13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/>
    <xf numFmtId="0" fontId="13" fillId="0" borderId="0"/>
    <xf numFmtId="0" fontId="15" fillId="0" borderId="0"/>
    <xf numFmtId="0" fontId="15" fillId="0" borderId="0"/>
    <xf numFmtId="0" fontId="16" fillId="0" borderId="0"/>
    <xf numFmtId="0" fontId="16" fillId="0" borderId="0"/>
    <xf numFmtId="0" fontId="17" fillId="0" borderId="0"/>
    <xf numFmtId="0" fontId="17" fillId="0" borderId="0"/>
    <xf numFmtId="0" fontId="18" fillId="0" borderId="0"/>
    <xf numFmtId="0" fontId="19" fillId="0" borderId="0"/>
    <xf numFmtId="0" fontId="19" fillId="0" borderId="0"/>
    <xf numFmtId="0" fontId="18" fillId="2" borderId="0"/>
    <xf numFmtId="0" fontId="18" fillId="0" borderId="0"/>
    <xf numFmtId="0" fontId="18" fillId="0" borderId="0"/>
    <xf numFmtId="0" fontId="20" fillId="0" borderId="0"/>
    <xf numFmtId="0" fontId="21" fillId="2" borderId="0"/>
    <xf numFmtId="0" fontId="21" fillId="2" borderId="0"/>
    <xf numFmtId="0" fontId="22" fillId="2" borderId="0"/>
    <xf numFmtId="0" fontId="13" fillId="3" borderId="0"/>
    <xf numFmtId="43" fontId="31" fillId="0" borderId="0" applyFont="0" applyFill="0" applyBorder="0" applyAlignment="0" applyProtection="0"/>
  </cellStyleXfs>
  <cellXfs count="219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3" fontId="0" fillId="0" borderId="10" xfId="0" applyNumberFormat="1" applyBorder="1" applyAlignment="1">
      <alignment horizontal="center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center"/>
    </xf>
    <xf numFmtId="10" fontId="0" fillId="0" borderId="0" xfId="0" applyNumberFormat="1"/>
    <xf numFmtId="3" fontId="0" fillId="0" borderId="11" xfId="0" applyNumberFormat="1" applyBorder="1" applyAlignment="1">
      <alignment horizontal="center"/>
    </xf>
    <xf numFmtId="3" fontId="0" fillId="4" borderId="12" xfId="0" applyNumberFormat="1" applyFill="1" applyBorder="1" applyAlignment="1">
      <alignment horizontal="center"/>
    </xf>
    <xf numFmtId="3" fontId="0" fillId="4" borderId="13" xfId="0" applyNumberFormat="1" applyFill="1" applyBorder="1" applyAlignment="1">
      <alignment horizontal="center"/>
    </xf>
    <xf numFmtId="3" fontId="0" fillId="4" borderId="14" xfId="0" applyNumberForma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3" fontId="0" fillId="5" borderId="7" xfId="0" applyNumberFormat="1" applyFill="1" applyBorder="1" applyAlignment="1">
      <alignment horizontal="center"/>
    </xf>
    <xf numFmtId="3" fontId="0" fillId="5" borderId="15" xfId="0" applyNumberFormat="1" applyFill="1" applyBorder="1" applyAlignment="1">
      <alignment horizontal="center"/>
    </xf>
    <xf numFmtId="3" fontId="0" fillId="5" borderId="1" xfId="0" applyNumberFormat="1" applyFill="1" applyBorder="1" applyAlignment="1">
      <alignment horizontal="center"/>
    </xf>
    <xf numFmtId="3" fontId="0" fillId="5" borderId="16" xfId="0" applyNumberFormat="1" applyFill="1" applyBorder="1" applyAlignment="1">
      <alignment horizontal="center"/>
    </xf>
    <xf numFmtId="3" fontId="0" fillId="5" borderId="17" xfId="0" applyNumberFormat="1" applyFill="1" applyBorder="1" applyAlignment="1">
      <alignment horizontal="center"/>
    </xf>
    <xf numFmtId="0" fontId="0" fillId="4" borderId="0" xfId="0" applyFill="1"/>
    <xf numFmtId="3" fontId="0" fillId="4" borderId="0" xfId="0" applyNumberFormat="1" applyFill="1"/>
    <xf numFmtId="3" fontId="0" fillId="4" borderId="10" xfId="0" applyNumberFormat="1" applyFill="1" applyBorder="1" applyAlignment="1">
      <alignment horizontal="center"/>
    </xf>
    <xf numFmtId="3" fontId="0" fillId="4" borderId="18" xfId="0" applyNumberFormat="1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3" fontId="0" fillId="4" borderId="20" xfId="0" applyNumberFormat="1" applyFill="1" applyBorder="1" applyAlignment="1">
      <alignment horizontal="center"/>
    </xf>
    <xf numFmtId="3" fontId="0" fillId="4" borderId="16" xfId="0" applyNumberFormat="1" applyFill="1" applyBorder="1" applyAlignment="1">
      <alignment horizontal="center"/>
    </xf>
    <xf numFmtId="3" fontId="0" fillId="4" borderId="17" xfId="0" applyNumberFormat="1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3" fontId="0" fillId="5" borderId="20" xfId="0" applyNumberFormat="1" applyFill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3" fontId="0" fillId="0" borderId="10" xfId="0" applyNumberForma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3" fontId="0" fillId="4" borderId="7" xfId="0" applyNumberFormat="1" applyFill="1" applyBorder="1" applyAlignment="1">
      <alignment horizontal="center"/>
    </xf>
    <xf numFmtId="164" fontId="0" fillId="4" borderId="21" xfId="0" applyNumberFormat="1" applyFill="1" applyBorder="1" applyAlignment="1">
      <alignment horizontal="center"/>
    </xf>
    <xf numFmtId="3" fontId="0" fillId="4" borderId="1" xfId="0" applyNumberFormat="1" applyFill="1" applyBorder="1" applyAlignment="1">
      <alignment horizontal="center"/>
    </xf>
    <xf numFmtId="164" fontId="0" fillId="4" borderId="22" xfId="0" applyNumberFormat="1" applyFill="1" applyBorder="1" applyAlignment="1">
      <alignment horizontal="center"/>
    </xf>
    <xf numFmtId="164" fontId="0" fillId="4" borderId="23" xfId="0" applyNumberFormat="1" applyFill="1" applyBorder="1" applyAlignment="1">
      <alignment horizontal="center"/>
    </xf>
    <xf numFmtId="49" fontId="0" fillId="4" borderId="5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64" fontId="0" fillId="4" borderId="20" xfId="0" applyNumberFormat="1" applyFill="1" applyBorder="1" applyAlignment="1">
      <alignment horizontal="center"/>
    </xf>
    <xf numFmtId="164" fontId="0" fillId="4" borderId="16" xfId="0" applyNumberFormat="1" applyFill="1" applyBorder="1" applyAlignment="1">
      <alignment horizontal="center"/>
    </xf>
    <xf numFmtId="164" fontId="0" fillId="4" borderId="17" xfId="0" applyNumberFormat="1" applyFill="1" applyBorder="1" applyAlignment="1">
      <alignment horizontal="center"/>
    </xf>
    <xf numFmtId="0" fontId="0" fillId="4" borderId="24" xfId="0" applyFill="1" applyBorder="1" applyAlignment="1">
      <alignment horizontal="center"/>
    </xf>
    <xf numFmtId="0" fontId="3" fillId="0" borderId="0" xfId="0" applyFont="1"/>
    <xf numFmtId="0" fontId="4" fillId="0" borderId="25" xfId="0" applyFont="1" applyBorder="1" applyAlignment="1">
      <alignment horizontal="center"/>
    </xf>
    <xf numFmtId="0" fontId="5" fillId="0" borderId="0" xfId="0" applyFont="1" applyAlignment="1">
      <alignment horizontal="center"/>
    </xf>
    <xf numFmtId="10" fontId="0" fillId="0" borderId="0" xfId="0" applyNumberFormat="1" applyBorder="1"/>
    <xf numFmtId="165" fontId="0" fillId="0" borderId="0" xfId="0" applyNumberFormat="1" applyBorder="1"/>
    <xf numFmtId="165" fontId="0" fillId="0" borderId="0" xfId="0" applyNumberFormat="1"/>
    <xf numFmtId="0" fontId="4" fillId="0" borderId="0" xfId="0" applyFont="1" applyFill="1" applyBorder="1" applyAlignment="1">
      <alignment horizontal="center"/>
    </xf>
    <xf numFmtId="0" fontId="8" fillId="0" borderId="0" xfId="0" applyFont="1"/>
    <xf numFmtId="0" fontId="0" fillId="0" borderId="26" xfId="0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7" fillId="4" borderId="27" xfId="0" applyFont="1" applyFill="1" applyBorder="1" applyAlignment="1">
      <alignment horizontal="center"/>
    </xf>
    <xf numFmtId="3" fontId="8" fillId="0" borderId="0" xfId="0" applyNumberFormat="1" applyFont="1" applyAlignment="1">
      <alignment horizontal="center"/>
    </xf>
    <xf numFmtId="0" fontId="0" fillId="0" borderId="0" xfId="0" applyBorder="1"/>
    <xf numFmtId="0" fontId="0" fillId="4" borderId="28" xfId="0" applyFill="1" applyBorder="1" applyAlignment="1">
      <alignment horizontal="center"/>
    </xf>
    <xf numFmtId="164" fontId="0" fillId="4" borderId="29" xfId="0" applyNumberFormat="1" applyFill="1" applyBorder="1" applyAlignment="1">
      <alignment horizontal="center"/>
    </xf>
    <xf numFmtId="0" fontId="9" fillId="4" borderId="30" xfId="0" applyFont="1" applyFill="1" applyBorder="1" applyAlignment="1">
      <alignment horizontal="center"/>
    </xf>
    <xf numFmtId="0" fontId="9" fillId="4" borderId="31" xfId="0" applyFont="1" applyFill="1" applyBorder="1"/>
    <xf numFmtId="164" fontId="8" fillId="4" borderId="22" xfId="0" applyNumberFormat="1" applyFont="1" applyFill="1" applyBorder="1" applyAlignment="1">
      <alignment horizontal="center"/>
    </xf>
    <xf numFmtId="0" fontId="4" fillId="0" borderId="0" xfId="0" applyFont="1"/>
    <xf numFmtId="0" fontId="10" fillId="4" borderId="0" xfId="0" applyFont="1" applyFill="1"/>
    <xf numFmtId="3" fontId="0" fillId="0" borderId="0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49" fontId="1" fillId="0" borderId="32" xfId="0" applyNumberFormat="1" applyFont="1" applyBorder="1" applyAlignment="1">
      <alignment horizontal="center"/>
    </xf>
    <xf numFmtId="49" fontId="1" fillId="0" borderId="5" xfId="0" applyNumberFormat="1" applyFont="1" applyBorder="1" applyAlignment="1">
      <alignment horizontal="center"/>
    </xf>
    <xf numFmtId="49" fontId="1" fillId="5" borderId="28" xfId="0" applyNumberFormat="1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4" borderId="33" xfId="0" applyFont="1" applyFill="1" applyBorder="1" applyAlignment="1">
      <alignment horizontal="center"/>
    </xf>
    <xf numFmtId="0" fontId="2" fillId="4" borderId="34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8" fillId="0" borderId="0" xfId="0" applyFont="1" applyAlignment="1">
      <alignment horizontal="right"/>
    </xf>
    <xf numFmtId="0" fontId="2" fillId="4" borderId="0" xfId="0" applyFont="1" applyFill="1"/>
    <xf numFmtId="0" fontId="0" fillId="0" borderId="0" xfId="0" applyFill="1" applyBorder="1"/>
    <xf numFmtId="41" fontId="25" fillId="0" borderId="0" xfId="53" applyNumberFormat="1" applyFont="1" applyFill="1" applyBorder="1"/>
    <xf numFmtId="41" fontId="0" fillId="0" borderId="0" xfId="0" applyNumberFormat="1" applyFill="1" applyBorder="1"/>
    <xf numFmtId="0" fontId="1" fillId="4" borderId="3" xfId="0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0" fillId="0" borderId="28" xfId="0" applyFill="1" applyBorder="1" applyAlignment="1">
      <alignment horizontal="center"/>
    </xf>
    <xf numFmtId="0" fontId="26" fillId="0" borderId="0" xfId="0" applyFont="1"/>
    <xf numFmtId="3" fontId="0" fillId="0" borderId="0" xfId="0" applyNumberFormat="1" applyFill="1" applyBorder="1" applyAlignment="1">
      <alignment horizontal="center"/>
    </xf>
    <xf numFmtId="167" fontId="5" fillId="0" borderId="0" xfId="0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center"/>
    </xf>
    <xf numFmtId="166" fontId="5" fillId="0" borderId="0" xfId="0" applyNumberFormat="1" applyFont="1" applyBorder="1" applyAlignment="1">
      <alignment horizontal="center"/>
    </xf>
    <xf numFmtId="168" fontId="0" fillId="0" borderId="0" xfId="0" applyNumberFormat="1" applyBorder="1" applyAlignment="1">
      <alignment horizontal="center"/>
    </xf>
    <xf numFmtId="167" fontId="0" fillId="0" borderId="0" xfId="0" applyNumberFormat="1" applyBorder="1" applyAlignment="1">
      <alignment horizontal="center"/>
    </xf>
    <xf numFmtId="166" fontId="0" fillId="0" borderId="0" xfId="0" applyNumberFormat="1" applyBorder="1" applyAlignment="1">
      <alignment horizontal="center"/>
    </xf>
    <xf numFmtId="0" fontId="0" fillId="0" borderId="0" xfId="0" quotePrefix="1" applyBorder="1" applyAlignment="1">
      <alignment horizontal="center"/>
    </xf>
    <xf numFmtId="0" fontId="0" fillId="0" borderId="0" xfId="0" applyBorder="1" applyAlignment="1">
      <alignment horizontal="center"/>
    </xf>
    <xf numFmtId="41" fontId="0" fillId="0" borderId="0" xfId="0" applyNumberFormat="1" applyBorder="1"/>
    <xf numFmtId="41" fontId="27" fillId="0" borderId="0" xfId="0" applyNumberFormat="1" applyFont="1" applyBorder="1"/>
    <xf numFmtId="41" fontId="25" fillId="0" borderId="0" xfId="54" applyNumberFormat="1" applyFont="1" applyBorder="1"/>
    <xf numFmtId="3" fontId="0" fillId="0" borderId="0" xfId="0" applyNumberFormat="1" applyFill="1" applyBorder="1"/>
    <xf numFmtId="0" fontId="24" fillId="0" borderId="1" xfId="29" applyBorder="1" applyAlignment="1">
      <alignment horizontal="center"/>
    </xf>
    <xf numFmtId="0" fontId="24" fillId="0" borderId="1" xfId="29" quotePrefix="1" applyBorder="1" applyAlignment="1">
      <alignment horizontal="center"/>
    </xf>
    <xf numFmtId="166" fontId="24" fillId="0" borderId="1" xfId="29" applyNumberFormat="1" applyBorder="1" applyAlignment="1">
      <alignment horizontal="center"/>
    </xf>
    <xf numFmtId="167" fontId="24" fillId="0" borderId="1" xfId="29" applyNumberFormat="1" applyBorder="1" applyAlignment="1">
      <alignment horizontal="center"/>
    </xf>
    <xf numFmtId="168" fontId="24" fillId="0" borderId="1" xfId="29" applyNumberFormat="1" applyBorder="1" applyAlignment="1">
      <alignment horizontal="center"/>
    </xf>
    <xf numFmtId="166" fontId="5" fillId="0" borderId="1" xfId="29" applyNumberFormat="1" applyFont="1" applyBorder="1" applyAlignment="1">
      <alignment horizontal="center"/>
    </xf>
    <xf numFmtId="3" fontId="5" fillId="0" borderId="1" xfId="29" applyNumberFormat="1" applyFont="1" applyBorder="1" applyAlignment="1">
      <alignment horizontal="center"/>
    </xf>
    <xf numFmtId="167" fontId="5" fillId="0" borderId="1" xfId="29" applyNumberFormat="1" applyFont="1" applyBorder="1" applyAlignment="1">
      <alignment horizontal="center"/>
    </xf>
    <xf numFmtId="3" fontId="24" fillId="0" borderId="1" xfId="29" applyNumberFormat="1" applyFont="1" applyBorder="1" applyAlignment="1">
      <alignment horizontal="center"/>
    </xf>
    <xf numFmtId="3" fontId="24" fillId="0" borderId="1" xfId="29" applyNumberFormat="1" applyFont="1" applyFill="1" applyBorder="1" applyAlignment="1">
      <alignment horizontal="center"/>
    </xf>
    <xf numFmtId="167" fontId="26" fillId="0" borderId="1" xfId="29" applyNumberFormat="1" applyFont="1" applyBorder="1" applyAlignment="1">
      <alignment horizontal="center"/>
    </xf>
    <xf numFmtId="166" fontId="5" fillId="0" borderId="0" xfId="29" applyNumberFormat="1" applyFont="1" applyBorder="1" applyAlignment="1">
      <alignment horizontal="center"/>
    </xf>
    <xf numFmtId="3" fontId="5" fillId="0" borderId="0" xfId="29" applyNumberFormat="1" applyFont="1" applyBorder="1" applyAlignment="1">
      <alignment horizontal="center"/>
    </xf>
    <xf numFmtId="167" fontId="5" fillId="0" borderId="0" xfId="29" applyNumberFormat="1" applyFont="1" applyBorder="1" applyAlignment="1">
      <alignment horizontal="center"/>
    </xf>
    <xf numFmtId="168" fontId="24" fillId="0" borderId="0" xfId="29" applyNumberFormat="1" applyBorder="1" applyAlignment="1">
      <alignment horizontal="center"/>
    </xf>
    <xf numFmtId="166" fontId="5" fillId="0" borderId="11" xfId="29" applyNumberFormat="1" applyFont="1" applyBorder="1" applyAlignment="1">
      <alignment horizontal="center"/>
    </xf>
    <xf numFmtId="3" fontId="5" fillId="0" borderId="11" xfId="29" applyNumberFormat="1" applyFont="1" applyBorder="1" applyAlignment="1">
      <alignment horizontal="center"/>
    </xf>
    <xf numFmtId="167" fontId="5" fillId="0" borderId="11" xfId="29" applyNumberFormat="1" applyFont="1" applyBorder="1" applyAlignment="1">
      <alignment horizontal="center"/>
    </xf>
    <xf numFmtId="3" fontId="28" fillId="0" borderId="0" xfId="0" applyNumberFormat="1" applyFont="1" applyFill="1" applyBorder="1" applyAlignment="1">
      <alignment horizontal="center"/>
    </xf>
    <xf numFmtId="166" fontId="5" fillId="0" borderId="35" xfId="29" applyNumberFormat="1" applyFont="1" applyBorder="1" applyAlignment="1">
      <alignment horizontal="center"/>
    </xf>
    <xf numFmtId="3" fontId="5" fillId="0" borderId="35" xfId="29" applyNumberFormat="1" applyFont="1" applyBorder="1" applyAlignment="1">
      <alignment horizontal="center"/>
    </xf>
    <xf numFmtId="167" fontId="5" fillId="0" borderId="35" xfId="29" applyNumberFormat="1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166" fontId="0" fillId="0" borderId="25" xfId="0" applyNumberFormat="1" applyBorder="1" applyAlignment="1">
      <alignment horizontal="center"/>
    </xf>
    <xf numFmtId="3" fontId="28" fillId="0" borderId="25" xfId="0" applyNumberFormat="1" applyFont="1" applyFill="1" applyBorder="1" applyAlignment="1">
      <alignment horizontal="center"/>
    </xf>
    <xf numFmtId="3" fontId="0" fillId="0" borderId="25" xfId="0" applyNumberFormat="1" applyBorder="1" applyAlignment="1">
      <alignment horizontal="center"/>
    </xf>
    <xf numFmtId="167" fontId="0" fillId="0" borderId="25" xfId="0" applyNumberFormat="1" applyBorder="1" applyAlignment="1">
      <alignment horizontal="center"/>
    </xf>
    <xf numFmtId="168" fontId="0" fillId="0" borderId="25" xfId="0" applyNumberFormat="1" applyBorder="1" applyAlignment="1">
      <alignment horizontal="center"/>
    </xf>
    <xf numFmtId="0" fontId="0" fillId="0" borderId="0" xfId="0" applyBorder="1" applyAlignment="1"/>
    <xf numFmtId="0" fontId="0" fillId="0" borderId="1" xfId="0" quotePrefix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167" fontId="0" fillId="0" borderId="1" xfId="0" applyNumberFormat="1" applyBorder="1" applyAlignment="1">
      <alignment horizontal="center"/>
    </xf>
    <xf numFmtId="168" fontId="0" fillId="0" borderId="1" xfId="0" applyNumberFormat="1" applyBorder="1" applyAlignment="1">
      <alignment horizontal="center"/>
    </xf>
    <xf numFmtId="3" fontId="0" fillId="0" borderId="1" xfId="0" applyNumberFormat="1" applyFont="1" applyFill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167" fontId="5" fillId="0" borderId="1" xfId="0" applyNumberFormat="1" applyFont="1" applyBorder="1" applyAlignment="1">
      <alignment horizontal="center"/>
    </xf>
    <xf numFmtId="0" fontId="0" fillId="0" borderId="36" xfId="0" applyBorder="1"/>
    <xf numFmtId="0" fontId="0" fillId="0" borderId="25" xfId="0" applyBorder="1"/>
    <xf numFmtId="0" fontId="0" fillId="0" borderId="0" xfId="0" applyAlignment="1"/>
    <xf numFmtId="3" fontId="0" fillId="0" borderId="0" xfId="0" applyNumberFormat="1"/>
    <xf numFmtId="10" fontId="0" fillId="0" borderId="0" xfId="56" applyNumberFormat="1" applyFont="1"/>
    <xf numFmtId="9" fontId="0" fillId="0" borderId="0" xfId="56" applyFont="1"/>
    <xf numFmtId="10" fontId="0" fillId="0" borderId="0" xfId="56" applyNumberFormat="1" applyFont="1" applyBorder="1"/>
    <xf numFmtId="0" fontId="0" fillId="0" borderId="0" xfId="0" applyBorder="1" applyAlignment="1">
      <alignment horizontal="right"/>
    </xf>
    <xf numFmtId="0" fontId="0" fillId="0" borderId="0" xfId="0" applyBorder="1" applyAlignment="1"/>
    <xf numFmtId="166" fontId="24" fillId="0" borderId="0" xfId="29" applyNumberFormat="1" applyBorder="1" applyAlignment="1">
      <alignment horizontal="center"/>
    </xf>
    <xf numFmtId="0" fontId="29" fillId="0" borderId="0" xfId="0" applyFont="1"/>
    <xf numFmtId="0" fontId="5" fillId="0" borderId="0" xfId="0" applyFont="1"/>
    <xf numFmtId="0" fontId="1" fillId="0" borderId="0" xfId="0" applyFont="1" applyAlignment="1">
      <alignment horizontal="right"/>
    </xf>
    <xf numFmtId="0" fontId="30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10" fontId="5" fillId="0" borderId="0" xfId="0" applyNumberFormat="1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73" fontId="0" fillId="0" borderId="0" xfId="79" applyNumberFormat="1" applyFont="1"/>
    <xf numFmtId="173" fontId="0" fillId="0" borderId="25" xfId="79" applyNumberFormat="1" applyFont="1" applyBorder="1"/>
    <xf numFmtId="166" fontId="1" fillId="0" borderId="1" xfId="0" applyNumberFormat="1" applyFont="1" applyBorder="1" applyAlignment="1">
      <alignment horizontal="center"/>
    </xf>
    <xf numFmtId="173" fontId="0" fillId="0" borderId="0" xfId="79" applyNumberFormat="1" applyFont="1" applyAlignment="1">
      <alignment horizontal="center"/>
    </xf>
    <xf numFmtId="0" fontId="0" fillId="0" borderId="25" xfId="0" applyBorder="1" applyAlignment="1">
      <alignment horizontal="center"/>
    </xf>
    <xf numFmtId="173" fontId="0" fillId="0" borderId="0" xfId="79" applyNumberFormat="1" applyFont="1" applyAlignment="1"/>
    <xf numFmtId="173" fontId="0" fillId="0" borderId="25" xfId="79" applyNumberFormat="1" applyFont="1" applyBorder="1" applyAlignment="1"/>
    <xf numFmtId="173" fontId="0" fillId="0" borderId="36" xfId="79" applyNumberFormat="1" applyFont="1" applyBorder="1" applyAlignment="1"/>
    <xf numFmtId="173" fontId="0" fillId="0" borderId="36" xfId="79" applyNumberFormat="1" applyFont="1" applyBorder="1"/>
    <xf numFmtId="3" fontId="5" fillId="0" borderId="0" xfId="0" applyNumberFormat="1" applyFont="1"/>
    <xf numFmtId="0" fontId="1" fillId="0" borderId="0" xfId="0" quotePrefix="1" applyFont="1"/>
    <xf numFmtId="0" fontId="32" fillId="0" borderId="0" xfId="0" applyFont="1" applyAlignment="1">
      <alignment horizontal="center"/>
    </xf>
    <xf numFmtId="173" fontId="0" fillId="0" borderId="0" xfId="79" applyNumberFormat="1" applyFont="1" applyBorder="1" applyAlignment="1"/>
    <xf numFmtId="9" fontId="5" fillId="0" borderId="0" xfId="56" applyFont="1"/>
    <xf numFmtId="0" fontId="33" fillId="0" borderId="0" xfId="0" applyFont="1"/>
    <xf numFmtId="166" fontId="5" fillId="0" borderId="0" xfId="0" applyNumberFormat="1" applyFont="1" applyBorder="1" applyAlignment="1">
      <alignment horizontal="left"/>
    </xf>
    <xf numFmtId="173" fontId="0" fillId="0" borderId="0" xfId="79" applyNumberFormat="1" applyFont="1" applyBorder="1"/>
    <xf numFmtId="2" fontId="0" fillId="0" borderId="0" xfId="0" applyNumberFormat="1" applyBorder="1"/>
    <xf numFmtId="0" fontId="1" fillId="0" borderId="1" xfId="0" applyFont="1" applyBorder="1" applyAlignment="1">
      <alignment horizontal="center"/>
    </xf>
    <xf numFmtId="173" fontId="0" fillId="0" borderId="1" xfId="79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165" fontId="0" fillId="0" borderId="0" xfId="56" applyNumberFormat="1" applyFont="1"/>
    <xf numFmtId="166" fontId="33" fillId="0" borderId="0" xfId="0" applyNumberFormat="1" applyFont="1" applyBorder="1" applyAlignment="1">
      <alignment horizontal="center"/>
    </xf>
    <xf numFmtId="0" fontId="33" fillId="0" borderId="0" xfId="0" applyFont="1" applyBorder="1" applyAlignment="1">
      <alignment horizontal="center"/>
    </xf>
    <xf numFmtId="0" fontId="5" fillId="0" borderId="0" xfId="0" applyFont="1" applyBorder="1" applyAlignment="1"/>
    <xf numFmtId="173" fontId="5" fillId="0" borderId="0" xfId="79" applyNumberFormat="1" applyFont="1" applyBorder="1"/>
    <xf numFmtId="0" fontId="0" fillId="0" borderId="0" xfId="0" applyAlignment="1">
      <alignment horizontal="center"/>
    </xf>
    <xf numFmtId="0" fontId="4" fillId="0" borderId="37" xfId="0" applyFont="1" applyBorder="1" applyAlignment="1">
      <alignment horizontal="center"/>
    </xf>
    <xf numFmtId="0" fontId="6" fillId="0" borderId="0" xfId="0" quotePrefix="1" applyFont="1" applyBorder="1" applyAlignment="1">
      <alignment horizontal="center"/>
    </xf>
    <xf numFmtId="0" fontId="0" fillId="0" borderId="0" xfId="0" applyBorder="1" applyAlignment="1"/>
    <xf numFmtId="0" fontId="6" fillId="0" borderId="16" xfId="29" applyFont="1" applyBorder="1" applyAlignment="1">
      <alignment horizontal="center"/>
    </xf>
    <xf numFmtId="0" fontId="24" fillId="0" borderId="38" xfId="29" applyBorder="1" applyAlignment="1"/>
    <xf numFmtId="0" fontId="24" fillId="0" borderId="39" xfId="29" applyBorder="1" applyAlignment="1"/>
    <xf numFmtId="0" fontId="6" fillId="0" borderId="16" xfId="0" applyFont="1" applyBorder="1" applyAlignment="1">
      <alignment horizontal="center"/>
    </xf>
    <xf numFmtId="0" fontId="0" fillId="0" borderId="38" xfId="0" applyBorder="1" applyAlignment="1"/>
    <xf numFmtId="0" fontId="0" fillId="0" borderId="39" xfId="0" applyBorder="1" applyAlignment="1"/>
    <xf numFmtId="0" fontId="6" fillId="0" borderId="38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3" fillId="0" borderId="0" xfId="0" applyFont="1" applyAlignment="1">
      <alignment horizontal="center"/>
    </xf>
  </cellXfs>
  <cellStyles count="80">
    <cellStyle name="Comma" xfId="79" builtinId="3"/>
    <cellStyle name="Comma 12" xfId="1"/>
    <cellStyle name="Comma 2" xfId="2"/>
    <cellStyle name="Comma 2 2" xfId="3"/>
    <cellStyle name="Comma 2 2 2" xfId="4"/>
    <cellStyle name="Comma 2 3" xfId="5"/>
    <cellStyle name="Comma 3" xfId="6"/>
    <cellStyle name="Comma 3 2" xfId="7"/>
    <cellStyle name="Comma 4" xfId="8"/>
    <cellStyle name="Comma 4 2" xfId="9"/>
    <cellStyle name="Comma 5" xfId="10"/>
    <cellStyle name="Comma 5 2" xfId="11"/>
    <cellStyle name="Comma 6" xfId="12"/>
    <cellStyle name="Comma 6 2" xfId="13"/>
    <cellStyle name="Comma 7" xfId="14"/>
    <cellStyle name="Comma 7 2" xfId="15"/>
    <cellStyle name="Comma 8 2" xfId="16"/>
    <cellStyle name="Comma 9 2" xfId="17"/>
    <cellStyle name="Currency 12" xfId="18"/>
    <cellStyle name="Currency 2" xfId="19"/>
    <cellStyle name="Currency 2 2" xfId="20"/>
    <cellStyle name="Currency 3" xfId="21"/>
    <cellStyle name="Currency 3 2" xfId="22"/>
    <cellStyle name="FRxAmtStyle" xfId="23"/>
    <cellStyle name="FRxAmtStyle 2" xfId="24"/>
    <cellStyle name="FRxCurrStyle" xfId="25"/>
    <cellStyle name="FRxCurrStyle 2" xfId="26"/>
    <cellStyle name="FRxPcntStyle" xfId="27"/>
    <cellStyle name="FRxPcntStyle 2" xfId="28"/>
    <cellStyle name="Normal" xfId="0" builtinId="0"/>
    <cellStyle name="Normal 10" xfId="29"/>
    <cellStyle name="Normal 10 2" xfId="30"/>
    <cellStyle name="Normal 13" xfId="31"/>
    <cellStyle name="Normal 13 2" xfId="32"/>
    <cellStyle name="Normal 13 3" xfId="33"/>
    <cellStyle name="Normal 17" xfId="34"/>
    <cellStyle name="Normal 17 2" xfId="35"/>
    <cellStyle name="Normal 17 3" xfId="36"/>
    <cellStyle name="Normal 17 4" xfId="37"/>
    <cellStyle name="Normal 2" xfId="38"/>
    <cellStyle name="Normal 2 2" xfId="39"/>
    <cellStyle name="Normal 2 3" xfId="40"/>
    <cellStyle name="Normal 3" xfId="41"/>
    <cellStyle name="Normal 3 2" xfId="42"/>
    <cellStyle name="Normal 4" xfId="43"/>
    <cellStyle name="Normal 48" xfId="44"/>
    <cellStyle name="Normal 5" xfId="45"/>
    <cellStyle name="Normal 5 2" xfId="46"/>
    <cellStyle name="Normal 5 3" xfId="47"/>
    <cellStyle name="Normal 5 4" xfId="48"/>
    <cellStyle name="Normal 6" xfId="49"/>
    <cellStyle name="Normal 6 2" xfId="50"/>
    <cellStyle name="Normal 6 3" xfId="51"/>
    <cellStyle name="Normal 6 4" xfId="52"/>
    <cellStyle name="Normal 7" xfId="53"/>
    <cellStyle name="Normal 8" xfId="54"/>
    <cellStyle name="Normal 9" xfId="55"/>
    <cellStyle name="Percent" xfId="56" builtinId="5"/>
    <cellStyle name="Percent 2" xfId="57"/>
    <cellStyle name="Percent 2 2" xfId="58"/>
    <cellStyle name="Percent 3" xfId="59"/>
    <cellStyle name="STYLE1" xfId="60"/>
    <cellStyle name="STYLE1 2" xfId="61"/>
    <cellStyle name="STYLE2" xfId="62"/>
    <cellStyle name="STYLE2 2" xfId="63"/>
    <cellStyle name="STYLE3" xfId="64"/>
    <cellStyle name="STYLE3 2" xfId="65"/>
    <cellStyle name="STYLE4" xfId="66"/>
    <cellStyle name="STYLE4 2" xfId="67"/>
    <cellStyle name="STYLE5" xfId="68"/>
    <cellStyle name="STYLE5 2" xfId="69"/>
    <cellStyle name="STYLE5 3" xfId="70"/>
    <cellStyle name="STYLE6" xfId="71"/>
    <cellStyle name="STYLE6 2" xfId="72"/>
    <cellStyle name="STYLE6 3" xfId="73"/>
    <cellStyle name="STYLE7" xfId="74"/>
    <cellStyle name="STYLE7 2" xfId="75"/>
    <cellStyle name="STYLE7 3" xfId="76"/>
    <cellStyle name="STYLE8" xfId="77"/>
    <cellStyle name="STYLE9" xfId="7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12" Type="http://schemas.openxmlformats.org/officeDocument/2006/relationships/styles" Target="styles.xml" />
  <Relationship Id="rId11" Type="http://schemas.openxmlformats.org/officeDocument/2006/relationships/theme" Target="theme/theme1.xml" />
  <Relationship Id="rId13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10" Type="http://schemas.openxmlformats.org/officeDocument/2006/relationships/worksheet" Target="worksheets/sheet10.xml" />
  <Relationship Id="rId2" Type="http://schemas.openxmlformats.org/officeDocument/2006/relationships/worksheet" Target="worksheets/sheet2.xml" />
  <Relationship Id="rId3" Type="http://schemas.openxmlformats.org/officeDocument/2006/relationships/worksheet" Target="worksheets/sheet3.xml" />
  <Relationship Id="rId4" Type="http://schemas.openxmlformats.org/officeDocument/2006/relationships/worksheet" Target="worksheets/sheet4.xml" />
  <Relationship Id="rId5" Type="http://schemas.openxmlformats.org/officeDocument/2006/relationships/worksheet" Target="worksheets/sheet5.xml" />
  <Relationship Id="rId6" Type="http://schemas.openxmlformats.org/officeDocument/2006/relationships/worksheet" Target="worksheets/sheet6.xml" />
  <Relationship Id="rId7" Type="http://schemas.openxmlformats.org/officeDocument/2006/relationships/worksheet" Target="worksheets/sheet7.xml" />
  <Relationship Id="rId8" Type="http://schemas.openxmlformats.org/officeDocument/2006/relationships/worksheet" Target="worksheets/sheet8.xml" />
  <Relationship Id="rId9" Type="http://schemas.openxmlformats.org/officeDocument/2006/relationships/worksheet" Target="worksheets/sheet9.xml" />
  <Relationship Id="rId14" Type="http://schemas.openxmlformats.org/officeDocument/2006/relationships/calcChain" Target="calcChain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Forecast</c:v>
          </c:tx>
          <c:marker>
            <c:symbol val="none"/>
          </c:marker>
          <c:cat>
            <c:numRef>
              <c:f>Sheet1!$A$105:$A$116</c:f>
              <c:numCache>
                <c:formatCode>[$-409]mmmm\-yy;@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Sheet1!$G$105:$G$116</c:f>
              <c:numCache>
                <c:formatCode>General</c:formatCode>
                <c:ptCount val="12"/>
                <c:pt idx="0">
                  <c:v>24588806.548366658</c:v>
                </c:pt>
                <c:pt idx="1">
                  <c:v>23518772.469700977</c:v>
                </c:pt>
                <c:pt idx="2">
                  <c:v>25384856.506417267</c:v>
                </c:pt>
                <c:pt idx="3">
                  <c:v>24058083.24434536</c:v>
                </c:pt>
                <c:pt idx="4">
                  <c:v>28014664.122704521</c:v>
                </c:pt>
                <c:pt idx="5">
                  <c:v>29839330.059164498</c:v>
                </c:pt>
                <c:pt idx="6">
                  <c:v>30484250.781621687</c:v>
                </c:pt>
                <c:pt idx="7">
                  <c:v>28634928.672812309</c:v>
                </c:pt>
                <c:pt idx="8">
                  <c:v>25155977.926269893</c:v>
                </c:pt>
                <c:pt idx="9">
                  <c:v>21531038.33507067</c:v>
                </c:pt>
                <c:pt idx="10">
                  <c:v>21065293.255305149</c:v>
                </c:pt>
                <c:pt idx="11">
                  <c:v>23818901.118817925</c:v>
                </c:pt>
              </c:numCache>
            </c:numRef>
          </c:val>
          <c:smooth val="0"/>
        </c:ser>
        <c:ser>
          <c:idx val="1"/>
          <c:order val="1"/>
          <c:tx>
            <c:v>Actual</c:v>
          </c:tx>
          <c:marker>
            <c:symbol val="none"/>
          </c:marker>
          <c:val>
            <c:numRef>
              <c:f>'NW Fl History'!$C$75:$C$79</c:f>
              <c:numCache>
                <c:formatCode>#,##0</c:formatCode>
                <c:ptCount val="5"/>
                <c:pt idx="0">
                  <c:v>32651753</c:v>
                </c:pt>
                <c:pt idx="1">
                  <c:v>22559528</c:v>
                </c:pt>
                <c:pt idx="2">
                  <c:v>23396311</c:v>
                </c:pt>
                <c:pt idx="3">
                  <c:v>18952601</c:v>
                </c:pt>
                <c:pt idx="4">
                  <c:v>25562899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5413504"/>
        <c:axId val="305419392"/>
      </c:lineChart>
      <c:dateAx>
        <c:axId val="305413504"/>
        <c:scaling>
          <c:orientation val="minMax"/>
        </c:scaling>
        <c:delete val="0"/>
        <c:axPos val="b"/>
        <c:numFmt formatCode="[$-409]mmmm\-yy;@" sourceLinked="0"/>
        <c:majorTickMark val="out"/>
        <c:minorTickMark val="none"/>
        <c:tickLblPos val="nextTo"/>
        <c:crossAx val="305419392"/>
        <c:crosses val="autoZero"/>
        <c:auto val="1"/>
        <c:lblOffset val="100"/>
        <c:baseTimeUnit val="months"/>
      </c:dateAx>
      <c:valAx>
        <c:axId val="305419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054135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 alignWithMargins="0"/>
    <c:pageMargins b="0.750000000000001" l="0.70000000000000062" r="0.70000000000000062" t="0.750000000000001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2016 Actual</a:t>
            </a:r>
            <a:r>
              <a:rPr lang="en-US" baseline="0"/>
              <a:t> Vs Forecast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Forecasted kWh</c:v>
          </c:tx>
          <c:marker>
            <c:symbol val="none"/>
          </c:marker>
          <c:cat>
            <c:numRef>
              <c:f>'Forecast 5 Year'!$A$81:$A$92</c:f>
              <c:numCache>
                <c:formatCode>[$-409]mmmm\-yy;@</c:formatCode>
                <c:ptCount val="12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</c:numCache>
            </c:numRef>
          </c:cat>
          <c:val>
            <c:numRef>
              <c:f>'Forecast 5 Year'!$G$81:$G$92</c:f>
              <c:numCache>
                <c:formatCode>_(* #,##0_);_(* \(#,##0\);_(* "-"??_);_(@_)</c:formatCode>
                <c:ptCount val="12"/>
                <c:pt idx="0">
                  <c:v>27369708</c:v>
                </c:pt>
                <c:pt idx="1">
                  <c:v>22988211</c:v>
                </c:pt>
                <c:pt idx="2">
                  <c:v>22904039</c:v>
                </c:pt>
                <c:pt idx="3">
                  <c:v>21284315</c:v>
                </c:pt>
                <c:pt idx="4">
                  <c:v>26116861</c:v>
                </c:pt>
                <c:pt idx="5">
                  <c:v>29100084</c:v>
                </c:pt>
                <c:pt idx="6">
                  <c:v>31249959</c:v>
                </c:pt>
                <c:pt idx="7">
                  <c:v>31267089</c:v>
                </c:pt>
                <c:pt idx="8">
                  <c:v>27412653</c:v>
                </c:pt>
                <c:pt idx="9">
                  <c:v>23015110</c:v>
                </c:pt>
                <c:pt idx="10">
                  <c:v>23190362</c:v>
                </c:pt>
                <c:pt idx="11">
                  <c:v>24767667</c:v>
                </c:pt>
              </c:numCache>
            </c:numRef>
          </c:val>
          <c:smooth val="1"/>
        </c:ser>
        <c:ser>
          <c:idx val="1"/>
          <c:order val="1"/>
          <c:tx>
            <c:v>Actual kWh</c:v>
          </c:tx>
          <c:marker>
            <c:symbol val="none"/>
          </c:marker>
          <c:cat>
            <c:numRef>
              <c:f>'Forecast 5 Year'!$A$81:$A$92</c:f>
              <c:numCache>
                <c:formatCode>[$-409]mmmm\-yy;@</c:formatCode>
                <c:ptCount val="12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</c:numCache>
            </c:numRef>
          </c:cat>
          <c:val>
            <c:numRef>
              <c:f>'NW Fl History'!$C$109:$C$115</c:f>
              <c:numCache>
                <c:formatCode>#,##0</c:formatCode>
                <c:ptCount val="7"/>
                <c:pt idx="0">
                  <c:v>27628571</c:v>
                </c:pt>
                <c:pt idx="1">
                  <c:v>23343210</c:v>
                </c:pt>
                <c:pt idx="2">
                  <c:v>21801748</c:v>
                </c:pt>
                <c:pt idx="3">
                  <c:v>21366561</c:v>
                </c:pt>
                <c:pt idx="4">
                  <c:v>25996698</c:v>
                </c:pt>
                <c:pt idx="5">
                  <c:v>30120479</c:v>
                </c:pt>
                <c:pt idx="6">
                  <c:v>32703259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1290880"/>
        <c:axId val="331309056"/>
      </c:lineChart>
      <c:dateAx>
        <c:axId val="331290880"/>
        <c:scaling>
          <c:orientation val="minMax"/>
        </c:scaling>
        <c:delete val="0"/>
        <c:axPos val="b"/>
        <c:numFmt formatCode="[$-409]mmmm\-yy;@" sourceLinked="0"/>
        <c:majorTickMark val="none"/>
        <c:minorTickMark val="none"/>
        <c:tickLblPos val="nextTo"/>
        <c:crossAx val="331309056"/>
        <c:crosses val="autoZero"/>
        <c:auto val="1"/>
        <c:lblOffset val="100"/>
        <c:baseTimeUnit val="months"/>
      </c:dateAx>
      <c:valAx>
        <c:axId val="3313090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Monthly</a:t>
                </a:r>
                <a:r>
                  <a:rPr lang="en-US" baseline="0"/>
                  <a:t> kWh</a:t>
                </a:r>
                <a:endParaRPr lang="en-US"/>
              </a:p>
            </c:rich>
          </c:tx>
          <c:layout/>
          <c:overlay val="0"/>
        </c:title>
        <c:numFmt formatCode="_(* #,##0_);_(* \(#,##0\);_(* &quot;-&quot;??_);_(@_)" sourceLinked="1"/>
        <c:majorTickMark val="none"/>
        <c:minorTickMark val="none"/>
        <c:tickLblPos val="nextTo"/>
        <c:crossAx val="3312908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 alignWithMargins="0"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Actual vs Forecasted kWh 2015</a:t>
            </a:r>
          </a:p>
        </c:rich>
      </c:tx>
      <c:layout>
        <c:manualLayout>
          <c:xMode val="edge"/>
          <c:yMode val="edge"/>
          <c:x val="0.21743697165663425"/>
          <c:y val="2.745099169409364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Actual kWh</c:v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'Yearly Comparison'!$A$6:$A$17</c:f>
              <c:numCache>
                <c:formatCode>[$-409]mmmm\-yy;@</c:formatCode>
                <c:ptCount val="12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</c:numCache>
            </c:numRef>
          </c:cat>
          <c:val>
            <c:numRef>
              <c:f>'NW Fl History'!$C$92:$C$103</c:f>
              <c:numCache>
                <c:formatCode>#,##0</c:formatCode>
                <c:ptCount val="12"/>
                <c:pt idx="0">
                  <c:v>27519518</c:v>
                </c:pt>
                <c:pt idx="1">
                  <c:v>25318858</c:v>
                </c:pt>
                <c:pt idx="2">
                  <c:v>21757928</c:v>
                </c:pt>
                <c:pt idx="3">
                  <c:v>22465423</c:v>
                </c:pt>
                <c:pt idx="4">
                  <c:v>26605236</c:v>
                </c:pt>
                <c:pt idx="5">
                  <c:v>29770105</c:v>
                </c:pt>
                <c:pt idx="6">
                  <c:v>33084608</c:v>
                </c:pt>
                <c:pt idx="7">
                  <c:v>32164697</c:v>
                </c:pt>
                <c:pt idx="8">
                  <c:v>27125234</c:v>
                </c:pt>
                <c:pt idx="9">
                  <c:v>23046822</c:v>
                </c:pt>
                <c:pt idx="10">
                  <c:v>22292503</c:v>
                </c:pt>
                <c:pt idx="11">
                  <c:v>23396033</c:v>
                </c:pt>
              </c:numCache>
            </c:numRef>
          </c:val>
          <c:smooth val="1"/>
        </c:ser>
        <c:ser>
          <c:idx val="1"/>
          <c:order val="1"/>
          <c:tx>
            <c:v>Forecasted kWh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'Yearly Comparison'!$A$6:$A$17</c:f>
              <c:numCache>
                <c:formatCode>[$-409]mmmm\-yy;@</c:formatCode>
                <c:ptCount val="12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</c:numCache>
            </c:numRef>
          </c:cat>
          <c:val>
            <c:numRef>
              <c:f>'Forecast 5 Year'!$G$81:$G$92</c:f>
              <c:numCache>
                <c:formatCode>_(* #,##0_);_(* \(#,##0\);_(* "-"??_);_(@_)</c:formatCode>
                <c:ptCount val="12"/>
                <c:pt idx="0">
                  <c:v>27369708</c:v>
                </c:pt>
                <c:pt idx="1">
                  <c:v>22988211</c:v>
                </c:pt>
                <c:pt idx="2">
                  <c:v>22904039</c:v>
                </c:pt>
                <c:pt idx="3">
                  <c:v>21284315</c:v>
                </c:pt>
                <c:pt idx="4">
                  <c:v>26116861</c:v>
                </c:pt>
                <c:pt idx="5">
                  <c:v>29100084</c:v>
                </c:pt>
                <c:pt idx="6">
                  <c:v>31249959</c:v>
                </c:pt>
                <c:pt idx="7">
                  <c:v>31267089</c:v>
                </c:pt>
                <c:pt idx="8">
                  <c:v>27412653</c:v>
                </c:pt>
                <c:pt idx="9">
                  <c:v>23015110</c:v>
                </c:pt>
                <c:pt idx="10">
                  <c:v>23190362</c:v>
                </c:pt>
                <c:pt idx="11">
                  <c:v>24767667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1586176"/>
        <c:axId val="331624832"/>
      </c:lineChart>
      <c:dateAx>
        <c:axId val="331586176"/>
        <c:scaling>
          <c:orientation val="minMax"/>
        </c:scaling>
        <c:delete val="0"/>
        <c:axPos val="b"/>
        <c:numFmt formatCode="[$-409]mmmm\-yy;@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1624832"/>
        <c:crosses val="autoZero"/>
        <c:auto val="1"/>
        <c:lblOffset val="100"/>
        <c:baseTimeUnit val="months"/>
      </c:dateAx>
      <c:valAx>
        <c:axId val="331624832"/>
        <c:scaling>
          <c:orientation val="minMax"/>
          <c:min val="15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1586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 alignWithMargins="0"/>
    <c:pageMargins b="0.75000000000000111" l="0.70000000000000062" r="0.70000000000000062" t="0.75000000000000111" header="0.30000000000000032" footer="0.30000000000000032"/>
    <c:pageSetup orientation="portrait"/>
  </c:printSettings>
</c:chartSpace>
</file>

<file path=xl/drawings/_rels/drawing1.xml.rels>&#65279;<?xml version="1.0" encoding="UTF-8" standalone="yes"?>
<Relationships xmlns="http://schemas.openxmlformats.org/package/2006/relationships">
  <Relationship Id="rId1" Type="http://schemas.openxmlformats.org/officeDocument/2006/relationships/chart" Target="../charts/chart1.xml" />
</Relationships>
</file>

<file path=xl/drawings/_rels/drawing2.xml.rels>&#65279;<?xml version="1.0" encoding="UTF-8" standalone="yes"?>
<Relationships xmlns="http://schemas.openxmlformats.org/package/2006/relationships">
  <Relationship Id="rId1" Type="http://schemas.openxmlformats.org/officeDocument/2006/relationships/chart" Target="../charts/chart2.xml" />
</Relationships>
</file>

<file path=xl/drawings/_rels/drawing3.xml.rels>&#65279;<?xml version="1.0" encoding="UTF-8" standalone="yes"?>
<Relationships xmlns="http://schemas.openxmlformats.org/package/2006/relationships">
  <Relationship Id="rId1" Type="http://schemas.openxmlformats.org/officeDocument/2006/relationships/chart" Target="../charts/chart3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419100</xdr:colOff>
      <xdr:row>88</xdr:row>
      <xdr:rowOff>95250</xdr:rowOff>
    </xdr:from>
    <xdr:to>
      <xdr:col>7</xdr:col>
      <xdr:colOff>923925</xdr:colOff>
      <xdr:row>105</xdr:row>
      <xdr:rowOff>85725</xdr:rowOff>
    </xdr:to>
    <xdr:graphicFrame macro="">
      <xdr:nvGraphicFramePr>
        <xdr:cNvPr id="204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62</xdr:row>
      <xdr:rowOff>28575</xdr:rowOff>
    </xdr:from>
    <xdr:to>
      <xdr:col>12</xdr:col>
      <xdr:colOff>304800</xdr:colOff>
      <xdr:row>77</xdr:row>
      <xdr:rowOff>95250</xdr:rowOff>
    </xdr:to>
    <xdr:graphicFrame macro="">
      <xdr:nvGraphicFramePr>
        <xdr:cNvPr id="409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5</xdr:row>
      <xdr:rowOff>0</xdr:rowOff>
    </xdr:from>
    <xdr:to>
      <xdr:col>20</xdr:col>
      <xdr:colOff>487136</xdr:colOff>
      <xdr:row>22</xdr:row>
      <xdr:rowOff>23131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10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3.xml" />
  <Relationship Id="rId1" Type="http://schemas.openxmlformats.org/officeDocument/2006/relationships/printerSettings" Target="../printerSettings/printerSettings10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5.bin" />
</Relationships>
</file>

<file path=xl/worksheets/_rels/sheet6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2.xml" />
  <Relationship Id="rId1" Type="http://schemas.openxmlformats.org/officeDocument/2006/relationships/printerSettings" Target="../printerSettings/printerSettings6.bin" />
</Relationships>
</file>

<file path=xl/worksheets/_rels/sheet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7.bin" />
</Relationships>
</file>

<file path=xl/worksheets/_rels/sheet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8.bin" />
</Relationships>
</file>

<file path=xl/worksheets/_rels/sheet9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9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77"/>
  <sheetViews>
    <sheetView zoomScale="90" zoomScaleNormal="90" workbookViewId="0">
      <selection activeCell="B49" sqref="B49"/>
    </sheetView>
  </sheetViews>
  <sheetFormatPr defaultRowHeight="12.75"/>
  <cols>
    <col min="1" max="1" width="16" customWidth="1"/>
    <col min="2" max="2" width="19.5703125" customWidth="1"/>
    <col min="3" max="3" width="17.28515625" customWidth="1"/>
    <col min="4" max="4" width="17" customWidth="1"/>
    <col min="5" max="5" width="16.85546875" customWidth="1"/>
    <col min="6" max="7" width="16" customWidth="1"/>
    <col min="8" max="8" width="17.28515625" customWidth="1"/>
    <col min="9" max="10" width="15.28515625" customWidth="1"/>
  </cols>
  <sheetData>
    <row r="1" spans="1:10">
      <c r="A1" t="s">
        <v>26</v>
      </c>
    </row>
    <row r="2" spans="1:10" ht="13.5" thickBot="1"/>
    <row r="3" spans="1:10">
      <c r="A3" s="6" t="s">
        <v>12</v>
      </c>
      <c r="B3" s="7" t="s">
        <v>14</v>
      </c>
      <c r="C3" s="7" t="s">
        <v>20</v>
      </c>
      <c r="D3" s="44" t="s">
        <v>20</v>
      </c>
      <c r="E3" s="7" t="s">
        <v>21</v>
      </c>
      <c r="F3" s="44" t="s">
        <v>68</v>
      </c>
      <c r="G3" s="36" t="s">
        <v>58</v>
      </c>
      <c r="H3" s="98" t="s">
        <v>68</v>
      </c>
      <c r="I3" s="77" t="s">
        <v>56</v>
      </c>
      <c r="J3" s="74"/>
    </row>
    <row r="4" spans="1:10" ht="13.5" thickBot="1">
      <c r="A4" s="8" t="s">
        <v>13</v>
      </c>
      <c r="B4" s="9" t="s">
        <v>13</v>
      </c>
      <c r="C4" s="10" t="s">
        <v>66</v>
      </c>
      <c r="D4" s="51" t="s">
        <v>66</v>
      </c>
      <c r="E4" s="9" t="s">
        <v>67</v>
      </c>
      <c r="F4" s="45" t="s">
        <v>69</v>
      </c>
      <c r="G4" s="75" t="s">
        <v>55</v>
      </c>
      <c r="H4" s="61" t="s">
        <v>31</v>
      </c>
      <c r="I4" s="78" t="s">
        <v>59</v>
      </c>
      <c r="J4" s="74"/>
    </row>
    <row r="5" spans="1:10" ht="13.5" thickTop="1">
      <c r="A5" s="11" t="s">
        <v>0</v>
      </c>
      <c r="B5" s="12" t="s">
        <v>0</v>
      </c>
      <c r="C5" s="13">
        <v>119995480</v>
      </c>
      <c r="D5" s="46">
        <f>C5</f>
        <v>119995480</v>
      </c>
      <c r="E5" s="13">
        <f>D5*(1+$E$19)</f>
        <v>127315204.27999999</v>
      </c>
      <c r="F5" s="46">
        <v>120622307</v>
      </c>
      <c r="G5" s="58">
        <f>(F5-D5)/D5</f>
        <v>5.2237550947752363E-3</v>
      </c>
      <c r="H5" s="46">
        <v>134124529</v>
      </c>
      <c r="I5" s="47">
        <f>(F5-H5)/H5</f>
        <v>-0.10066929666534001</v>
      </c>
    </row>
    <row r="6" spans="1:10">
      <c r="A6" s="14"/>
      <c r="B6" s="3"/>
      <c r="C6" s="4"/>
      <c r="D6" s="52"/>
      <c r="E6" s="22"/>
      <c r="F6" s="48"/>
      <c r="G6" s="59"/>
      <c r="H6" s="48"/>
      <c r="I6" s="49"/>
    </row>
    <row r="7" spans="1:10">
      <c r="A7" s="14" t="s">
        <v>1</v>
      </c>
      <c r="B7" s="3" t="s">
        <v>2</v>
      </c>
      <c r="C7" s="4">
        <v>28309555</v>
      </c>
      <c r="D7" s="48">
        <f>SUM(C7:C11)</f>
        <v>178288798</v>
      </c>
      <c r="E7" s="4">
        <f>D7*(1+$E$19)</f>
        <v>189164414.678</v>
      </c>
      <c r="F7" s="48">
        <v>178383663</v>
      </c>
      <c r="G7" s="59">
        <f>(F7-D7)/D7</f>
        <v>5.3208614934966358E-4</v>
      </c>
      <c r="H7" s="48">
        <v>180766507</v>
      </c>
      <c r="I7" s="76">
        <f>(F7-H7)/H7</f>
        <v>-1.3181888832979442E-2</v>
      </c>
    </row>
    <row r="8" spans="1:10">
      <c r="A8" s="14"/>
      <c r="B8" s="3" t="s">
        <v>3</v>
      </c>
      <c r="C8" s="4">
        <v>83052082</v>
      </c>
      <c r="D8" s="52"/>
      <c r="E8" s="4"/>
      <c r="F8" s="48"/>
      <c r="G8" s="59"/>
      <c r="H8" s="48"/>
      <c r="I8" s="49"/>
    </row>
    <row r="9" spans="1:10">
      <c r="A9" s="14"/>
      <c r="B9" s="3" t="s">
        <v>4</v>
      </c>
      <c r="C9" s="4">
        <v>62767684</v>
      </c>
      <c r="D9" s="52"/>
      <c r="E9" s="4"/>
      <c r="F9" s="48"/>
      <c r="G9" s="59"/>
      <c r="H9" s="48"/>
      <c r="I9" s="49"/>
    </row>
    <row r="10" spans="1:10">
      <c r="A10" s="14"/>
      <c r="B10" s="3" t="s">
        <v>6</v>
      </c>
      <c r="C10" s="4">
        <v>3950705</v>
      </c>
      <c r="D10" s="52"/>
      <c r="E10" s="4"/>
      <c r="F10" s="48"/>
      <c r="G10" s="59"/>
      <c r="H10" s="48"/>
      <c r="I10" s="49"/>
    </row>
    <row r="11" spans="1:10">
      <c r="A11" s="14"/>
      <c r="B11" s="3" t="s">
        <v>10</v>
      </c>
      <c r="C11" s="4">
        <v>208772</v>
      </c>
      <c r="D11" s="48"/>
      <c r="E11" s="4"/>
      <c r="F11" s="48"/>
      <c r="G11" s="59"/>
      <c r="H11" s="48"/>
      <c r="I11" s="49"/>
    </row>
    <row r="12" spans="1:10">
      <c r="A12" s="14"/>
      <c r="B12" s="3"/>
      <c r="C12" s="4"/>
      <c r="D12" s="52"/>
      <c r="E12" s="4"/>
      <c r="F12" s="48"/>
      <c r="G12" s="59"/>
      <c r="H12" s="48"/>
      <c r="I12" s="49"/>
    </row>
    <row r="13" spans="1:10">
      <c r="A13" s="14" t="s">
        <v>5</v>
      </c>
      <c r="B13" s="3" t="s">
        <v>23</v>
      </c>
      <c r="C13" s="4">
        <v>1242227</v>
      </c>
      <c r="D13" s="48">
        <f>SUM(C13:C13)</f>
        <v>1242227</v>
      </c>
      <c r="E13" s="4">
        <f>D13*(1+$E$19)</f>
        <v>1318002.8469999998</v>
      </c>
      <c r="F13" s="48">
        <v>1252654</v>
      </c>
      <c r="G13" s="59">
        <f>(F13-D13)/D13</f>
        <v>8.3937959809278016E-3</v>
      </c>
      <c r="H13" s="48">
        <v>1156220</v>
      </c>
      <c r="I13" s="76">
        <f>(F13-H13)/H13</f>
        <v>8.3404542388126821E-2</v>
      </c>
    </row>
    <row r="14" spans="1:10">
      <c r="A14" s="14"/>
      <c r="B14" s="3"/>
      <c r="C14" s="4"/>
      <c r="D14" s="52"/>
      <c r="E14" s="4"/>
      <c r="F14" s="48"/>
      <c r="G14" s="59"/>
      <c r="H14" s="48"/>
      <c r="I14" s="79"/>
    </row>
    <row r="15" spans="1:10">
      <c r="A15" s="14" t="s">
        <v>7</v>
      </c>
      <c r="B15" s="3" t="s">
        <v>8</v>
      </c>
      <c r="C15" s="4">
        <v>0</v>
      </c>
      <c r="D15" s="48">
        <f>C15</f>
        <v>0</v>
      </c>
      <c r="E15" s="4">
        <f>D15*(1+$E$19)</f>
        <v>0</v>
      </c>
      <c r="F15" s="48">
        <v>0</v>
      </c>
      <c r="G15" s="59">
        <v>0</v>
      </c>
      <c r="H15" s="48">
        <v>0</v>
      </c>
      <c r="I15" s="76">
        <v>0</v>
      </c>
    </row>
    <row r="16" spans="1:10">
      <c r="A16" s="15"/>
      <c r="B16" s="5"/>
      <c r="C16" s="5"/>
      <c r="D16" s="52"/>
      <c r="E16" s="4"/>
      <c r="F16" s="48"/>
      <c r="G16" s="59"/>
      <c r="H16" s="48"/>
      <c r="I16" s="49"/>
    </row>
    <row r="17" spans="1:11" ht="13.5" thickBot="1">
      <c r="A17" s="16" t="s">
        <v>11</v>
      </c>
      <c r="B17" s="17" t="s">
        <v>11</v>
      </c>
      <c r="C17" s="18">
        <f>SUM(C5:C16)</f>
        <v>299526505</v>
      </c>
      <c r="D17" s="34">
        <f>SUM(D5:D16)</f>
        <v>299526505</v>
      </c>
      <c r="E17" s="43">
        <f>SUM(E5:E16)</f>
        <v>317797621.80500001</v>
      </c>
      <c r="F17" s="34">
        <f>SUM(F5:F16)</f>
        <v>300258624</v>
      </c>
      <c r="G17" s="60">
        <f>(F17-D17)/D17</f>
        <v>2.4442544742409359E-3</v>
      </c>
      <c r="H17" s="34">
        <f>SUM(H5:H16)</f>
        <v>316047256</v>
      </c>
      <c r="I17" s="50">
        <f>(F17-H17)/H17</f>
        <v>-4.9956554598278177E-2</v>
      </c>
    </row>
    <row r="18" spans="1:11" ht="13.5" thickTop="1"/>
    <row r="19" spans="1:11">
      <c r="D19" s="100" t="s">
        <v>71</v>
      </c>
      <c r="E19" s="21">
        <v>6.0999999999999999E-2</v>
      </c>
    </row>
    <row r="20" spans="1:11">
      <c r="C20" s="81" t="s">
        <v>70</v>
      </c>
      <c r="D20" s="32"/>
      <c r="E20" s="33">
        <v>314104385</v>
      </c>
      <c r="J20" s="74"/>
      <c r="K20" s="74"/>
    </row>
    <row r="21" spans="1:11">
      <c r="D21" s="100" t="s">
        <v>72</v>
      </c>
      <c r="E21" s="21">
        <f>(E20-D17)/E20</f>
        <v>4.6410940745064737E-2</v>
      </c>
    </row>
    <row r="23" spans="1:11">
      <c r="A23" s="19" t="s">
        <v>15</v>
      </c>
      <c r="B23" s="1"/>
      <c r="C23" s="1"/>
      <c r="D23" s="1"/>
      <c r="E23" s="1"/>
      <c r="F23" s="1"/>
    </row>
    <row r="24" spans="1:11">
      <c r="A24" s="1" t="s">
        <v>16</v>
      </c>
      <c r="B24" s="1" t="s">
        <v>17</v>
      </c>
      <c r="C24" s="1" t="s">
        <v>18</v>
      </c>
      <c r="D24" s="1" t="s">
        <v>7</v>
      </c>
      <c r="E24" s="1" t="s">
        <v>5</v>
      </c>
      <c r="F24" s="1" t="s">
        <v>19</v>
      </c>
    </row>
    <row r="25" spans="1:11" ht="15" customHeight="1">
      <c r="A25" s="1">
        <v>1991</v>
      </c>
      <c r="B25" s="42">
        <v>101817.075</v>
      </c>
      <c r="C25" s="42">
        <v>134628.92600000001</v>
      </c>
      <c r="D25" s="20">
        <v>0</v>
      </c>
      <c r="E25" s="42">
        <v>1191.4280000000001</v>
      </c>
      <c r="F25" s="2">
        <f>SUM(B25:E25)</f>
        <v>237637.429</v>
      </c>
    </row>
    <row r="26" spans="1:11" ht="15" customHeight="1">
      <c r="A26" s="1">
        <v>1992</v>
      </c>
      <c r="B26" s="42">
        <v>105268.442</v>
      </c>
      <c r="C26" s="42">
        <v>134545.88800000001</v>
      </c>
      <c r="D26" s="20">
        <v>0</v>
      </c>
      <c r="E26" s="42">
        <v>1189.326</v>
      </c>
      <c r="F26" s="2">
        <f t="shared" ref="F26:F47" si="0">SUM(B26:E26)</f>
        <v>241003.65600000002</v>
      </c>
      <c r="H26" s="95"/>
      <c r="I26" s="116"/>
      <c r="J26" s="95"/>
    </row>
    <row r="27" spans="1:11" ht="15" customHeight="1">
      <c r="A27" s="1">
        <v>1993</v>
      </c>
      <c r="B27" s="42">
        <v>111517.68700000001</v>
      </c>
      <c r="C27" s="42">
        <v>140238.26300000001</v>
      </c>
      <c r="D27" s="20">
        <v>0</v>
      </c>
      <c r="E27" s="42">
        <v>1185.749</v>
      </c>
      <c r="F27" s="2">
        <f t="shared" si="0"/>
        <v>252941.69900000002</v>
      </c>
      <c r="H27" s="2"/>
      <c r="I27" s="116"/>
      <c r="J27" s="95"/>
    </row>
    <row r="28" spans="1:11" ht="15" customHeight="1">
      <c r="A28" s="1">
        <v>1994</v>
      </c>
      <c r="B28" s="42">
        <v>110621.879</v>
      </c>
      <c r="C28" s="42">
        <v>142798.29699999999</v>
      </c>
      <c r="D28" s="20">
        <v>0</v>
      </c>
      <c r="E28" s="42">
        <v>1182.4010000000001</v>
      </c>
      <c r="F28" s="2">
        <f t="shared" si="0"/>
        <v>254602.57699999999</v>
      </c>
      <c r="H28" s="2"/>
      <c r="I28" s="116"/>
      <c r="J28" s="95"/>
    </row>
    <row r="29" spans="1:11" ht="15" customHeight="1">
      <c r="A29" s="1">
        <v>1995</v>
      </c>
      <c r="B29" s="42">
        <v>119998.22100000001</v>
      </c>
      <c r="C29" s="42">
        <v>149954.78200000001</v>
      </c>
      <c r="D29" s="20">
        <v>0</v>
      </c>
      <c r="E29" s="42">
        <v>1176.432</v>
      </c>
      <c r="F29" s="2">
        <f t="shared" si="0"/>
        <v>271129.435</v>
      </c>
      <c r="H29" s="2"/>
      <c r="I29" s="116"/>
      <c r="J29" s="95"/>
    </row>
    <row r="30" spans="1:11" ht="15" customHeight="1">
      <c r="A30" s="1">
        <v>1996</v>
      </c>
      <c r="B30" s="42">
        <v>125658.45</v>
      </c>
      <c r="C30" s="42">
        <v>153042.541</v>
      </c>
      <c r="D30" s="20">
        <v>0</v>
      </c>
      <c r="E30" s="42">
        <v>1149.0740000000001</v>
      </c>
      <c r="F30" s="2">
        <f t="shared" si="0"/>
        <v>279850.065</v>
      </c>
      <c r="H30" s="2"/>
      <c r="I30" s="116"/>
      <c r="J30" s="115"/>
    </row>
    <row r="31" spans="1:11" ht="15" customHeight="1">
      <c r="A31" s="1">
        <v>1997</v>
      </c>
      <c r="B31" s="42">
        <v>121356.774</v>
      </c>
      <c r="C31" s="42">
        <v>151504.88699999999</v>
      </c>
      <c r="D31" s="20">
        <v>0</v>
      </c>
      <c r="E31" s="42">
        <v>1150.816</v>
      </c>
      <c r="F31" s="2">
        <f t="shared" si="0"/>
        <v>274012.47699999996</v>
      </c>
      <c r="H31" s="2"/>
      <c r="I31" s="116"/>
      <c r="J31" s="115"/>
    </row>
    <row r="32" spans="1:11" ht="15" customHeight="1">
      <c r="A32" s="1">
        <v>1998</v>
      </c>
      <c r="B32" s="42">
        <v>131743.36499999999</v>
      </c>
      <c r="C32" s="42">
        <v>156375.601</v>
      </c>
      <c r="D32" s="20">
        <v>0</v>
      </c>
      <c r="E32" s="42">
        <v>1153.9490000000001</v>
      </c>
      <c r="F32" s="2">
        <f t="shared" si="0"/>
        <v>289272.91500000004</v>
      </c>
      <c r="H32" s="2"/>
      <c r="I32" s="116"/>
      <c r="J32" s="115"/>
    </row>
    <row r="33" spans="1:10" ht="15" customHeight="1">
      <c r="A33" s="1">
        <v>1999</v>
      </c>
      <c r="B33" s="42">
        <v>128278.06200000001</v>
      </c>
      <c r="C33" s="42">
        <v>149084.12400000001</v>
      </c>
      <c r="D33" s="20">
        <v>0</v>
      </c>
      <c r="E33" s="42">
        <v>1155.664</v>
      </c>
      <c r="F33" s="2">
        <f t="shared" si="0"/>
        <v>278517.84999999998</v>
      </c>
      <c r="H33" s="2"/>
      <c r="I33" s="116"/>
      <c r="J33" s="115"/>
    </row>
    <row r="34" spans="1:10" ht="15" customHeight="1">
      <c r="A34" s="1">
        <v>2000</v>
      </c>
      <c r="B34" s="42">
        <v>134278.39000000001</v>
      </c>
      <c r="C34" s="42">
        <v>156030.58799999999</v>
      </c>
      <c r="D34" s="20">
        <v>0</v>
      </c>
      <c r="E34" s="42">
        <v>1070.9110000000001</v>
      </c>
      <c r="F34" s="2">
        <f t="shared" si="0"/>
        <v>291379.88900000002</v>
      </c>
      <c r="H34" s="2"/>
      <c r="I34" s="96"/>
      <c r="J34" s="115"/>
    </row>
    <row r="35" spans="1:10" ht="15" customHeight="1">
      <c r="A35" s="1">
        <v>2001</v>
      </c>
      <c r="B35" s="42">
        <v>132626.67600000001</v>
      </c>
      <c r="C35" s="42">
        <v>157978.69200000001</v>
      </c>
      <c r="D35" s="20">
        <v>0</v>
      </c>
      <c r="E35" s="42">
        <v>958.45600000000002</v>
      </c>
      <c r="F35" s="2">
        <f t="shared" si="0"/>
        <v>291563.82400000002</v>
      </c>
      <c r="H35" s="117"/>
      <c r="I35" s="97"/>
      <c r="J35" s="115"/>
    </row>
    <row r="36" spans="1:10" ht="15" customHeight="1">
      <c r="A36" s="1">
        <v>2002</v>
      </c>
      <c r="B36" s="42">
        <v>144884.28099999999</v>
      </c>
      <c r="C36" s="42">
        <v>169443.995</v>
      </c>
      <c r="D36" s="20">
        <v>0</v>
      </c>
      <c r="E36" s="42">
        <v>1119.557</v>
      </c>
      <c r="F36" s="2">
        <f t="shared" si="0"/>
        <v>315447.83299999993</v>
      </c>
      <c r="H36" s="117"/>
      <c r="I36" s="95"/>
      <c r="J36" s="115"/>
    </row>
    <row r="37" spans="1:10" ht="15" customHeight="1">
      <c r="A37" s="1">
        <v>2003</v>
      </c>
      <c r="B37" s="42">
        <v>141256.758</v>
      </c>
      <c r="C37" s="42">
        <v>163350.42800000001</v>
      </c>
      <c r="D37" s="20">
        <v>0</v>
      </c>
      <c r="E37" s="42">
        <v>1173.5550000000001</v>
      </c>
      <c r="F37" s="2">
        <f t="shared" si="0"/>
        <v>305780.74099999998</v>
      </c>
      <c r="J37" s="115"/>
    </row>
    <row r="38" spans="1:10" ht="15" customHeight="1">
      <c r="A38" s="1">
        <v>2004</v>
      </c>
      <c r="B38" s="42">
        <v>143944.16399999999</v>
      </c>
      <c r="C38" s="42">
        <v>167586.83600000001</v>
      </c>
      <c r="D38" s="20">
        <v>0</v>
      </c>
      <c r="E38" s="42">
        <v>1179.856</v>
      </c>
      <c r="F38" s="2">
        <f t="shared" si="0"/>
        <v>312710.85600000003</v>
      </c>
      <c r="J38" s="114"/>
    </row>
    <row r="39" spans="1:10" ht="15" customHeight="1">
      <c r="A39" s="1">
        <v>2005</v>
      </c>
      <c r="B39" s="42">
        <v>149015.984</v>
      </c>
      <c r="C39" s="42">
        <v>190042.51</v>
      </c>
      <c r="D39" s="20">
        <v>0</v>
      </c>
      <c r="E39" s="42">
        <v>1200.319</v>
      </c>
      <c r="F39" s="2">
        <f t="shared" si="0"/>
        <v>340258.81300000002</v>
      </c>
      <c r="J39" s="74"/>
    </row>
    <row r="40" spans="1:10" ht="15" customHeight="1">
      <c r="A40" s="1">
        <v>2006</v>
      </c>
      <c r="B40" s="42">
        <v>151089.11199999999</v>
      </c>
      <c r="C40" s="42">
        <v>192180.54</v>
      </c>
      <c r="D40" s="20">
        <v>0</v>
      </c>
      <c r="E40" s="42">
        <v>1140.6990000000001</v>
      </c>
      <c r="F40" s="2">
        <f t="shared" si="0"/>
        <v>344410.35100000002</v>
      </c>
    </row>
    <row r="41" spans="1:10" ht="15" customHeight="1">
      <c r="A41" s="1">
        <v>2007</v>
      </c>
      <c r="B41" s="42">
        <v>153677.16500000001</v>
      </c>
      <c r="C41" s="42">
        <v>191706.99100000001</v>
      </c>
      <c r="D41" s="20">
        <v>0</v>
      </c>
      <c r="E41" s="42">
        <v>1132.4649999999999</v>
      </c>
      <c r="F41" s="2">
        <f t="shared" si="0"/>
        <v>346516.62100000004</v>
      </c>
    </row>
    <row r="42" spans="1:10" ht="15" customHeight="1">
      <c r="A42" s="1">
        <v>2008</v>
      </c>
      <c r="B42" s="2">
        <v>143796.36199999999</v>
      </c>
      <c r="C42" s="2">
        <v>181216.19</v>
      </c>
      <c r="D42" s="2">
        <v>0</v>
      </c>
      <c r="E42" s="2">
        <v>1133.2929999999999</v>
      </c>
      <c r="F42" s="2">
        <f t="shared" si="0"/>
        <v>326145.84500000003</v>
      </c>
    </row>
    <row r="43" spans="1:10" ht="15" customHeight="1">
      <c r="A43" s="1">
        <v>2009</v>
      </c>
      <c r="B43" s="73">
        <v>133594</v>
      </c>
      <c r="C43" s="2">
        <v>175482</v>
      </c>
      <c r="D43" s="102">
        <v>0</v>
      </c>
      <c r="E43" s="73">
        <v>1137</v>
      </c>
      <c r="F43" s="2">
        <f t="shared" si="0"/>
        <v>310213</v>
      </c>
    </row>
    <row r="44" spans="1:10" ht="15" customHeight="1">
      <c r="A44" s="1">
        <v>2010</v>
      </c>
      <c r="B44" s="2">
        <v>145399</v>
      </c>
      <c r="C44" s="2">
        <v>185955</v>
      </c>
      <c r="D44" s="2">
        <v>0</v>
      </c>
      <c r="E44" s="2">
        <v>1147</v>
      </c>
      <c r="F44" s="2">
        <f t="shared" si="0"/>
        <v>332501</v>
      </c>
      <c r="G44" s="69"/>
    </row>
    <row r="45" spans="1:10" ht="15" customHeight="1">
      <c r="A45" s="1">
        <v>2011</v>
      </c>
      <c r="B45" s="2">
        <v>134605</v>
      </c>
      <c r="C45" s="2">
        <v>181888</v>
      </c>
      <c r="D45" s="2">
        <v>0</v>
      </c>
      <c r="E45" s="82">
        <v>1134</v>
      </c>
      <c r="F45" s="2">
        <f t="shared" si="0"/>
        <v>317627</v>
      </c>
      <c r="G45" s="69"/>
    </row>
    <row r="46" spans="1:10" ht="15" customHeight="1">
      <c r="A46" s="1">
        <v>2012</v>
      </c>
      <c r="B46" s="2">
        <v>119995</v>
      </c>
      <c r="C46" s="2">
        <v>178289</v>
      </c>
      <c r="D46" s="2">
        <v>0</v>
      </c>
      <c r="E46" s="82">
        <v>1242</v>
      </c>
      <c r="F46" s="2">
        <f t="shared" si="0"/>
        <v>299526</v>
      </c>
      <c r="G46" s="69"/>
    </row>
    <row r="47" spans="1:10" ht="15" customHeight="1">
      <c r="A47" s="1">
        <v>2013</v>
      </c>
      <c r="B47" s="2">
        <v>120622</v>
      </c>
      <c r="C47" s="2">
        <v>178384</v>
      </c>
      <c r="D47" s="2">
        <v>0</v>
      </c>
      <c r="E47" s="2">
        <v>1253</v>
      </c>
      <c r="F47" s="2">
        <f t="shared" si="0"/>
        <v>300259</v>
      </c>
      <c r="G47" s="101" t="s">
        <v>79</v>
      </c>
    </row>
    <row r="49" spans="1:10">
      <c r="A49" s="83" t="s">
        <v>73</v>
      </c>
      <c r="B49" s="1"/>
      <c r="C49" s="1"/>
      <c r="D49" s="1"/>
      <c r="E49" s="1"/>
      <c r="F49" s="1"/>
    </row>
    <row r="50" spans="1:10">
      <c r="A50" s="1"/>
      <c r="B50" s="1"/>
      <c r="C50" s="1"/>
      <c r="D50" s="1"/>
      <c r="E50" s="1"/>
      <c r="F50" s="1"/>
    </row>
    <row r="51" spans="1:10">
      <c r="A51" s="83" t="s">
        <v>82</v>
      </c>
      <c r="B51" s="2">
        <f>FORECAST(2014,B32:B47,$A$32:$A$47)</f>
        <v>135662.6015499999</v>
      </c>
      <c r="C51" s="2">
        <f>FORECAST(2014,C32:C47,$A$32:$A$47)</f>
        <v>191588.41864999989</v>
      </c>
      <c r="D51" s="2">
        <f>FORECAST(2014,D32:D47,$A$32:$A$47)</f>
        <v>0</v>
      </c>
      <c r="E51" s="2">
        <f>FORECAST(2014,E32:E47,$A$32:$A$47)</f>
        <v>1204.7078249999995</v>
      </c>
      <c r="F51" s="2">
        <f>FORECAST(2014,F32:F47,$A$32:$A$47)</f>
        <v>328455.72802500008</v>
      </c>
      <c r="H51" s="2">
        <f>FORECAST(2014,B37:B47,A37:A47)</f>
        <v>124799.49752727244</v>
      </c>
    </row>
    <row r="52" spans="1:10">
      <c r="A52" s="1"/>
      <c r="B52" s="2"/>
      <c r="C52" s="2"/>
      <c r="D52" s="2"/>
      <c r="E52" s="2"/>
      <c r="F52" s="2"/>
    </row>
    <row r="53" spans="1:10">
      <c r="A53" s="83" t="s">
        <v>74</v>
      </c>
      <c r="B53" s="2">
        <f>FORECAST(2014,B34:B47,$A$34:$A$47)</f>
        <v>131866.63557142857</v>
      </c>
      <c r="C53" s="2">
        <f>FORECAST(2014,C34:C47,$A$34:$A$47)</f>
        <v>189528.73253846169</v>
      </c>
      <c r="D53" s="2">
        <f>FORECAST(2014,D34:D47,$A$34:$A$47)</f>
        <v>0</v>
      </c>
      <c r="E53" s="2">
        <f>FORECAST(2014,E34:E47,$A$34:$A$47)</f>
        <v>1226.9637142857136</v>
      </c>
      <c r="F53" s="2">
        <f>FORECAST(2014,F34:F47,$A$34:$A$47)</f>
        <v>322622.33182417601</v>
      </c>
    </row>
    <row r="54" spans="1:10">
      <c r="A54" s="1"/>
      <c r="B54" s="2"/>
      <c r="C54" s="2"/>
      <c r="D54" s="2"/>
      <c r="E54" s="2"/>
      <c r="F54" s="2"/>
    </row>
    <row r="55" spans="1:10">
      <c r="A55" s="83" t="s">
        <v>75</v>
      </c>
      <c r="B55" s="2">
        <f>FORECAST(2014,B38:B47,$A$38:$A$47)</f>
        <v>121890.31933333259</v>
      </c>
      <c r="C55" s="2">
        <f>FORECAST(2014,C38:C47,$A$38:$A$47)</f>
        <v>180288.00813333329</v>
      </c>
      <c r="D55" s="2">
        <f>FORECAST(2014,D38:D47,$A$38:$A$47)</f>
        <v>0</v>
      </c>
      <c r="E55" s="2">
        <f>FORECAST(2014,E38:E47,$A$38:$A$47)</f>
        <v>1202.0925333333325</v>
      </c>
      <c r="F55" s="2">
        <f>FORECAST(2014,F38:F47,$A$38:$A$47)</f>
        <v>303380.41999999993</v>
      </c>
    </row>
    <row r="56" spans="1:10">
      <c r="A56" s="1"/>
      <c r="B56" s="2"/>
      <c r="C56" s="2"/>
      <c r="D56" s="2"/>
      <c r="E56" s="2"/>
      <c r="F56" s="2"/>
    </row>
    <row r="57" spans="1:10">
      <c r="A57" s="83" t="s">
        <v>81</v>
      </c>
      <c r="B57" s="2">
        <f>FORECAST(2014,B42:B47,$A$42:$A$47)</f>
        <v>116255.61266666651</v>
      </c>
      <c r="C57" s="2">
        <f>FORECAST(2014,C42:C47,$A$42:$A$47)</f>
        <v>179221.66999999993</v>
      </c>
      <c r="D57" s="2">
        <f>FORECAST(2014,D42:D47,$A$42:$A$47)</f>
        <v>0</v>
      </c>
      <c r="E57" s="2">
        <f>FORECAST(2014,E42:E47,$A$42:$A$47)</f>
        <v>1264.4356666666645</v>
      </c>
      <c r="F57" s="2">
        <f>FORECAST(2014,F42:F47,$A$42:$A$47)</f>
        <v>296741.71833333373</v>
      </c>
    </row>
    <row r="60" spans="1:10" ht="13.5" thickBot="1"/>
    <row r="61" spans="1:10">
      <c r="A61" s="6" t="s">
        <v>12</v>
      </c>
      <c r="B61" s="85" t="s">
        <v>77</v>
      </c>
      <c r="C61" s="85" t="s">
        <v>82</v>
      </c>
      <c r="D61" s="85" t="s">
        <v>74</v>
      </c>
      <c r="E61" s="85" t="s">
        <v>75</v>
      </c>
      <c r="F61" s="85" t="s">
        <v>81</v>
      </c>
      <c r="G61" s="40" t="s">
        <v>9</v>
      </c>
      <c r="H61" s="26" t="s">
        <v>21</v>
      </c>
      <c r="I61" s="36" t="s">
        <v>60</v>
      </c>
      <c r="J61" s="91" t="s">
        <v>62</v>
      </c>
    </row>
    <row r="62" spans="1:10" ht="13.5" thickBot="1">
      <c r="A62" s="70" t="s">
        <v>13</v>
      </c>
      <c r="B62" s="84" t="s">
        <v>78</v>
      </c>
      <c r="C62" s="86" t="s">
        <v>76</v>
      </c>
      <c r="D62" s="87" t="s">
        <v>76</v>
      </c>
      <c r="E62" s="87" t="s">
        <v>76</v>
      </c>
      <c r="F62" s="87" t="s">
        <v>76</v>
      </c>
      <c r="G62" s="88" t="s">
        <v>66</v>
      </c>
      <c r="H62" s="89" t="s">
        <v>67</v>
      </c>
      <c r="I62" s="90" t="s">
        <v>61</v>
      </c>
      <c r="J62" s="72" t="s">
        <v>22</v>
      </c>
    </row>
    <row r="63" spans="1:10" ht="15.75" thickTop="1">
      <c r="A63" s="11" t="s">
        <v>0</v>
      </c>
      <c r="B63" s="42">
        <f>F5</f>
        <v>120622307</v>
      </c>
      <c r="C63" s="13">
        <f>$B51*1000</f>
        <v>135662601.54999989</v>
      </c>
      <c r="D63" s="13">
        <f>$B53*1000</f>
        <v>131866635.57142857</v>
      </c>
      <c r="E63" s="13">
        <f>$B55*1000</f>
        <v>121890319.3333326</v>
      </c>
      <c r="F63" s="13">
        <f>$B57*1000</f>
        <v>116255612.66666651</v>
      </c>
      <c r="G63" s="41">
        <f>D5</f>
        <v>119995480</v>
      </c>
      <c r="H63" s="27">
        <f>G63*(1+$E$19)</f>
        <v>127315204.27999999</v>
      </c>
      <c r="I63" s="37">
        <f>B63</f>
        <v>120622307</v>
      </c>
      <c r="J63" s="35">
        <f>I63*(1+$E$19)</f>
        <v>127980267.727</v>
      </c>
    </row>
    <row r="64" spans="1:10">
      <c r="A64" s="14"/>
      <c r="B64" s="4"/>
      <c r="C64" s="4"/>
      <c r="D64" s="4"/>
      <c r="E64" s="4"/>
      <c r="F64" s="4"/>
      <c r="G64" s="30"/>
      <c r="H64" s="28"/>
      <c r="I64" s="38"/>
      <c r="J64" s="24"/>
    </row>
    <row r="65" spans="1:10" ht="15">
      <c r="A65" s="14" t="s">
        <v>1</v>
      </c>
      <c r="B65" s="42">
        <f>F7</f>
        <v>178383663</v>
      </c>
      <c r="C65" s="4">
        <f>$C51*1000</f>
        <v>191588418.64999989</v>
      </c>
      <c r="D65" s="4">
        <f>$C53*1000</f>
        <v>189528732.53846169</v>
      </c>
      <c r="E65" s="4">
        <f>$C55*1000</f>
        <v>180288008.1333333</v>
      </c>
      <c r="F65" s="4">
        <f>$C57*1000</f>
        <v>179221669.99999994</v>
      </c>
      <c r="G65" s="30">
        <f>D7</f>
        <v>178288798</v>
      </c>
      <c r="H65" s="29">
        <f>G65*(1+$E$19)</f>
        <v>189164414.678</v>
      </c>
      <c r="I65" s="38">
        <f>B65</f>
        <v>178383663</v>
      </c>
      <c r="J65" s="23">
        <f>I65*(1+$E$19)</f>
        <v>189265066.44299999</v>
      </c>
    </row>
    <row r="66" spans="1:10">
      <c r="A66" s="14"/>
      <c r="B66" s="4"/>
      <c r="C66" s="4"/>
      <c r="D66" s="4"/>
      <c r="E66" s="4"/>
      <c r="F66" s="4"/>
      <c r="G66" s="30"/>
      <c r="H66" s="29"/>
      <c r="I66" s="38"/>
      <c r="J66" s="24"/>
    </row>
    <row r="67" spans="1:10">
      <c r="A67" s="14"/>
      <c r="B67" s="4"/>
      <c r="C67" s="4"/>
      <c r="D67" s="4"/>
      <c r="E67" s="4"/>
      <c r="F67" s="4"/>
      <c r="G67" s="30"/>
      <c r="H67" s="29"/>
      <c r="I67" s="38"/>
      <c r="J67" s="23"/>
    </row>
    <row r="68" spans="1:10">
      <c r="A68" s="14"/>
      <c r="B68" s="4"/>
      <c r="C68" s="4"/>
      <c r="D68" s="4"/>
      <c r="E68" s="4"/>
      <c r="F68" s="4"/>
      <c r="G68" s="30"/>
      <c r="H68" s="29"/>
      <c r="I68" s="38"/>
      <c r="J68" s="24"/>
    </row>
    <row r="69" spans="1:10" ht="15">
      <c r="A69" s="14" t="s">
        <v>24</v>
      </c>
      <c r="B69" s="42">
        <f>F13</f>
        <v>1252654</v>
      </c>
      <c r="C69" s="4">
        <f>$E51*1000</f>
        <v>1204707.8249999995</v>
      </c>
      <c r="D69" s="4">
        <f>$E53*1000</f>
        <v>1226963.7142857136</v>
      </c>
      <c r="E69" s="4">
        <f>$E55*1000</f>
        <v>1202092.5333333325</v>
      </c>
      <c r="F69" s="4">
        <f>$E57*1000</f>
        <v>1264435.6666666644</v>
      </c>
      <c r="G69" s="30">
        <f>D13</f>
        <v>1242227</v>
      </c>
      <c r="H69" s="29">
        <f>G69*(1+$E$19)</f>
        <v>1318002.8469999998</v>
      </c>
      <c r="I69" s="38">
        <f>B69</f>
        <v>1252654</v>
      </c>
      <c r="J69" s="23">
        <f>I69*(1+$E$19)</f>
        <v>1329065.8939999999</v>
      </c>
    </row>
    <row r="70" spans="1:10">
      <c r="A70" s="14" t="s">
        <v>25</v>
      </c>
      <c r="B70" s="4"/>
      <c r="C70" s="4"/>
      <c r="D70" s="4"/>
      <c r="E70" s="4"/>
      <c r="F70" s="4"/>
      <c r="G70" s="30"/>
      <c r="H70" s="29"/>
      <c r="I70" s="38"/>
      <c r="J70" s="24"/>
    </row>
    <row r="71" spans="1:10">
      <c r="A71" s="14"/>
      <c r="B71" s="4"/>
      <c r="C71" s="4"/>
      <c r="D71" s="4"/>
      <c r="E71" s="4"/>
      <c r="F71" s="4"/>
      <c r="G71" s="30"/>
      <c r="H71" s="29"/>
      <c r="I71" s="38"/>
      <c r="J71" s="24"/>
    </row>
    <row r="72" spans="1:10" ht="15">
      <c r="A72" s="14" t="s">
        <v>7</v>
      </c>
      <c r="B72" s="42">
        <f>F15</f>
        <v>0</v>
      </c>
      <c r="C72" s="4">
        <f>$D51*1000</f>
        <v>0</v>
      </c>
      <c r="D72" s="4">
        <f>$D53*1000</f>
        <v>0</v>
      </c>
      <c r="E72" s="4">
        <f>$D55*1000</f>
        <v>0</v>
      </c>
      <c r="F72" s="4">
        <f>$D57*1000</f>
        <v>0</v>
      </c>
      <c r="G72" s="30">
        <f>D15</f>
        <v>0</v>
      </c>
      <c r="H72" s="29">
        <f>G72*(1+$E$19)</f>
        <v>0</v>
      </c>
      <c r="I72" s="38">
        <f>B72</f>
        <v>0</v>
      </c>
      <c r="J72" s="23">
        <f>I72*(1+$E$19)</f>
        <v>0</v>
      </c>
    </row>
    <row r="73" spans="1:10">
      <c r="A73" s="14"/>
      <c r="B73" s="4"/>
      <c r="C73" s="4"/>
      <c r="D73" s="4"/>
      <c r="E73" s="4"/>
      <c r="F73" s="4"/>
      <c r="G73" s="30"/>
      <c r="H73" s="30"/>
      <c r="I73" s="38"/>
      <c r="J73" s="23"/>
    </row>
    <row r="74" spans="1:10">
      <c r="A74" s="15"/>
      <c r="B74" s="4"/>
      <c r="C74" s="5"/>
      <c r="D74" s="5"/>
      <c r="E74" s="5"/>
      <c r="F74" s="5"/>
      <c r="G74" s="30"/>
      <c r="H74" s="30"/>
      <c r="I74" s="38"/>
      <c r="J74" s="24"/>
    </row>
    <row r="75" spans="1:10" ht="13.5" thickBot="1">
      <c r="A75" s="16" t="s">
        <v>11</v>
      </c>
      <c r="B75" s="18">
        <f t="shared" ref="B75:J75" si="1">SUM(B63:B74)</f>
        <v>300258624</v>
      </c>
      <c r="C75" s="18">
        <f>SUM(C63:C74)</f>
        <v>328455728.0249998</v>
      </c>
      <c r="D75" s="18">
        <f t="shared" si="1"/>
        <v>322622331.82417595</v>
      </c>
      <c r="E75" s="18">
        <f t="shared" si="1"/>
        <v>303380419.99999923</v>
      </c>
      <c r="F75" s="18">
        <f t="shared" si="1"/>
        <v>296741718.33333313</v>
      </c>
      <c r="G75" s="31">
        <f t="shared" si="1"/>
        <v>299526505</v>
      </c>
      <c r="H75" s="31">
        <f t="shared" si="1"/>
        <v>317797621.80500001</v>
      </c>
      <c r="I75" s="39">
        <f t="shared" si="1"/>
        <v>300258624</v>
      </c>
      <c r="J75" s="25">
        <f t="shared" si="1"/>
        <v>318574400.06399995</v>
      </c>
    </row>
    <row r="76" spans="1:10" ht="13.5" thickTop="1"/>
    <row r="77" spans="1:10">
      <c r="G77" s="94" t="s">
        <v>65</v>
      </c>
      <c r="H77" s="32"/>
      <c r="I77" s="33">
        <f>E20</f>
        <v>314104385</v>
      </c>
    </row>
  </sheetData>
  <phoneticPr fontId="2" type="noConversion"/>
  <pageMargins left="0.38" right="0.31" top="0.4" bottom="0.49" header="0.21" footer="0.3"/>
  <pageSetup scale="80" orientation="landscape" horizontalDpi="4294967293" r:id="rId1"/>
  <headerFooter alignWithMargins="0"/>
  <ignoredErrors>
    <ignoredError sqref="F25:F26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8"/>
  <sheetViews>
    <sheetView workbookViewId="0">
      <selection activeCell="B36" sqref="B36"/>
    </sheetView>
  </sheetViews>
  <sheetFormatPr defaultRowHeight="12.75"/>
  <cols>
    <col min="1" max="1" width="12.85546875" customWidth="1"/>
    <col min="2" max="2" width="12.140625" customWidth="1"/>
    <col min="3" max="3" width="14.85546875" customWidth="1"/>
    <col min="4" max="5" width="10.140625" customWidth="1"/>
    <col min="6" max="6" width="12.5703125" customWidth="1"/>
    <col min="7" max="7" width="14" customWidth="1"/>
    <col min="8" max="8" width="11.28515625" customWidth="1"/>
    <col min="10" max="10" width="13.7109375" customWidth="1"/>
  </cols>
  <sheetData>
    <row r="3" spans="1:11">
      <c r="A3" s="216" t="s">
        <v>150</v>
      </c>
      <c r="B3" s="216"/>
      <c r="C3" s="216"/>
      <c r="D3" s="216"/>
      <c r="E3" s="216"/>
      <c r="F3" s="216"/>
      <c r="G3" s="216"/>
    </row>
    <row r="4" spans="1:11">
      <c r="B4" t="s">
        <v>109</v>
      </c>
      <c r="F4" t="s">
        <v>110</v>
      </c>
    </row>
    <row r="5" spans="1:11">
      <c r="B5" t="s">
        <v>102</v>
      </c>
      <c r="C5" t="s">
        <v>101</v>
      </c>
      <c r="D5" t="s">
        <v>106</v>
      </c>
      <c r="E5" t="s">
        <v>106</v>
      </c>
      <c r="F5" t="s">
        <v>102</v>
      </c>
      <c r="G5" t="s">
        <v>101</v>
      </c>
    </row>
    <row r="6" spans="1:11">
      <c r="A6" s="148">
        <v>42005</v>
      </c>
      <c r="B6" s="176">
        <v>58380</v>
      </c>
      <c r="C6" s="176">
        <v>25946516</v>
      </c>
      <c r="D6">
        <v>1.169</v>
      </c>
      <c r="E6">
        <v>1.044</v>
      </c>
      <c r="F6" s="176">
        <v>68246</v>
      </c>
      <c r="G6" s="176">
        <v>27088163</v>
      </c>
      <c r="H6" s="204" t="s">
        <v>47</v>
      </c>
      <c r="I6" s="204"/>
      <c r="J6" s="204" t="s">
        <v>139</v>
      </c>
      <c r="K6" s="204"/>
    </row>
    <row r="7" spans="1:11">
      <c r="A7" s="148">
        <v>42036</v>
      </c>
      <c r="B7" s="176">
        <v>58348</v>
      </c>
      <c r="C7" s="176">
        <v>25930860</v>
      </c>
      <c r="D7">
        <v>1.0549999999999999</v>
      </c>
      <c r="E7">
        <v>0.85199999999999998</v>
      </c>
      <c r="F7" s="176">
        <v>61557</v>
      </c>
      <c r="G7" s="176">
        <v>22093093</v>
      </c>
      <c r="H7">
        <f>MAX(F6:F17)</f>
        <v>68246</v>
      </c>
      <c r="I7" s="92" t="s">
        <v>32</v>
      </c>
      <c r="J7">
        <f>MAX(F11:F13)</f>
        <v>64328</v>
      </c>
      <c r="K7" s="101" t="s">
        <v>39</v>
      </c>
    </row>
    <row r="8" spans="1:11">
      <c r="A8" s="148">
        <v>42064</v>
      </c>
      <c r="B8" s="176">
        <v>58320</v>
      </c>
      <c r="C8" s="176">
        <v>25916719</v>
      </c>
      <c r="D8">
        <v>0.86099999999999999</v>
      </c>
      <c r="E8">
        <v>0.89200000000000002</v>
      </c>
      <c r="F8" s="176">
        <v>50214</v>
      </c>
      <c r="G8" s="176">
        <v>23117713</v>
      </c>
    </row>
    <row r="9" spans="1:11">
      <c r="A9" s="148">
        <v>42095</v>
      </c>
      <c r="B9" s="176">
        <v>58288</v>
      </c>
      <c r="C9" s="176">
        <v>25901063</v>
      </c>
      <c r="D9">
        <v>0.78500000000000003</v>
      </c>
      <c r="E9">
        <v>0.80300000000000005</v>
      </c>
      <c r="F9" s="176">
        <v>45756</v>
      </c>
      <c r="G9" s="176">
        <v>20798554</v>
      </c>
      <c r="H9" s="217" t="s">
        <v>155</v>
      </c>
      <c r="I9" s="204"/>
      <c r="J9" s="217" t="s">
        <v>156</v>
      </c>
      <c r="K9" s="204"/>
    </row>
    <row r="10" spans="1:11">
      <c r="A10" s="148">
        <v>42125</v>
      </c>
      <c r="B10" s="176">
        <v>58257</v>
      </c>
      <c r="C10" s="176">
        <v>25885913</v>
      </c>
      <c r="D10">
        <v>0.98099999999999998</v>
      </c>
      <c r="E10">
        <v>1</v>
      </c>
      <c r="F10" s="176">
        <v>57150</v>
      </c>
      <c r="G10" s="176">
        <v>25885913</v>
      </c>
      <c r="H10" s="148">
        <v>42005</v>
      </c>
      <c r="I10" s="149">
        <v>74944</v>
      </c>
      <c r="J10" s="148">
        <v>42156</v>
      </c>
      <c r="K10" s="4">
        <v>66721</v>
      </c>
    </row>
    <row r="11" spans="1:11">
      <c r="A11" s="148">
        <v>42156</v>
      </c>
      <c r="B11" s="176">
        <v>58226</v>
      </c>
      <c r="C11" s="176">
        <v>25870257</v>
      </c>
      <c r="D11">
        <v>1.083</v>
      </c>
      <c r="E11">
        <v>1.113</v>
      </c>
      <c r="F11" s="176">
        <v>63059</v>
      </c>
      <c r="G11" s="176">
        <v>28793596</v>
      </c>
    </row>
    <row r="12" spans="1:11">
      <c r="A12" s="148">
        <v>42186</v>
      </c>
      <c r="B12" s="176">
        <v>58195</v>
      </c>
      <c r="C12" s="176">
        <v>25855106</v>
      </c>
      <c r="D12">
        <v>1.0980000000000001</v>
      </c>
      <c r="E12">
        <v>1.1850000000000001</v>
      </c>
      <c r="F12" s="176">
        <v>63898</v>
      </c>
      <c r="G12" s="176">
        <v>30638301</v>
      </c>
    </row>
    <row r="13" spans="1:11">
      <c r="A13" s="148">
        <v>42217</v>
      </c>
      <c r="B13" s="176">
        <v>58163</v>
      </c>
      <c r="C13" s="176">
        <v>25839450</v>
      </c>
      <c r="D13">
        <v>1.1060000000000001</v>
      </c>
      <c r="E13">
        <v>1.198</v>
      </c>
      <c r="F13" s="176">
        <v>64328</v>
      </c>
      <c r="G13" s="176">
        <v>30955661</v>
      </c>
    </row>
    <row r="14" spans="1:11">
      <c r="A14" s="148">
        <v>42248</v>
      </c>
      <c r="B14" s="176">
        <v>58132</v>
      </c>
      <c r="C14" s="176">
        <v>25823795</v>
      </c>
      <c r="D14">
        <v>1.0580000000000001</v>
      </c>
      <c r="E14">
        <v>1.0629999999999999</v>
      </c>
      <c r="F14" s="176">
        <v>61504</v>
      </c>
      <c r="G14" s="176">
        <v>27450694</v>
      </c>
    </row>
    <row r="15" spans="1:11">
      <c r="A15" s="148">
        <v>42278</v>
      </c>
      <c r="B15" s="176">
        <v>58101</v>
      </c>
      <c r="C15" s="176">
        <v>25808644</v>
      </c>
      <c r="D15">
        <v>0.89100000000000001</v>
      </c>
      <c r="E15">
        <v>0.89200000000000002</v>
      </c>
      <c r="F15" s="176">
        <v>51768</v>
      </c>
      <c r="G15" s="176">
        <v>23021310</v>
      </c>
    </row>
    <row r="16" spans="1:11">
      <c r="A16" s="148">
        <v>42309</v>
      </c>
      <c r="B16" s="176">
        <v>58069</v>
      </c>
      <c r="C16" s="176">
        <v>25792988</v>
      </c>
      <c r="D16">
        <v>0.97599999999999998</v>
      </c>
      <c r="E16">
        <v>0.90800000000000003</v>
      </c>
      <c r="F16" s="176">
        <v>56675</v>
      </c>
      <c r="G16" s="176">
        <v>23420033</v>
      </c>
    </row>
    <row r="17" spans="1:7">
      <c r="A17" s="148">
        <v>42339</v>
      </c>
      <c r="B17" s="177">
        <v>58039</v>
      </c>
      <c r="C17" s="177">
        <v>25777838</v>
      </c>
      <c r="D17" s="158">
        <v>0.96899999999999997</v>
      </c>
      <c r="E17" s="158">
        <v>0.97399999999999998</v>
      </c>
      <c r="F17" s="177">
        <v>56240</v>
      </c>
      <c r="G17" s="177">
        <v>25107614</v>
      </c>
    </row>
    <row r="18" spans="1:7">
      <c r="A18" s="92" t="s">
        <v>113</v>
      </c>
      <c r="B18">
        <v>854298</v>
      </c>
      <c r="C18">
        <v>320311365</v>
      </c>
      <c r="D18" s="92" t="s">
        <v>107</v>
      </c>
      <c r="E18" s="92" t="s">
        <v>107</v>
      </c>
      <c r="F18">
        <v>838712</v>
      </c>
      <c r="G18">
        <v>306949115</v>
      </c>
    </row>
  </sheetData>
  <mergeCells count="5">
    <mergeCell ref="A3:G3"/>
    <mergeCell ref="H6:I6"/>
    <mergeCell ref="J6:K6"/>
    <mergeCell ref="H9:I9"/>
    <mergeCell ref="J9:K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N76"/>
  <sheetViews>
    <sheetView zoomScale="75" zoomScaleNormal="75" workbookViewId="0">
      <selection activeCell="D34" sqref="D34"/>
    </sheetView>
  </sheetViews>
  <sheetFormatPr defaultRowHeight="12.75"/>
  <cols>
    <col min="2" max="2" width="15.7109375" customWidth="1"/>
    <col min="4" max="4" width="15.7109375" customWidth="1"/>
    <col min="6" max="6" width="15.7109375" customWidth="1"/>
    <col min="8" max="8" width="15.7109375" customWidth="1"/>
    <col min="10" max="10" width="15.7109375" customWidth="1"/>
    <col min="11" max="11" width="12.42578125" customWidth="1"/>
  </cols>
  <sheetData>
    <row r="2" spans="1:10">
      <c r="A2" s="204" t="s">
        <v>146</v>
      </c>
      <c r="B2" s="204"/>
      <c r="C2" s="204"/>
      <c r="D2" s="204"/>
      <c r="E2" s="204"/>
      <c r="F2" s="204"/>
      <c r="G2" s="204"/>
      <c r="H2" s="204"/>
      <c r="I2" s="204"/>
      <c r="J2" s="204"/>
    </row>
    <row r="3" spans="1:10">
      <c r="A3" s="204" t="s">
        <v>48</v>
      </c>
      <c r="B3" s="204"/>
      <c r="C3" s="204"/>
      <c r="D3" s="204"/>
      <c r="E3" s="204"/>
      <c r="F3" s="204"/>
      <c r="G3" s="204"/>
      <c r="H3" s="204"/>
      <c r="I3" s="204"/>
      <c r="J3" s="204"/>
    </row>
    <row r="5" spans="1:10">
      <c r="A5" s="1" t="s">
        <v>16</v>
      </c>
      <c r="B5" s="1" t="s">
        <v>0</v>
      </c>
      <c r="C5" s="1" t="s">
        <v>27</v>
      </c>
      <c r="D5" s="1" t="s">
        <v>28</v>
      </c>
      <c r="E5" s="1" t="s">
        <v>27</v>
      </c>
      <c r="F5" s="1" t="s">
        <v>8</v>
      </c>
      <c r="G5" s="1" t="s">
        <v>27</v>
      </c>
      <c r="H5" s="1" t="s">
        <v>23</v>
      </c>
      <c r="I5" s="1" t="s">
        <v>27</v>
      </c>
      <c r="J5" s="1" t="s">
        <v>19</v>
      </c>
    </row>
    <row r="6" spans="1:10">
      <c r="A6" s="1">
        <v>1991</v>
      </c>
      <c r="B6" s="2">
        <f>('Northwest Florida - Data'!B25)*(1+C6)</f>
        <v>101817.075</v>
      </c>
      <c r="C6" s="53">
        <v>0</v>
      </c>
      <c r="D6" s="2">
        <f>('Northwest Florida - Data'!C25)*(1+E6)</f>
        <v>134628.92600000001</v>
      </c>
      <c r="E6" s="53">
        <v>0</v>
      </c>
      <c r="F6" s="2">
        <f>('Northwest Florida - Data'!D25)*(1+G6)</f>
        <v>0</v>
      </c>
      <c r="G6" s="53">
        <v>0</v>
      </c>
      <c r="H6" s="2">
        <f>('Northwest Florida - Data'!E25)*(1+I6)</f>
        <v>1191.4280000000001</v>
      </c>
      <c r="I6" s="53">
        <v>0</v>
      </c>
      <c r="J6" s="2">
        <f>SUM(B6,D6,F6,H6)</f>
        <v>237637.429</v>
      </c>
    </row>
    <row r="7" spans="1:10">
      <c r="A7" s="1">
        <v>1992</v>
      </c>
      <c r="B7" s="2">
        <f>('Northwest Florida - Data'!B26)*(1+C7)</f>
        <v>105268.442</v>
      </c>
      <c r="C7" s="53">
        <v>0</v>
      </c>
      <c r="D7" s="2">
        <f>('Northwest Florida - Data'!C26)*(1+E7)</f>
        <v>134545.88800000001</v>
      </c>
      <c r="E7" s="53">
        <v>0</v>
      </c>
      <c r="F7" s="2">
        <f>('Northwest Florida - Data'!D26)*(1+G7)</f>
        <v>0</v>
      </c>
      <c r="G7" s="53">
        <v>0</v>
      </c>
      <c r="H7" s="2">
        <f>('Northwest Florida - Data'!E26)*(1+I7)</f>
        <v>1189.326</v>
      </c>
      <c r="I7" s="53">
        <v>0</v>
      </c>
      <c r="J7" s="2">
        <f t="shared" ref="J7:J47" si="0">SUM(B7,D7,F7,H7)</f>
        <v>241003.65600000002</v>
      </c>
    </row>
    <row r="8" spans="1:10">
      <c r="A8" s="1">
        <v>1993</v>
      </c>
      <c r="B8" s="2">
        <f>('Northwest Florida - Data'!B27)*(1+C8)</f>
        <v>111517.68700000001</v>
      </c>
      <c r="C8" s="53">
        <v>0</v>
      </c>
      <c r="D8" s="2">
        <f>('Northwest Florida - Data'!C27)*(1+E8)</f>
        <v>140238.26300000001</v>
      </c>
      <c r="E8" s="53">
        <v>0</v>
      </c>
      <c r="F8" s="2">
        <f>('Northwest Florida - Data'!D27)*(1+G8)</f>
        <v>0</v>
      </c>
      <c r="G8" s="53">
        <v>0</v>
      </c>
      <c r="H8" s="2">
        <f>('Northwest Florida - Data'!E27)*(1+I8)</f>
        <v>1185.749</v>
      </c>
      <c r="I8" s="53">
        <v>0</v>
      </c>
      <c r="J8" s="2">
        <f t="shared" si="0"/>
        <v>252941.69900000002</v>
      </c>
    </row>
    <row r="9" spans="1:10">
      <c r="A9" s="1">
        <v>1994</v>
      </c>
      <c r="B9" s="2">
        <f>('Northwest Florida - Data'!B28)*(1+C9)</f>
        <v>110621.879</v>
      </c>
      <c r="C9" s="53">
        <v>0</v>
      </c>
      <c r="D9" s="2">
        <f>('Northwest Florida - Data'!C28)*(1+E9)</f>
        <v>142798.29699999999</v>
      </c>
      <c r="E9" s="53">
        <v>0</v>
      </c>
      <c r="F9" s="2">
        <f>('Northwest Florida - Data'!D28)*(1+G9)</f>
        <v>0</v>
      </c>
      <c r="G9" s="53">
        <v>0</v>
      </c>
      <c r="H9" s="2">
        <f>('Northwest Florida - Data'!E28)*(1+I9)</f>
        <v>1182.4010000000001</v>
      </c>
      <c r="I9" s="53">
        <v>0</v>
      </c>
      <c r="J9" s="2">
        <f t="shared" si="0"/>
        <v>254602.57699999999</v>
      </c>
    </row>
    <row r="10" spans="1:10">
      <c r="A10" s="1">
        <v>1995</v>
      </c>
      <c r="B10" s="2">
        <f>('Northwest Florida - Data'!B29)*(1+C10)</f>
        <v>119998.22100000001</v>
      </c>
      <c r="C10" s="53">
        <v>0</v>
      </c>
      <c r="D10" s="2">
        <f>('Northwest Florida - Data'!C29)*(1+E10)</f>
        <v>149954.78200000001</v>
      </c>
      <c r="E10" s="53">
        <v>0</v>
      </c>
      <c r="F10" s="2">
        <f>('Northwest Florida - Data'!D29)*(1+G10)</f>
        <v>0</v>
      </c>
      <c r="G10" s="53">
        <v>0</v>
      </c>
      <c r="H10" s="2">
        <f>('Northwest Florida - Data'!E29)*(1+I10)</f>
        <v>1176.432</v>
      </c>
      <c r="I10" s="53">
        <v>0</v>
      </c>
      <c r="J10" s="2">
        <f t="shared" si="0"/>
        <v>271129.435</v>
      </c>
    </row>
    <row r="11" spans="1:10">
      <c r="A11" s="1">
        <v>1996</v>
      </c>
      <c r="B11" s="2">
        <f>('Northwest Florida - Data'!B30)*(1+C11)</f>
        <v>125658.45</v>
      </c>
      <c r="C11" s="53">
        <v>0</v>
      </c>
      <c r="D11" s="2">
        <f>('Northwest Florida - Data'!C30)*(1+E11)</f>
        <v>153042.541</v>
      </c>
      <c r="E11" s="53">
        <v>0</v>
      </c>
      <c r="F11" s="2">
        <f>('Northwest Florida - Data'!D30)*(1+G11)</f>
        <v>0</v>
      </c>
      <c r="G11" s="53">
        <v>0</v>
      </c>
      <c r="H11" s="2">
        <f>('Northwest Florida - Data'!E30)*(1+I11)</f>
        <v>1149.0740000000001</v>
      </c>
      <c r="I11" s="53">
        <v>0</v>
      </c>
      <c r="J11" s="2">
        <f t="shared" si="0"/>
        <v>279850.065</v>
      </c>
    </row>
    <row r="12" spans="1:10">
      <c r="A12" s="1">
        <v>1997</v>
      </c>
      <c r="B12" s="2">
        <f>('Northwest Florida - Data'!B31)*(1+C12)</f>
        <v>121356.774</v>
      </c>
      <c r="C12" s="53">
        <v>0</v>
      </c>
      <c r="D12" s="2">
        <f>('Northwest Florida - Data'!C31)*(1+E12)</f>
        <v>151504.88699999999</v>
      </c>
      <c r="E12" s="53">
        <v>0</v>
      </c>
      <c r="F12" s="2">
        <f>('Northwest Florida - Data'!D31)*(1+G12)</f>
        <v>0</v>
      </c>
      <c r="G12" s="53">
        <v>0</v>
      </c>
      <c r="H12" s="2">
        <f>('Northwest Florida - Data'!E31)*(1+I12)</f>
        <v>1150.816</v>
      </c>
      <c r="I12" s="53">
        <v>0</v>
      </c>
      <c r="J12" s="2">
        <f t="shared" si="0"/>
        <v>274012.47699999996</v>
      </c>
    </row>
    <row r="13" spans="1:10">
      <c r="A13" s="1">
        <v>1998</v>
      </c>
      <c r="B13" s="2">
        <f>('Northwest Florida - Data'!B32)*(1+C13)</f>
        <v>131743.36499999999</v>
      </c>
      <c r="C13" s="53">
        <v>0</v>
      </c>
      <c r="D13" s="2">
        <f>('Northwest Florida - Data'!C32)*(1+E13)</f>
        <v>156375.601</v>
      </c>
      <c r="E13" s="53">
        <v>0</v>
      </c>
      <c r="F13" s="2">
        <f>('Northwest Florida - Data'!D32)*(1+G13)</f>
        <v>0</v>
      </c>
      <c r="G13" s="53">
        <v>0</v>
      </c>
      <c r="H13" s="2">
        <f>('Northwest Florida - Data'!E32)*(1+I13)</f>
        <v>1153.9490000000001</v>
      </c>
      <c r="I13" s="53">
        <v>0</v>
      </c>
      <c r="J13" s="2">
        <f t="shared" si="0"/>
        <v>289272.91500000004</v>
      </c>
    </row>
    <row r="14" spans="1:10">
      <c r="A14" s="1">
        <v>1999</v>
      </c>
      <c r="B14" s="2">
        <f>('Northwest Florida - Data'!B33)*(1+C14)</f>
        <v>128278.06200000001</v>
      </c>
      <c r="C14" s="53">
        <v>0</v>
      </c>
      <c r="D14" s="2">
        <f>('Northwest Florida - Data'!C33)*(1+E14)</f>
        <v>149084.12400000001</v>
      </c>
      <c r="E14" s="53">
        <v>0</v>
      </c>
      <c r="F14" s="2">
        <f>('Northwest Florida - Data'!D33)*(1+G14)</f>
        <v>0</v>
      </c>
      <c r="G14" s="53">
        <v>0</v>
      </c>
      <c r="H14" s="2">
        <f>('Northwest Florida - Data'!E33)*(1+I14)</f>
        <v>1155.664</v>
      </c>
      <c r="I14" s="53">
        <v>0</v>
      </c>
      <c r="J14" s="2">
        <f t="shared" si="0"/>
        <v>278517.84999999998</v>
      </c>
    </row>
    <row r="15" spans="1:10">
      <c r="A15" s="1">
        <v>2000</v>
      </c>
      <c r="B15" s="2">
        <f>('Northwest Florida - Data'!B34)*(1+C15)</f>
        <v>134278.39000000001</v>
      </c>
      <c r="C15" s="53">
        <v>0</v>
      </c>
      <c r="D15" s="2">
        <f>('Northwest Florida - Data'!C34)*(1+E15)</f>
        <v>156030.58799999999</v>
      </c>
      <c r="E15" s="53">
        <v>0</v>
      </c>
      <c r="F15" s="2">
        <f>('Northwest Florida - Data'!D34)*(1+G15)</f>
        <v>0</v>
      </c>
      <c r="G15" s="53">
        <v>0</v>
      </c>
      <c r="H15" s="2">
        <f>('Northwest Florida - Data'!E34)*(1+I15)</f>
        <v>1070.9110000000001</v>
      </c>
      <c r="I15" s="53">
        <v>0</v>
      </c>
      <c r="J15" s="2">
        <f t="shared" si="0"/>
        <v>291379.88900000002</v>
      </c>
    </row>
    <row r="16" spans="1:10">
      <c r="A16" s="1">
        <v>2001</v>
      </c>
      <c r="B16" s="2">
        <f>('Northwest Florida - Data'!B35)*(1+C16)</f>
        <v>132626.67600000001</v>
      </c>
      <c r="C16" s="53">
        <v>0</v>
      </c>
      <c r="D16" s="2">
        <f>('Northwest Florida - Data'!C35)*(1+E16)</f>
        <v>157978.69200000001</v>
      </c>
      <c r="E16" s="53">
        <v>0</v>
      </c>
      <c r="F16" s="2">
        <f>('Northwest Florida - Data'!D35)*(1+G16)</f>
        <v>0</v>
      </c>
      <c r="G16" s="53">
        <v>0</v>
      </c>
      <c r="H16" s="2">
        <f>('Northwest Florida - Data'!E35)*(1+I16)</f>
        <v>958.45600000000002</v>
      </c>
      <c r="I16" s="53">
        <v>0</v>
      </c>
      <c r="J16" s="2">
        <f t="shared" si="0"/>
        <v>291563.82400000002</v>
      </c>
    </row>
    <row r="17" spans="1:14">
      <c r="A17" s="1">
        <v>2002</v>
      </c>
      <c r="B17" s="2">
        <f>('Northwest Florida - Data'!B36)*(1+C17)</f>
        <v>144884.28099999999</v>
      </c>
      <c r="C17" s="53">
        <v>0</v>
      </c>
      <c r="D17" s="2">
        <f>('Northwest Florida - Data'!C36)*(1+E17)</f>
        <v>169443.995</v>
      </c>
      <c r="E17" s="53">
        <v>0</v>
      </c>
      <c r="F17" s="2">
        <f>('Northwest Florida - Data'!D36)*(1+G17)</f>
        <v>0</v>
      </c>
      <c r="G17" s="53">
        <v>0</v>
      </c>
      <c r="H17" s="2">
        <f>('Northwest Florida - Data'!E36)*(1+I17)</f>
        <v>1119.557</v>
      </c>
      <c r="I17" s="53">
        <v>0</v>
      </c>
      <c r="J17" s="2">
        <f t="shared" si="0"/>
        <v>315447.83299999993</v>
      </c>
    </row>
    <row r="18" spans="1:14">
      <c r="A18" s="1">
        <v>2003</v>
      </c>
      <c r="B18" s="2">
        <f>('Northwest Florida - Data'!B37)*(1+C18)</f>
        <v>141256.758</v>
      </c>
      <c r="C18" s="53">
        <v>0</v>
      </c>
      <c r="D18" s="2">
        <f>('Northwest Florida - Data'!C37)*(1+E18)</f>
        <v>163350.42800000001</v>
      </c>
      <c r="E18" s="53">
        <v>0</v>
      </c>
      <c r="F18" s="2">
        <f>('Northwest Florida - Data'!D37)*(1+G18)</f>
        <v>0</v>
      </c>
      <c r="G18" s="53">
        <v>0</v>
      </c>
      <c r="H18" s="2">
        <f>('Northwest Florida - Data'!E37)*(1+I18)</f>
        <v>1173.5550000000001</v>
      </c>
      <c r="I18" s="53">
        <v>0</v>
      </c>
      <c r="J18" s="2">
        <f t="shared" si="0"/>
        <v>305780.74099999998</v>
      </c>
    </row>
    <row r="19" spans="1:14">
      <c r="A19" s="1">
        <v>2004</v>
      </c>
      <c r="B19" s="2">
        <f>('Northwest Florida - Data'!B38)*(1+C19)</f>
        <v>143944.16399999999</v>
      </c>
      <c r="C19" s="53">
        <v>0</v>
      </c>
      <c r="D19" s="2">
        <f>('Northwest Florida - Data'!C38)*(1+E19)</f>
        <v>167586.83600000001</v>
      </c>
      <c r="E19" s="53">
        <v>0</v>
      </c>
      <c r="F19" s="2">
        <f>('Northwest Florida - Data'!D38)*(1+G19)</f>
        <v>0</v>
      </c>
      <c r="G19" s="53">
        <v>0</v>
      </c>
      <c r="H19" s="2">
        <f>('Northwest Florida - Data'!E38)*(1+I19)</f>
        <v>1179.856</v>
      </c>
      <c r="I19" s="53">
        <v>0</v>
      </c>
      <c r="J19" s="2">
        <f t="shared" si="0"/>
        <v>312710.85600000003</v>
      </c>
    </row>
    <row r="20" spans="1:14">
      <c r="A20" s="1">
        <v>2005</v>
      </c>
      <c r="B20" s="2">
        <f>('Northwest Florida - Data'!B39)*(1+C20)</f>
        <v>149015.984</v>
      </c>
      <c r="C20" s="53">
        <v>0</v>
      </c>
      <c r="D20" s="2">
        <f>('Northwest Florida - Data'!C39)*(1+E20)</f>
        <v>190042.51</v>
      </c>
      <c r="E20" s="53">
        <v>0</v>
      </c>
      <c r="F20" s="2">
        <f>('Northwest Florida - Data'!D39)*(1+G20)</f>
        <v>0</v>
      </c>
      <c r="G20" s="53">
        <v>0</v>
      </c>
      <c r="H20" s="2">
        <f>('Northwest Florida - Data'!E39)*(1+I20)</f>
        <v>1200.319</v>
      </c>
      <c r="I20" s="53">
        <v>0</v>
      </c>
      <c r="J20" s="2">
        <f t="shared" si="0"/>
        <v>340258.81300000002</v>
      </c>
    </row>
    <row r="21" spans="1:14">
      <c r="A21" s="1">
        <v>2006</v>
      </c>
      <c r="B21" s="2">
        <f>('Northwest Florida - Data'!B40)*(1+C21)</f>
        <v>151089.11199999999</v>
      </c>
      <c r="C21" s="53">
        <v>0</v>
      </c>
      <c r="D21" s="2">
        <f>('Northwest Florida - Data'!C40)*(1+E21)</f>
        <v>192180.54</v>
      </c>
      <c r="E21" s="53">
        <v>0</v>
      </c>
      <c r="F21" s="2">
        <f>('Northwest Florida - Data'!D40)*(1+G21)</f>
        <v>0</v>
      </c>
      <c r="G21" s="53">
        <v>0</v>
      </c>
      <c r="H21" s="2">
        <f>('Northwest Florida - Data'!E40)*(1+I21)</f>
        <v>1140.6990000000001</v>
      </c>
      <c r="I21" s="53">
        <v>0</v>
      </c>
      <c r="J21" s="2">
        <f t="shared" si="0"/>
        <v>344410.35100000002</v>
      </c>
    </row>
    <row r="22" spans="1:14">
      <c r="A22" s="1">
        <v>2007</v>
      </c>
      <c r="B22" s="2">
        <f>('Northwest Florida - Data'!B41)*(1+C22)</f>
        <v>153677.16500000001</v>
      </c>
      <c r="C22" s="53">
        <v>0</v>
      </c>
      <c r="D22" s="2">
        <f>('Northwest Florida - Data'!C41)*(1+E22)</f>
        <v>191706.99100000001</v>
      </c>
      <c r="E22" s="53">
        <v>0</v>
      </c>
      <c r="F22" s="2">
        <f>('Northwest Florida - Data'!D41)*(1+G22)</f>
        <v>0</v>
      </c>
      <c r="G22" s="53">
        <v>0</v>
      </c>
      <c r="H22" s="2">
        <f>('Northwest Florida - Data'!E41)*(1+I22)</f>
        <v>1132.4649999999999</v>
      </c>
      <c r="I22" s="53">
        <v>0</v>
      </c>
      <c r="J22" s="2">
        <f t="shared" si="0"/>
        <v>346516.62100000004</v>
      </c>
    </row>
    <row r="23" spans="1:14">
      <c r="A23" s="1">
        <v>2008</v>
      </c>
      <c r="B23" s="2">
        <f>('Northwest Florida - Data'!B42)*(1+C23)</f>
        <v>143796.36199999999</v>
      </c>
      <c r="C23" s="53">
        <v>0</v>
      </c>
      <c r="D23" s="2">
        <f>('Northwest Florida - Data'!C42)*(1+E23)</f>
        <v>181216.19</v>
      </c>
      <c r="E23" s="53">
        <v>0</v>
      </c>
      <c r="F23" s="2">
        <f>('Northwest Florida - Data'!D42)*(1+G23)</f>
        <v>0</v>
      </c>
      <c r="G23" s="53">
        <v>0</v>
      </c>
      <c r="H23" s="2">
        <f>('Northwest Florida - Data'!E42)*(1+I23)</f>
        <v>1133.2929999999999</v>
      </c>
      <c r="I23" s="53">
        <v>0</v>
      </c>
      <c r="J23" s="2">
        <f t="shared" si="0"/>
        <v>326145.84500000003</v>
      </c>
    </row>
    <row r="24" spans="1:14" ht="12" customHeight="1">
      <c r="A24" s="54">
        <v>2009</v>
      </c>
      <c r="B24" s="55">
        <f>('Northwest Florida - Data'!B43)*(1+C24)</f>
        <v>133594</v>
      </c>
      <c r="C24" s="56">
        <v>0</v>
      </c>
      <c r="D24" s="55">
        <f>('Northwest Florida - Data'!C43)*(1+E24)</f>
        <v>175482</v>
      </c>
      <c r="E24" s="56">
        <v>0</v>
      </c>
      <c r="F24" s="55">
        <f>('Northwest Florida - Data'!D43)*(1+G24)</f>
        <v>0</v>
      </c>
      <c r="G24" s="56">
        <v>0</v>
      </c>
      <c r="H24" s="55">
        <f>('Northwest Florida - Data'!E43)*(1+I24)</f>
        <v>1137</v>
      </c>
      <c r="I24" s="56">
        <v>0</v>
      </c>
      <c r="J24" s="55">
        <f t="shared" si="0"/>
        <v>310213</v>
      </c>
      <c r="N24" s="57"/>
    </row>
    <row r="25" spans="1:14" ht="14.25" customHeight="1">
      <c r="A25" s="54">
        <v>2010</v>
      </c>
      <c r="B25" s="55">
        <f>('Northwest Florida - Data'!B44)*(1+C25)</f>
        <v>145399</v>
      </c>
      <c r="C25" s="56">
        <v>0</v>
      </c>
      <c r="D25" s="55">
        <f>('Northwest Florida - Data'!C44)*(1+E25)</f>
        <v>185955</v>
      </c>
      <c r="E25" s="56">
        <v>0</v>
      </c>
      <c r="F25" s="55">
        <f>('Northwest Florida - Data'!D44)*(1+G25)</f>
        <v>0</v>
      </c>
      <c r="G25" s="56">
        <v>0</v>
      </c>
      <c r="H25" s="55">
        <f>('Northwest Florida - Data'!E44)*(1+I25)</f>
        <v>1147</v>
      </c>
      <c r="I25" s="56">
        <v>0</v>
      </c>
      <c r="J25" s="55">
        <f t="shared" si="0"/>
        <v>332501</v>
      </c>
      <c r="K25" s="71"/>
    </row>
    <row r="26" spans="1:14" ht="14.25" customHeight="1">
      <c r="A26" s="54">
        <v>2011</v>
      </c>
      <c r="B26" s="55">
        <f>('Northwest Florida - Data'!B45)*(1+C26)</f>
        <v>134605</v>
      </c>
      <c r="C26" s="56">
        <v>0</v>
      </c>
      <c r="D26" s="55">
        <f>('Northwest Florida - Data'!C45)*(1+E26)</f>
        <v>181888</v>
      </c>
      <c r="E26" s="56">
        <v>0</v>
      </c>
      <c r="F26" s="55">
        <f>('Northwest Florida - Data'!D45)*(1+G26)</f>
        <v>0</v>
      </c>
      <c r="G26" s="56">
        <v>0</v>
      </c>
      <c r="H26" s="55">
        <f>('Northwest Florida - Data'!E45)*(1+I26)</f>
        <v>1134</v>
      </c>
      <c r="I26" s="56">
        <v>0</v>
      </c>
      <c r="J26" s="55">
        <f t="shared" si="0"/>
        <v>317627</v>
      </c>
      <c r="K26" s="71"/>
    </row>
    <row r="27" spans="1:14" ht="14.25" customHeight="1">
      <c r="A27" s="54">
        <v>2012</v>
      </c>
      <c r="B27" s="55">
        <f>('Northwest Florida - Data'!B46)*(1+C27)</f>
        <v>119995</v>
      </c>
      <c r="C27" s="56">
        <v>0</v>
      </c>
      <c r="D27" s="55">
        <f>('Northwest Florida - Data'!C46)*(1+E27)</f>
        <v>178289</v>
      </c>
      <c r="E27" s="56">
        <v>0</v>
      </c>
      <c r="F27" s="55">
        <f>('Northwest Florida - Data'!D46)*(1+G27)</f>
        <v>0</v>
      </c>
      <c r="G27" s="56">
        <v>0</v>
      </c>
      <c r="H27" s="55">
        <f>('Northwest Florida - Data'!E46)*(1+I27)</f>
        <v>1242</v>
      </c>
      <c r="I27" s="56">
        <v>0</v>
      </c>
      <c r="J27" s="55">
        <f>SUM(B27,D27,F27,H27)</f>
        <v>299526</v>
      </c>
      <c r="K27" s="71"/>
    </row>
    <row r="28" spans="1:14" ht="45.75" customHeight="1">
      <c r="A28" s="1">
        <v>2013</v>
      </c>
      <c r="B28" s="2">
        <f>('Northwest Florida - Data'!B47)*(1+C28)</f>
        <v>120622</v>
      </c>
      <c r="C28" s="53">
        <v>0</v>
      </c>
      <c r="D28" s="2">
        <f>('Northwest Florida - Data'!C47)*(1+E28)</f>
        <v>178384</v>
      </c>
      <c r="E28" s="53">
        <v>0</v>
      </c>
      <c r="F28" s="2">
        <f>('Northwest Florida - Data'!D47)*(1+G28)</f>
        <v>0</v>
      </c>
      <c r="G28" s="53">
        <v>0</v>
      </c>
      <c r="H28" s="2">
        <f>('Northwest Florida - Data'!E47)*(1+I28)</f>
        <v>1253</v>
      </c>
      <c r="I28" s="53">
        <v>0</v>
      </c>
      <c r="J28" s="2">
        <f>SUM(B28,D28,F28,H28)</f>
        <v>300259</v>
      </c>
      <c r="K28" s="99" t="s">
        <v>80</v>
      </c>
    </row>
    <row r="29" spans="1:14" ht="24.75" customHeight="1">
      <c r="A29" s="1">
        <v>2014</v>
      </c>
      <c r="B29" s="2">
        <f>ROUND((AVERAGE('Northwest Florida - Data'!$E63,'Northwest Florida - Data'!$F63)/1000),0)</f>
        <v>119073</v>
      </c>
      <c r="C29" s="53">
        <v>0</v>
      </c>
      <c r="D29" s="2">
        <f>ROUND((AVERAGE('Northwest Florida - Data'!$E65,'Northwest Florida - Data'!$F65)/1000),0)</f>
        <v>179755</v>
      </c>
      <c r="E29" s="53">
        <v>0</v>
      </c>
      <c r="F29" s="2">
        <f>ROUND((AVERAGE('Northwest Florida - Data'!$E72,'Northwest Florida - Data'!$F72)/1000),0)</f>
        <v>0</v>
      </c>
      <c r="G29" s="53">
        <v>0</v>
      </c>
      <c r="H29" s="2">
        <f>ROUND((AVERAGE('Northwest Florida - Data'!$E69,'Northwest Florida - Data'!$F69)/1000),0)</f>
        <v>1233</v>
      </c>
      <c r="I29" s="53">
        <v>0</v>
      </c>
      <c r="J29" s="2">
        <f t="shared" si="0"/>
        <v>300061</v>
      </c>
    </row>
    <row r="30" spans="1:14">
      <c r="A30" s="1">
        <f>A29+1</f>
        <v>2015</v>
      </c>
      <c r="B30" s="2">
        <f t="shared" ref="B30:B47" si="1">B29*(1+C30)</f>
        <v>120263.73</v>
      </c>
      <c r="C30" s="53">
        <v>0.01</v>
      </c>
      <c r="D30" s="2">
        <f t="shared" ref="D30:D47" si="2">D29*(1+E30)</f>
        <v>181552.55</v>
      </c>
      <c r="E30" s="53">
        <v>0.01</v>
      </c>
      <c r="F30" s="2">
        <f t="shared" ref="F30:F47" si="3">F29*(1+G30)</f>
        <v>0</v>
      </c>
      <c r="G30" s="53">
        <v>-0.1</v>
      </c>
      <c r="H30" s="2">
        <f t="shared" ref="H30:H47" si="4">H29*(1+I30)</f>
        <v>1233</v>
      </c>
      <c r="I30" s="53">
        <v>0</v>
      </c>
      <c r="J30" s="2">
        <f t="shared" si="0"/>
        <v>303049.27999999997</v>
      </c>
    </row>
    <row r="31" spans="1:14">
      <c r="A31" s="1">
        <f t="shared" ref="A31:A49" si="5">A30+1</f>
        <v>2016</v>
      </c>
      <c r="B31" s="2">
        <f t="shared" si="1"/>
        <v>121466.3673</v>
      </c>
      <c r="C31" s="53">
        <v>0.01</v>
      </c>
      <c r="D31" s="2">
        <f t="shared" si="2"/>
        <v>183368.07549999998</v>
      </c>
      <c r="E31" s="53">
        <v>0.01</v>
      </c>
      <c r="F31" s="2">
        <f t="shared" si="3"/>
        <v>0</v>
      </c>
      <c r="G31" s="53">
        <v>-0.05</v>
      </c>
      <c r="H31" s="2">
        <f t="shared" si="4"/>
        <v>1233</v>
      </c>
      <c r="I31" s="53">
        <v>0</v>
      </c>
      <c r="J31" s="2">
        <f t="shared" si="0"/>
        <v>306067.44279999996</v>
      </c>
    </row>
    <row r="32" spans="1:14">
      <c r="A32" s="1">
        <f t="shared" si="5"/>
        <v>2017</v>
      </c>
      <c r="B32" s="2">
        <f t="shared" si="1"/>
        <v>122681.030973</v>
      </c>
      <c r="C32" s="53">
        <v>0.01</v>
      </c>
      <c r="D32" s="2">
        <f t="shared" si="2"/>
        <v>185201.75625499999</v>
      </c>
      <c r="E32" s="53">
        <v>0.01</v>
      </c>
      <c r="F32" s="2">
        <f t="shared" si="3"/>
        <v>0</v>
      </c>
      <c r="G32" s="53">
        <v>0</v>
      </c>
      <c r="H32" s="2">
        <f t="shared" si="4"/>
        <v>1233</v>
      </c>
      <c r="I32" s="53">
        <v>0</v>
      </c>
      <c r="J32" s="2">
        <f t="shared" si="0"/>
        <v>309115.787228</v>
      </c>
    </row>
    <row r="33" spans="1:10">
      <c r="A33" s="1">
        <f t="shared" si="5"/>
        <v>2018</v>
      </c>
      <c r="B33" s="2">
        <f t="shared" si="1"/>
        <v>123294.43612786499</v>
      </c>
      <c r="C33" s="53">
        <v>5.0000000000000001E-3</v>
      </c>
      <c r="D33" s="2">
        <f t="shared" si="2"/>
        <v>186127.76503627497</v>
      </c>
      <c r="E33" s="53">
        <v>5.0000000000000001E-3</v>
      </c>
      <c r="F33" s="2">
        <f t="shared" si="3"/>
        <v>0</v>
      </c>
      <c r="G33" s="53">
        <v>0</v>
      </c>
      <c r="H33" s="2">
        <f t="shared" si="4"/>
        <v>1233</v>
      </c>
      <c r="I33" s="53">
        <v>0</v>
      </c>
      <c r="J33" s="2">
        <f t="shared" si="0"/>
        <v>310655.20116413996</v>
      </c>
    </row>
    <row r="34" spans="1:10">
      <c r="A34" s="1">
        <f t="shared" si="5"/>
        <v>2019</v>
      </c>
      <c r="B34" s="2">
        <f t="shared" si="1"/>
        <v>123910.90830850429</v>
      </c>
      <c r="C34" s="53">
        <v>5.0000000000000001E-3</v>
      </c>
      <c r="D34" s="2">
        <f t="shared" si="2"/>
        <v>187058.40386145632</v>
      </c>
      <c r="E34" s="53">
        <v>5.0000000000000001E-3</v>
      </c>
      <c r="F34" s="2">
        <f t="shared" si="3"/>
        <v>0</v>
      </c>
      <c r="G34" s="53">
        <v>0</v>
      </c>
      <c r="H34" s="2">
        <f t="shared" si="4"/>
        <v>1233</v>
      </c>
      <c r="I34" s="53">
        <v>0</v>
      </c>
      <c r="J34" s="2">
        <f t="shared" si="0"/>
        <v>312202.31216996058</v>
      </c>
    </row>
    <row r="35" spans="1:10">
      <c r="A35" s="1">
        <f t="shared" si="5"/>
        <v>2020</v>
      </c>
      <c r="B35" s="2">
        <f t="shared" si="1"/>
        <v>124530.46285004681</v>
      </c>
      <c r="C35" s="53">
        <v>5.0000000000000001E-3</v>
      </c>
      <c r="D35" s="2">
        <f t="shared" si="2"/>
        <v>187993.69588076358</v>
      </c>
      <c r="E35" s="53">
        <v>5.0000000000000001E-3</v>
      </c>
      <c r="F35" s="2">
        <f t="shared" si="3"/>
        <v>0</v>
      </c>
      <c r="G35" s="53">
        <v>0</v>
      </c>
      <c r="H35" s="2">
        <f t="shared" si="4"/>
        <v>1233</v>
      </c>
      <c r="I35" s="53">
        <v>0</v>
      </c>
      <c r="J35" s="2">
        <f t="shared" si="0"/>
        <v>313757.15873081039</v>
      </c>
    </row>
    <row r="36" spans="1:10">
      <c r="A36" s="1">
        <f t="shared" si="5"/>
        <v>2021</v>
      </c>
      <c r="B36" s="2">
        <f t="shared" si="1"/>
        <v>125153.11516429704</v>
      </c>
      <c r="C36" s="53">
        <v>5.0000000000000001E-3</v>
      </c>
      <c r="D36" s="2">
        <f t="shared" si="2"/>
        <v>188933.66436016737</v>
      </c>
      <c r="E36" s="53">
        <v>5.0000000000000001E-3</v>
      </c>
      <c r="F36" s="2">
        <f t="shared" si="3"/>
        <v>0</v>
      </c>
      <c r="G36" s="53">
        <v>0</v>
      </c>
      <c r="H36" s="2">
        <f t="shared" si="4"/>
        <v>1233</v>
      </c>
      <c r="I36" s="53">
        <v>0</v>
      </c>
      <c r="J36" s="2">
        <f t="shared" si="0"/>
        <v>315319.77952446439</v>
      </c>
    </row>
    <row r="37" spans="1:10">
      <c r="A37" s="1">
        <f t="shared" si="5"/>
        <v>2022</v>
      </c>
      <c r="B37" s="2">
        <f t="shared" si="1"/>
        <v>125778.8807401185</v>
      </c>
      <c r="C37" s="53">
        <v>5.0000000000000001E-3</v>
      </c>
      <c r="D37" s="2">
        <f t="shared" si="2"/>
        <v>189878.3326819682</v>
      </c>
      <c r="E37" s="53">
        <v>5.0000000000000001E-3</v>
      </c>
      <c r="F37" s="2">
        <f t="shared" si="3"/>
        <v>0</v>
      </c>
      <c r="G37" s="53">
        <v>0</v>
      </c>
      <c r="H37" s="2">
        <f t="shared" si="4"/>
        <v>1233</v>
      </c>
      <c r="I37" s="53">
        <v>0</v>
      </c>
      <c r="J37" s="2">
        <f t="shared" si="0"/>
        <v>316890.21342208667</v>
      </c>
    </row>
    <row r="38" spans="1:10">
      <c r="A38" s="1">
        <f t="shared" si="5"/>
        <v>2023</v>
      </c>
      <c r="B38" s="2">
        <f t="shared" si="1"/>
        <v>126407.77514381909</v>
      </c>
      <c r="C38" s="53">
        <v>5.0000000000000001E-3</v>
      </c>
      <c r="D38" s="2">
        <f t="shared" si="2"/>
        <v>190827.72434537802</v>
      </c>
      <c r="E38" s="53">
        <v>5.0000000000000001E-3</v>
      </c>
      <c r="F38" s="2">
        <f t="shared" si="3"/>
        <v>0</v>
      </c>
      <c r="G38" s="53">
        <v>0</v>
      </c>
      <c r="H38" s="2">
        <f t="shared" si="4"/>
        <v>1233</v>
      </c>
      <c r="I38" s="53">
        <v>0</v>
      </c>
      <c r="J38" s="2">
        <f t="shared" si="0"/>
        <v>318468.4994891971</v>
      </c>
    </row>
    <row r="39" spans="1:10">
      <c r="A39" s="1">
        <f t="shared" si="5"/>
        <v>2024</v>
      </c>
      <c r="B39" s="2">
        <f t="shared" si="1"/>
        <v>127039.81401953817</v>
      </c>
      <c r="C39" s="53">
        <v>5.0000000000000001E-3</v>
      </c>
      <c r="D39" s="2">
        <f t="shared" si="2"/>
        <v>191781.86296710488</v>
      </c>
      <c r="E39" s="53">
        <v>5.0000000000000001E-3</v>
      </c>
      <c r="F39" s="2">
        <f t="shared" si="3"/>
        <v>0</v>
      </c>
      <c r="G39" s="53">
        <v>0</v>
      </c>
      <c r="H39" s="2">
        <f t="shared" si="4"/>
        <v>1233</v>
      </c>
      <c r="I39" s="53">
        <v>0</v>
      </c>
      <c r="J39" s="2">
        <f t="shared" si="0"/>
        <v>320054.67698664305</v>
      </c>
    </row>
    <row r="40" spans="1:10">
      <c r="A40" s="1">
        <f t="shared" si="5"/>
        <v>2025</v>
      </c>
      <c r="B40" s="2">
        <f t="shared" si="1"/>
        <v>127675.01308963585</v>
      </c>
      <c r="C40" s="53">
        <v>5.0000000000000001E-3</v>
      </c>
      <c r="D40" s="2">
        <f t="shared" si="2"/>
        <v>192740.77228194039</v>
      </c>
      <c r="E40" s="53">
        <v>5.0000000000000001E-3</v>
      </c>
      <c r="F40" s="2">
        <f t="shared" si="3"/>
        <v>0</v>
      </c>
      <c r="G40" s="53">
        <v>0</v>
      </c>
      <c r="H40" s="2">
        <f t="shared" si="4"/>
        <v>1233</v>
      </c>
      <c r="I40" s="53">
        <v>0</v>
      </c>
      <c r="J40" s="2">
        <f t="shared" si="0"/>
        <v>321648.7853715762</v>
      </c>
    </row>
    <row r="41" spans="1:10">
      <c r="A41" s="1">
        <f t="shared" si="5"/>
        <v>2026</v>
      </c>
      <c r="B41" s="2">
        <f t="shared" si="1"/>
        <v>128313.38815508402</v>
      </c>
      <c r="C41" s="53">
        <v>5.0000000000000001E-3</v>
      </c>
      <c r="D41" s="2">
        <f t="shared" si="2"/>
        <v>193704.47614335007</v>
      </c>
      <c r="E41" s="53">
        <v>5.0000000000000001E-3</v>
      </c>
      <c r="F41" s="2">
        <f t="shared" si="3"/>
        <v>0</v>
      </c>
      <c r="G41" s="53">
        <v>0</v>
      </c>
      <c r="H41" s="2">
        <f t="shared" si="4"/>
        <v>1233</v>
      </c>
      <c r="I41" s="53">
        <v>0</v>
      </c>
      <c r="J41" s="2">
        <f t="shared" si="0"/>
        <v>323250.86429843411</v>
      </c>
    </row>
    <row r="42" spans="1:10">
      <c r="A42" s="1">
        <f t="shared" si="5"/>
        <v>2027</v>
      </c>
      <c r="B42" s="2">
        <f t="shared" si="1"/>
        <v>128954.95509585942</v>
      </c>
      <c r="C42" s="53">
        <v>5.0000000000000001E-3</v>
      </c>
      <c r="D42" s="2">
        <f t="shared" si="2"/>
        <v>194672.99852406679</v>
      </c>
      <c r="E42" s="53">
        <v>5.0000000000000001E-3</v>
      </c>
      <c r="F42" s="2">
        <f t="shared" si="3"/>
        <v>0</v>
      </c>
      <c r="G42" s="53">
        <v>0</v>
      </c>
      <c r="H42" s="2">
        <f t="shared" si="4"/>
        <v>1233</v>
      </c>
      <c r="I42" s="53">
        <v>0</v>
      </c>
      <c r="J42" s="2">
        <f t="shared" si="0"/>
        <v>324860.95361992624</v>
      </c>
    </row>
    <row r="43" spans="1:10">
      <c r="A43" s="1">
        <f t="shared" si="5"/>
        <v>2028</v>
      </c>
      <c r="B43" s="2">
        <f t="shared" si="1"/>
        <v>129599.7298713387</v>
      </c>
      <c r="C43" s="53">
        <v>5.0000000000000001E-3</v>
      </c>
      <c r="D43" s="2">
        <f t="shared" si="2"/>
        <v>195646.3635166871</v>
      </c>
      <c r="E43" s="53">
        <v>5.0000000000000001E-3</v>
      </c>
      <c r="F43" s="2">
        <f t="shared" si="3"/>
        <v>0</v>
      </c>
      <c r="G43" s="53">
        <v>0</v>
      </c>
      <c r="H43" s="2">
        <f t="shared" si="4"/>
        <v>1233</v>
      </c>
      <c r="I43" s="53">
        <v>0</v>
      </c>
      <c r="J43" s="2">
        <f t="shared" si="0"/>
        <v>326479.09338802577</v>
      </c>
    </row>
    <row r="44" spans="1:10">
      <c r="A44" s="1">
        <f t="shared" si="5"/>
        <v>2029</v>
      </c>
      <c r="B44" s="2">
        <f t="shared" si="1"/>
        <v>130247.72852069538</v>
      </c>
      <c r="C44" s="53">
        <v>5.0000000000000001E-3</v>
      </c>
      <c r="D44" s="2">
        <f t="shared" si="2"/>
        <v>196624.5953342705</v>
      </c>
      <c r="E44" s="53">
        <v>5.0000000000000001E-3</v>
      </c>
      <c r="F44" s="2">
        <f t="shared" si="3"/>
        <v>0</v>
      </c>
      <c r="G44" s="53">
        <v>0</v>
      </c>
      <c r="H44" s="2">
        <f t="shared" si="4"/>
        <v>1233</v>
      </c>
      <c r="I44" s="53">
        <v>0</v>
      </c>
      <c r="J44" s="2">
        <f t="shared" si="0"/>
        <v>328105.32385496586</v>
      </c>
    </row>
    <row r="45" spans="1:10">
      <c r="A45" s="1">
        <f t="shared" si="5"/>
        <v>2030</v>
      </c>
      <c r="B45" s="2">
        <f t="shared" si="1"/>
        <v>130898.96716329885</v>
      </c>
      <c r="C45" s="53">
        <v>5.0000000000000001E-3</v>
      </c>
      <c r="D45" s="2">
        <f t="shared" si="2"/>
        <v>197607.71831094183</v>
      </c>
      <c r="E45" s="53">
        <v>5.0000000000000001E-3</v>
      </c>
      <c r="F45" s="2">
        <f t="shared" si="3"/>
        <v>0</v>
      </c>
      <c r="G45" s="53">
        <v>0</v>
      </c>
      <c r="H45" s="2">
        <f t="shared" si="4"/>
        <v>1233</v>
      </c>
      <c r="I45" s="53">
        <v>0</v>
      </c>
      <c r="J45" s="2">
        <f t="shared" si="0"/>
        <v>329739.68547424069</v>
      </c>
    </row>
    <row r="46" spans="1:10">
      <c r="A46" s="1">
        <f t="shared" si="5"/>
        <v>2031</v>
      </c>
      <c r="B46" s="2">
        <f t="shared" si="1"/>
        <v>131553.46199911533</v>
      </c>
      <c r="C46" s="53">
        <v>5.0000000000000001E-3</v>
      </c>
      <c r="D46" s="2">
        <f t="shared" si="2"/>
        <v>198595.75690249651</v>
      </c>
      <c r="E46" s="53">
        <v>5.0000000000000001E-3</v>
      </c>
      <c r="F46" s="2">
        <f t="shared" si="3"/>
        <v>0</v>
      </c>
      <c r="G46" s="53">
        <v>0</v>
      </c>
      <c r="H46" s="2">
        <f t="shared" si="4"/>
        <v>1233</v>
      </c>
      <c r="I46" s="53">
        <v>0</v>
      </c>
      <c r="J46" s="2">
        <f t="shared" si="0"/>
        <v>331382.21890161186</v>
      </c>
    </row>
    <row r="47" spans="1:10">
      <c r="A47" s="1">
        <f t="shared" si="5"/>
        <v>2032</v>
      </c>
      <c r="B47" s="2">
        <f t="shared" si="1"/>
        <v>132211.2293091109</v>
      </c>
      <c r="C47" s="53">
        <v>5.0000000000000001E-3</v>
      </c>
      <c r="D47" s="2">
        <f t="shared" si="2"/>
        <v>199588.73568700897</v>
      </c>
      <c r="E47" s="53">
        <v>5.0000000000000001E-3</v>
      </c>
      <c r="F47" s="2">
        <f t="shared" si="3"/>
        <v>0</v>
      </c>
      <c r="G47" s="53">
        <v>0</v>
      </c>
      <c r="H47" s="2">
        <f t="shared" si="4"/>
        <v>1233</v>
      </c>
      <c r="I47" s="53">
        <v>0</v>
      </c>
      <c r="J47" s="2">
        <f t="shared" si="0"/>
        <v>333032.96499611984</v>
      </c>
    </row>
    <row r="48" spans="1:10">
      <c r="A48" s="1">
        <f t="shared" si="5"/>
        <v>2033</v>
      </c>
      <c r="B48" s="2">
        <f>B47*(1+C48)</f>
        <v>132872.28545565644</v>
      </c>
      <c r="C48" s="53">
        <v>5.0000000000000001E-3</v>
      </c>
      <c r="D48" s="2">
        <f>D47*(1+E48)</f>
        <v>200586.679365444</v>
      </c>
      <c r="E48" s="53">
        <v>5.0000000000000001E-3</v>
      </c>
      <c r="F48" s="2">
        <f>F47*(1+G48)</f>
        <v>0</v>
      </c>
      <c r="G48" s="53">
        <v>0</v>
      </c>
      <c r="H48" s="2">
        <f>H47*(1+I48)</f>
        <v>1233</v>
      </c>
      <c r="I48" s="53">
        <v>0</v>
      </c>
      <c r="J48" s="2">
        <f>SUM(B48,D48,F48,H48)</f>
        <v>334691.96482110047</v>
      </c>
    </row>
    <row r="49" spans="1:10">
      <c r="A49" s="1">
        <f t="shared" si="5"/>
        <v>2034</v>
      </c>
      <c r="B49" s="2">
        <f>B48*(1+C49)</f>
        <v>133536.6468829347</v>
      </c>
      <c r="C49" s="53">
        <v>5.0000000000000001E-3</v>
      </c>
      <c r="D49" s="2">
        <f>D48*(1+E49)</f>
        <v>201589.61276227119</v>
      </c>
      <c r="E49" s="53">
        <v>5.0000000000000001E-3</v>
      </c>
      <c r="F49" s="2">
        <f>F48*(1+G49)</f>
        <v>0</v>
      </c>
      <c r="G49" s="53">
        <v>0</v>
      </c>
      <c r="H49" s="2">
        <f>H48*(1+I49)</f>
        <v>1233</v>
      </c>
      <c r="I49" s="53">
        <v>0</v>
      </c>
      <c r="J49" s="2">
        <f>SUM(B49,D49,F49,H49)</f>
        <v>336359.25964520592</v>
      </c>
    </row>
    <row r="50" spans="1:10">
      <c r="B50" s="2"/>
      <c r="D50" s="2"/>
      <c r="F50" s="2"/>
      <c r="H50" s="2"/>
      <c r="J50" s="2"/>
    </row>
    <row r="51" spans="1:10">
      <c r="B51" s="2"/>
      <c r="D51" s="2"/>
      <c r="F51" s="2"/>
      <c r="H51" s="2"/>
      <c r="J51" s="2"/>
    </row>
    <row r="52" spans="1:10">
      <c r="A52" s="204" t="s">
        <v>146</v>
      </c>
      <c r="B52" s="204"/>
      <c r="C52" s="204"/>
      <c r="D52" s="204"/>
      <c r="E52" s="204"/>
      <c r="F52" s="204"/>
      <c r="G52" s="204"/>
      <c r="H52" s="204"/>
      <c r="I52" s="204"/>
      <c r="J52" s="204"/>
    </row>
    <row r="53" spans="1:10">
      <c r="A53" s="204" t="s">
        <v>29</v>
      </c>
      <c r="B53" s="204"/>
      <c r="C53" s="204"/>
      <c r="D53" s="204"/>
      <c r="E53" s="204"/>
      <c r="F53" s="204"/>
      <c r="G53" s="204"/>
      <c r="H53" s="204"/>
      <c r="I53" s="204"/>
      <c r="J53" s="204"/>
    </row>
    <row r="55" spans="1:10">
      <c r="A55" s="1" t="s">
        <v>16</v>
      </c>
      <c r="B55" s="1" t="s">
        <v>0</v>
      </c>
      <c r="C55" s="1" t="s">
        <v>30</v>
      </c>
      <c r="D55" s="1" t="s">
        <v>28</v>
      </c>
      <c r="E55" s="1" t="s">
        <v>30</v>
      </c>
      <c r="F55" s="1" t="s">
        <v>8</v>
      </c>
      <c r="G55" s="1" t="s">
        <v>30</v>
      </c>
      <c r="H55" s="1" t="s">
        <v>23</v>
      </c>
      <c r="I55" s="1" t="s">
        <v>30</v>
      </c>
      <c r="J55" s="1" t="s">
        <v>19</v>
      </c>
    </row>
    <row r="56" spans="1:10">
      <c r="A56" s="1">
        <v>2014</v>
      </c>
      <c r="B56" s="55">
        <f t="shared" ref="B56:B76" si="6">B29*(1+C56)</f>
        <v>126336.45299999999</v>
      </c>
      <c r="C56" s="56">
        <v>6.0999999999999999E-2</v>
      </c>
      <c r="D56" s="55">
        <f>D29*(1+E56)</f>
        <v>190720.05499999999</v>
      </c>
      <c r="E56" s="56">
        <v>6.0999999999999999E-2</v>
      </c>
      <c r="F56" s="55">
        <f>F29*(1+G56)</f>
        <v>0</v>
      </c>
      <c r="G56" s="56">
        <v>0</v>
      </c>
      <c r="H56" s="55">
        <f>H29*(1+I56)</f>
        <v>1308.213</v>
      </c>
      <c r="I56" s="56">
        <v>6.0999999999999999E-2</v>
      </c>
      <c r="J56" s="2">
        <f t="shared" ref="J56:J75" si="7">SUM(B56,D56,F56,H56)</f>
        <v>318364.72099999996</v>
      </c>
    </row>
    <row r="57" spans="1:10">
      <c r="A57" s="1">
        <f>A56+1</f>
        <v>2015</v>
      </c>
      <c r="B57" s="55">
        <f t="shared" si="6"/>
        <v>127599.81752999999</v>
      </c>
      <c r="C57" s="56">
        <v>6.0999999999999999E-2</v>
      </c>
      <c r="D57" s="55">
        <f>D30*(1+E57)</f>
        <v>192627.25554999997</v>
      </c>
      <c r="E57" s="56">
        <v>6.0999999999999999E-2</v>
      </c>
      <c r="F57" s="55">
        <f>F30*(1+G57)</f>
        <v>0</v>
      </c>
      <c r="G57" s="56">
        <v>0</v>
      </c>
      <c r="H57" s="55">
        <f>H30*(1+I57)</f>
        <v>1308.213</v>
      </c>
      <c r="I57" s="56">
        <v>6.0999999999999999E-2</v>
      </c>
      <c r="J57" s="2">
        <f t="shared" si="7"/>
        <v>321535.28607999993</v>
      </c>
    </row>
    <row r="58" spans="1:10">
      <c r="A58" s="1">
        <f t="shared" ref="A58:A76" si="8">A57+1</f>
        <v>2016</v>
      </c>
      <c r="B58" s="55">
        <f t="shared" si="6"/>
        <v>128875.81570529999</v>
      </c>
      <c r="C58" s="56">
        <v>6.0999999999999999E-2</v>
      </c>
      <c r="D58" s="55">
        <f t="shared" ref="D58:D76" si="9">D31*(1+E58)</f>
        <v>194553.52810549998</v>
      </c>
      <c r="E58" s="56">
        <v>6.0999999999999999E-2</v>
      </c>
      <c r="F58" s="55">
        <f t="shared" ref="F58:F76" si="10">F31*(1+G58)</f>
        <v>0</v>
      </c>
      <c r="G58" s="56">
        <v>0</v>
      </c>
      <c r="H58" s="55">
        <f t="shared" ref="H58:H76" si="11">H31*(1+I58)</f>
        <v>1308.213</v>
      </c>
      <c r="I58" s="56">
        <v>6.0999999999999999E-2</v>
      </c>
      <c r="J58" s="2">
        <f t="shared" si="7"/>
        <v>324737.55681079999</v>
      </c>
    </row>
    <row r="59" spans="1:10">
      <c r="A59" s="1">
        <f t="shared" si="8"/>
        <v>2017</v>
      </c>
      <c r="B59" s="55">
        <f t="shared" si="6"/>
        <v>130164.57386235299</v>
      </c>
      <c r="C59" s="56">
        <v>6.0999999999999999E-2</v>
      </c>
      <c r="D59" s="55">
        <f t="shared" si="9"/>
        <v>196499.06338655498</v>
      </c>
      <c r="E59" s="56">
        <v>6.0999999999999999E-2</v>
      </c>
      <c r="F59" s="55">
        <f t="shared" si="10"/>
        <v>0</v>
      </c>
      <c r="G59" s="56">
        <v>0</v>
      </c>
      <c r="H59" s="55">
        <f t="shared" si="11"/>
        <v>1308.213</v>
      </c>
      <c r="I59" s="56">
        <v>6.0999999999999999E-2</v>
      </c>
      <c r="J59" s="2">
        <f t="shared" si="7"/>
        <v>327971.85024890793</v>
      </c>
    </row>
    <row r="60" spans="1:10">
      <c r="A60" s="1">
        <f t="shared" si="8"/>
        <v>2018</v>
      </c>
      <c r="B60" s="55">
        <f t="shared" si="6"/>
        <v>130815.39673166475</v>
      </c>
      <c r="C60" s="56">
        <v>6.0999999999999999E-2</v>
      </c>
      <c r="D60" s="55">
        <f t="shared" si="9"/>
        <v>197481.55870348774</v>
      </c>
      <c r="E60" s="56">
        <v>6.0999999999999999E-2</v>
      </c>
      <c r="F60" s="55">
        <f t="shared" si="10"/>
        <v>0</v>
      </c>
      <c r="G60" s="56">
        <v>0</v>
      </c>
      <c r="H60" s="55">
        <f t="shared" si="11"/>
        <v>1308.213</v>
      </c>
      <c r="I60" s="56">
        <v>6.0999999999999999E-2</v>
      </c>
      <c r="J60" s="2">
        <f t="shared" si="7"/>
        <v>329605.1684351525</v>
      </c>
    </row>
    <row r="61" spans="1:10">
      <c r="A61" s="1">
        <f t="shared" si="8"/>
        <v>2019</v>
      </c>
      <c r="B61" s="55">
        <f t="shared" si="6"/>
        <v>131469.47371532305</v>
      </c>
      <c r="C61" s="56">
        <v>6.0999999999999999E-2</v>
      </c>
      <c r="D61" s="55">
        <f t="shared" si="9"/>
        <v>198468.96649700514</v>
      </c>
      <c r="E61" s="56">
        <v>6.0999999999999999E-2</v>
      </c>
      <c r="F61" s="55">
        <f t="shared" si="10"/>
        <v>0</v>
      </c>
      <c r="G61" s="56">
        <v>0</v>
      </c>
      <c r="H61" s="55">
        <f t="shared" si="11"/>
        <v>1308.213</v>
      </c>
      <c r="I61" s="56">
        <v>6.0999999999999999E-2</v>
      </c>
      <c r="J61" s="2">
        <f t="shared" si="7"/>
        <v>331246.65321232821</v>
      </c>
    </row>
    <row r="62" spans="1:10">
      <c r="A62" s="1">
        <f t="shared" si="8"/>
        <v>2020</v>
      </c>
      <c r="B62" s="55">
        <f t="shared" si="6"/>
        <v>132126.82108389965</v>
      </c>
      <c r="C62" s="56">
        <v>6.0999999999999999E-2</v>
      </c>
      <c r="D62" s="55">
        <f t="shared" si="9"/>
        <v>199461.31132949016</v>
      </c>
      <c r="E62" s="56">
        <v>6.0999999999999999E-2</v>
      </c>
      <c r="F62" s="55">
        <f t="shared" si="10"/>
        <v>0</v>
      </c>
      <c r="G62" s="56">
        <v>0</v>
      </c>
      <c r="H62" s="55">
        <f t="shared" si="11"/>
        <v>1308.213</v>
      </c>
      <c r="I62" s="56">
        <v>6.0999999999999999E-2</v>
      </c>
      <c r="J62" s="2">
        <f t="shared" si="7"/>
        <v>332896.34541338979</v>
      </c>
    </row>
    <row r="63" spans="1:10">
      <c r="A63" s="1">
        <f t="shared" si="8"/>
        <v>2021</v>
      </c>
      <c r="B63" s="55">
        <f t="shared" si="6"/>
        <v>132787.45518931915</v>
      </c>
      <c r="C63" s="56">
        <v>6.0999999999999999E-2</v>
      </c>
      <c r="D63" s="55">
        <f t="shared" si="9"/>
        <v>200458.61788613757</v>
      </c>
      <c r="E63" s="56">
        <v>6.0999999999999999E-2</v>
      </c>
      <c r="F63" s="55">
        <f t="shared" si="10"/>
        <v>0</v>
      </c>
      <c r="G63" s="56">
        <v>0</v>
      </c>
      <c r="H63" s="55">
        <f t="shared" si="11"/>
        <v>1308.213</v>
      </c>
      <c r="I63" s="56">
        <v>6.0999999999999999E-2</v>
      </c>
      <c r="J63" s="2">
        <f t="shared" si="7"/>
        <v>334554.28607545671</v>
      </c>
    </row>
    <row r="64" spans="1:10">
      <c r="A64" s="1">
        <f t="shared" si="8"/>
        <v>2022</v>
      </c>
      <c r="B64" s="55">
        <f t="shared" si="6"/>
        <v>133451.39246526573</v>
      </c>
      <c r="C64" s="56">
        <v>6.0999999999999999E-2</v>
      </c>
      <c r="D64" s="55">
        <f t="shared" si="9"/>
        <v>201460.91097556826</v>
      </c>
      <c r="E64" s="56">
        <v>6.0999999999999999E-2</v>
      </c>
      <c r="F64" s="55">
        <f t="shared" si="10"/>
        <v>0</v>
      </c>
      <c r="G64" s="56">
        <v>0</v>
      </c>
      <c r="H64" s="55">
        <f t="shared" si="11"/>
        <v>1308.213</v>
      </c>
      <c r="I64" s="56">
        <v>6.0999999999999999E-2</v>
      </c>
      <c r="J64" s="2">
        <f t="shared" si="7"/>
        <v>336220.51644083398</v>
      </c>
    </row>
    <row r="65" spans="1:10">
      <c r="A65" s="1">
        <f t="shared" si="8"/>
        <v>2023</v>
      </c>
      <c r="B65" s="55">
        <f t="shared" si="6"/>
        <v>134118.64942759206</v>
      </c>
      <c r="C65" s="56">
        <v>6.0999999999999999E-2</v>
      </c>
      <c r="D65" s="55">
        <f t="shared" si="9"/>
        <v>202468.21553044606</v>
      </c>
      <c r="E65" s="56">
        <v>6.0999999999999999E-2</v>
      </c>
      <c r="F65" s="55">
        <f t="shared" si="10"/>
        <v>0</v>
      </c>
      <c r="G65" s="56">
        <v>0</v>
      </c>
      <c r="H65" s="55">
        <f t="shared" si="11"/>
        <v>1308.213</v>
      </c>
      <c r="I65" s="56">
        <v>6.0999999999999999E-2</v>
      </c>
      <c r="J65" s="2">
        <f t="shared" si="7"/>
        <v>337895.07795803808</v>
      </c>
    </row>
    <row r="66" spans="1:10">
      <c r="A66" s="1">
        <f t="shared" si="8"/>
        <v>2024</v>
      </c>
      <c r="B66" s="55">
        <f t="shared" si="6"/>
        <v>134789.24267472999</v>
      </c>
      <c r="C66" s="56">
        <v>6.0999999999999999E-2</v>
      </c>
      <c r="D66" s="55">
        <f t="shared" si="9"/>
        <v>203480.55660809827</v>
      </c>
      <c r="E66" s="56">
        <v>6.0999999999999999E-2</v>
      </c>
      <c r="F66" s="55">
        <f t="shared" si="10"/>
        <v>0</v>
      </c>
      <c r="G66" s="56">
        <v>0</v>
      </c>
      <c r="H66" s="55">
        <f t="shared" si="11"/>
        <v>1308.213</v>
      </c>
      <c r="I66" s="56">
        <v>6.0999999999999999E-2</v>
      </c>
      <c r="J66" s="2">
        <f t="shared" si="7"/>
        <v>339578.01228282822</v>
      </c>
    </row>
    <row r="67" spans="1:10">
      <c r="A67" s="1">
        <f t="shared" si="8"/>
        <v>2025</v>
      </c>
      <c r="B67" s="55">
        <f t="shared" si="6"/>
        <v>135463.18888810361</v>
      </c>
      <c r="C67" s="56">
        <v>6.0999999999999999E-2</v>
      </c>
      <c r="D67" s="55">
        <f t="shared" si="9"/>
        <v>204497.95939113875</v>
      </c>
      <c r="E67" s="56">
        <v>6.0999999999999999E-2</v>
      </c>
      <c r="F67" s="55">
        <f t="shared" si="10"/>
        <v>0</v>
      </c>
      <c r="G67" s="56">
        <v>0</v>
      </c>
      <c r="H67" s="55">
        <f t="shared" si="11"/>
        <v>1308.213</v>
      </c>
      <c r="I67" s="56">
        <v>6.0999999999999999E-2</v>
      </c>
      <c r="J67" s="2">
        <f t="shared" si="7"/>
        <v>341269.36127924232</v>
      </c>
    </row>
    <row r="68" spans="1:10">
      <c r="A68" s="1">
        <f t="shared" si="8"/>
        <v>2026</v>
      </c>
      <c r="B68" s="55">
        <f t="shared" si="6"/>
        <v>136140.50483254413</v>
      </c>
      <c r="C68" s="56">
        <v>6.0999999999999999E-2</v>
      </c>
      <c r="D68" s="55">
        <f t="shared" si="9"/>
        <v>205520.44918809441</v>
      </c>
      <c r="E68" s="56">
        <v>6.0999999999999999E-2</v>
      </c>
      <c r="F68" s="55">
        <f t="shared" si="10"/>
        <v>0</v>
      </c>
      <c r="G68" s="56">
        <v>0</v>
      </c>
      <c r="H68" s="55">
        <f t="shared" si="11"/>
        <v>1308.213</v>
      </c>
      <c r="I68" s="56">
        <v>6.0999999999999999E-2</v>
      </c>
      <c r="J68" s="2">
        <f t="shared" si="7"/>
        <v>342969.16702063853</v>
      </c>
    </row>
    <row r="69" spans="1:10">
      <c r="A69" s="1">
        <f t="shared" si="8"/>
        <v>2027</v>
      </c>
      <c r="B69" s="55">
        <f t="shared" si="6"/>
        <v>136821.20735670684</v>
      </c>
      <c r="C69" s="56">
        <v>6.0999999999999999E-2</v>
      </c>
      <c r="D69" s="55">
        <f t="shared" si="9"/>
        <v>206548.05143403486</v>
      </c>
      <c r="E69" s="56">
        <v>6.0999999999999999E-2</v>
      </c>
      <c r="F69" s="55">
        <f t="shared" si="10"/>
        <v>0</v>
      </c>
      <c r="G69" s="56">
        <v>0</v>
      </c>
      <c r="H69" s="55">
        <f t="shared" si="11"/>
        <v>1308.213</v>
      </c>
      <c r="I69" s="56">
        <v>6.0999999999999999E-2</v>
      </c>
      <c r="J69" s="2">
        <f t="shared" si="7"/>
        <v>344677.47179074166</v>
      </c>
    </row>
    <row r="70" spans="1:10">
      <c r="A70" s="1">
        <f t="shared" si="8"/>
        <v>2028</v>
      </c>
      <c r="B70" s="55">
        <f t="shared" si="6"/>
        <v>137505.31339349036</v>
      </c>
      <c r="C70" s="56">
        <v>6.0999999999999999E-2</v>
      </c>
      <c r="D70" s="55">
        <f t="shared" si="9"/>
        <v>207580.791691205</v>
      </c>
      <c r="E70" s="56">
        <v>6.0999999999999999E-2</v>
      </c>
      <c r="F70" s="55">
        <f t="shared" si="10"/>
        <v>0</v>
      </c>
      <c r="G70" s="56">
        <v>0</v>
      </c>
      <c r="H70" s="55">
        <f t="shared" si="11"/>
        <v>1308.213</v>
      </c>
      <c r="I70" s="56">
        <v>6.0999999999999999E-2</v>
      </c>
      <c r="J70" s="2">
        <f t="shared" si="7"/>
        <v>346394.31808469538</v>
      </c>
    </row>
    <row r="71" spans="1:10">
      <c r="A71" s="1">
        <f t="shared" si="8"/>
        <v>2029</v>
      </c>
      <c r="B71" s="55">
        <f t="shared" si="6"/>
        <v>138192.83996045779</v>
      </c>
      <c r="C71" s="56">
        <v>6.0999999999999999E-2</v>
      </c>
      <c r="D71" s="55">
        <f t="shared" si="9"/>
        <v>208618.69564966101</v>
      </c>
      <c r="E71" s="56">
        <v>6.0999999999999999E-2</v>
      </c>
      <c r="F71" s="55">
        <f t="shared" si="10"/>
        <v>0</v>
      </c>
      <c r="G71" s="56">
        <v>0</v>
      </c>
      <c r="H71" s="55">
        <f t="shared" si="11"/>
        <v>1308.213</v>
      </c>
      <c r="I71" s="56">
        <v>6.0999999999999999E-2</v>
      </c>
      <c r="J71" s="2">
        <f t="shared" si="7"/>
        <v>348119.74861011875</v>
      </c>
    </row>
    <row r="72" spans="1:10">
      <c r="A72" s="1">
        <f t="shared" si="8"/>
        <v>2030</v>
      </c>
      <c r="B72" s="55">
        <f t="shared" si="6"/>
        <v>138883.80416026007</v>
      </c>
      <c r="C72" s="56">
        <v>6.0999999999999999E-2</v>
      </c>
      <c r="D72" s="55">
        <f t="shared" si="9"/>
        <v>209661.78912790926</v>
      </c>
      <c r="E72" s="56">
        <v>6.0999999999999999E-2</v>
      </c>
      <c r="F72" s="55">
        <f t="shared" si="10"/>
        <v>0</v>
      </c>
      <c r="G72" s="56">
        <v>0</v>
      </c>
      <c r="H72" s="55">
        <f t="shared" si="11"/>
        <v>1308.213</v>
      </c>
      <c r="I72" s="56">
        <v>6.0999999999999999E-2</v>
      </c>
      <c r="J72" s="2">
        <f t="shared" si="7"/>
        <v>349853.80628816935</v>
      </c>
    </row>
    <row r="73" spans="1:10">
      <c r="A73" s="1">
        <f t="shared" si="8"/>
        <v>2031</v>
      </c>
      <c r="B73" s="55">
        <f t="shared" si="6"/>
        <v>139578.22318106136</v>
      </c>
      <c r="C73" s="56">
        <v>6.0999999999999999E-2</v>
      </c>
      <c r="D73" s="55">
        <f t="shared" si="9"/>
        <v>210710.09807354878</v>
      </c>
      <c r="E73" s="56">
        <v>6.0999999999999999E-2</v>
      </c>
      <c r="F73" s="55">
        <f t="shared" si="10"/>
        <v>0</v>
      </c>
      <c r="G73" s="56">
        <v>0</v>
      </c>
      <c r="H73" s="55">
        <f t="shared" si="11"/>
        <v>1308.213</v>
      </c>
      <c r="I73" s="56">
        <v>6.0999999999999999E-2</v>
      </c>
      <c r="J73" s="2">
        <f t="shared" si="7"/>
        <v>351596.53425461013</v>
      </c>
    </row>
    <row r="74" spans="1:10">
      <c r="A74" s="1">
        <f t="shared" si="8"/>
        <v>2032</v>
      </c>
      <c r="B74" s="55">
        <f t="shared" si="6"/>
        <v>140276.11429696667</v>
      </c>
      <c r="C74" s="56">
        <v>6.0999999999999999E-2</v>
      </c>
      <c r="D74" s="55">
        <f t="shared" si="9"/>
        <v>211763.6485639165</v>
      </c>
      <c r="E74" s="56">
        <v>6.0999999999999999E-2</v>
      </c>
      <c r="F74" s="55">
        <f t="shared" si="10"/>
        <v>0</v>
      </c>
      <c r="G74" s="56">
        <v>0</v>
      </c>
      <c r="H74" s="55">
        <f t="shared" si="11"/>
        <v>1308.213</v>
      </c>
      <c r="I74" s="56">
        <v>6.0999999999999999E-2</v>
      </c>
      <c r="J74" s="2">
        <f t="shared" si="7"/>
        <v>353347.97586088313</v>
      </c>
    </row>
    <row r="75" spans="1:10">
      <c r="A75" s="1">
        <f t="shared" si="8"/>
        <v>2033</v>
      </c>
      <c r="B75" s="55">
        <f t="shared" si="6"/>
        <v>140977.49486845147</v>
      </c>
      <c r="C75" s="56">
        <v>6.0999999999999999E-2</v>
      </c>
      <c r="D75" s="55">
        <f t="shared" si="9"/>
        <v>212822.46680673608</v>
      </c>
      <c r="E75" s="56">
        <v>6.0999999999999999E-2</v>
      </c>
      <c r="F75" s="55">
        <f t="shared" si="10"/>
        <v>0</v>
      </c>
      <c r="G75" s="56">
        <v>0</v>
      </c>
      <c r="H75" s="55">
        <f t="shared" si="11"/>
        <v>1308.213</v>
      </c>
      <c r="I75" s="56">
        <v>6.0999999999999999E-2</v>
      </c>
      <c r="J75" s="2">
        <f t="shared" si="7"/>
        <v>355108.17467518756</v>
      </c>
    </row>
    <row r="76" spans="1:10">
      <c r="A76" s="1">
        <f t="shared" si="8"/>
        <v>2034</v>
      </c>
      <c r="B76" s="55">
        <f t="shared" si="6"/>
        <v>141682.38234279372</v>
      </c>
      <c r="C76" s="56">
        <v>6.0999999999999999E-2</v>
      </c>
      <c r="D76" s="55">
        <f t="shared" si="9"/>
        <v>213886.57914076973</v>
      </c>
      <c r="E76" s="56">
        <v>6.0999999999999999E-2</v>
      </c>
      <c r="F76" s="55">
        <f t="shared" si="10"/>
        <v>0</v>
      </c>
      <c r="G76" s="56">
        <v>0</v>
      </c>
      <c r="H76" s="55">
        <f t="shared" si="11"/>
        <v>1308.213</v>
      </c>
      <c r="I76" s="56">
        <v>6.0999999999999999E-2</v>
      </c>
      <c r="J76" s="2">
        <f>SUM(B76,D76,F76,H76)</f>
        <v>356877.1744835634</v>
      </c>
    </row>
  </sheetData>
  <mergeCells count="4">
    <mergeCell ref="A52:J52"/>
    <mergeCell ref="A53:J53"/>
    <mergeCell ref="A2:J2"/>
    <mergeCell ref="A3:J3"/>
  </mergeCells>
  <phoneticPr fontId="2" type="noConversion"/>
  <pageMargins left="0.21" right="0.26" top="0.41" bottom="0.59" header="0.2" footer="0.25"/>
  <pageSetup scale="85" orientation="landscape" r:id="rId1"/>
  <headerFooter alignWithMargins="0"/>
  <rowBreaks count="1" manualBreakCount="1">
    <brk id="5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3:T107"/>
  <sheetViews>
    <sheetView topLeftCell="A31" zoomScale="75" zoomScaleNormal="75" workbookViewId="0">
      <selection activeCell="B33" sqref="B33"/>
    </sheetView>
  </sheetViews>
  <sheetFormatPr defaultRowHeight="12.75"/>
  <cols>
    <col min="1" max="1" width="15.7109375" customWidth="1"/>
    <col min="2" max="13" width="12.7109375" customWidth="1"/>
    <col min="14" max="14" width="11.28515625" bestFit="1" customWidth="1"/>
    <col min="15" max="15" width="10.85546875" customWidth="1"/>
  </cols>
  <sheetData>
    <row r="3" spans="1:14" ht="15" thickBot="1">
      <c r="B3" s="205" t="s">
        <v>44</v>
      </c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</row>
    <row r="4" spans="1:14" ht="15"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</row>
    <row r="5" spans="1:14" ht="14.25">
      <c r="B5" s="63" t="s">
        <v>32</v>
      </c>
      <c r="C5" s="63" t="s">
        <v>33</v>
      </c>
      <c r="D5" s="63" t="s">
        <v>34</v>
      </c>
      <c r="E5" s="63" t="s">
        <v>35</v>
      </c>
      <c r="F5" s="63" t="s">
        <v>36</v>
      </c>
      <c r="G5" s="63" t="s">
        <v>37</v>
      </c>
      <c r="H5" s="63" t="s">
        <v>38</v>
      </c>
      <c r="I5" s="63" t="s">
        <v>39</v>
      </c>
      <c r="J5" s="63" t="s">
        <v>40</v>
      </c>
      <c r="K5" s="63" t="s">
        <v>41</v>
      </c>
      <c r="L5" s="63" t="s">
        <v>42</v>
      </c>
      <c r="M5" s="63" t="s">
        <v>43</v>
      </c>
    </row>
    <row r="6" spans="1:14">
      <c r="A6" s="64" t="s">
        <v>45</v>
      </c>
      <c r="B6" s="66">
        <v>7.9699999999999993E-2</v>
      </c>
      <c r="C6" s="66">
        <v>7.8490000000000004E-2</v>
      </c>
      <c r="D6" s="66">
        <v>7.6590000000000005E-2</v>
      </c>
      <c r="E6" s="66">
        <v>6.8739999999999996E-2</v>
      </c>
      <c r="F6" s="66">
        <v>8.455E-2</v>
      </c>
      <c r="G6" s="66">
        <v>9.2770000000000005E-2</v>
      </c>
      <c r="H6" s="66">
        <v>0.10095</v>
      </c>
      <c r="I6" s="66">
        <v>0.10526000000000001</v>
      </c>
      <c r="J6" s="66">
        <v>9.0109999999999996E-2</v>
      </c>
      <c r="K6" s="66">
        <v>8.3449999999999996E-2</v>
      </c>
      <c r="L6" s="66">
        <v>6.7119999999999999E-2</v>
      </c>
      <c r="M6" s="66">
        <v>7.2270000000000001E-2</v>
      </c>
      <c r="N6" s="67">
        <f>SUM(B6:M6)</f>
        <v>1</v>
      </c>
    </row>
    <row r="7" spans="1:14">
      <c r="A7" s="64"/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7"/>
    </row>
    <row r="8" spans="1:14">
      <c r="A8" s="64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7"/>
    </row>
    <row r="9" spans="1:14" ht="15" thickBot="1">
      <c r="B9" s="205" t="s">
        <v>63</v>
      </c>
      <c r="C9" s="205"/>
      <c r="D9" s="205"/>
      <c r="E9" s="205"/>
      <c r="F9" s="205"/>
      <c r="G9" s="205"/>
      <c r="H9" s="205"/>
      <c r="I9" s="205"/>
      <c r="J9" s="205"/>
      <c r="K9" s="205"/>
      <c r="L9" s="205"/>
      <c r="M9" s="205"/>
    </row>
    <row r="10" spans="1:14" ht="14.25">
      <c r="B10" s="63" t="s">
        <v>32</v>
      </c>
      <c r="C10" s="63" t="s">
        <v>33</v>
      </c>
      <c r="D10" s="63" t="s">
        <v>34</v>
      </c>
      <c r="E10" s="63" t="s">
        <v>35</v>
      </c>
      <c r="F10" s="63" t="s">
        <v>36</v>
      </c>
      <c r="G10" s="63" t="s">
        <v>37</v>
      </c>
      <c r="H10" s="63" t="s">
        <v>38</v>
      </c>
      <c r="I10" s="63" t="s">
        <v>39</v>
      </c>
      <c r="J10" s="63" t="s">
        <v>40</v>
      </c>
      <c r="K10" s="63" t="s">
        <v>41</v>
      </c>
      <c r="L10" s="63" t="s">
        <v>42</v>
      </c>
      <c r="M10" s="63" t="s">
        <v>43</v>
      </c>
    </row>
    <row r="11" spans="1:14">
      <c r="A11" s="64" t="s">
        <v>45</v>
      </c>
      <c r="B11" s="66">
        <f>ROUND($Q19,6)</f>
        <v>9.7089999999999996E-2</v>
      </c>
      <c r="C11" s="66">
        <f>ROUND($Q20,6)</f>
        <v>7.3257000000000003E-2</v>
      </c>
      <c r="D11" s="66">
        <f>ROUND($Q21,6)</f>
        <v>6.7460000000000006E-2</v>
      </c>
      <c r="E11" s="66">
        <f>ROUND($Q22,6)</f>
        <v>7.0503999999999997E-2</v>
      </c>
      <c r="F11" s="66">
        <f>ROUND($Q23,6)</f>
        <v>8.3549999999999999E-2</v>
      </c>
      <c r="G11" s="66">
        <f>ROUND($Q24,6)</f>
        <v>0.100522</v>
      </c>
      <c r="H11" s="66">
        <f>ROUND($Q25,6)</f>
        <v>9.9457000000000004E-2</v>
      </c>
      <c r="I11" s="66">
        <f>ROUND($Q26,6)</f>
        <v>0.10649599999999999</v>
      </c>
      <c r="J11" s="66">
        <f>ROUND($Q27,6)</f>
        <v>8.4289000000000003E-2</v>
      </c>
      <c r="K11" s="66">
        <f>ROUND($Q28,6)</f>
        <v>7.1292999999999995E-2</v>
      </c>
      <c r="L11" s="66">
        <f>ROUND($Q29,6)</f>
        <v>6.9369E-2</v>
      </c>
      <c r="M11" s="66">
        <f>ROUND($Q30,6)</f>
        <v>7.6715000000000005E-2</v>
      </c>
      <c r="N11" s="67">
        <f>SUM(B11:M11)</f>
        <v>1.0000020000000003</v>
      </c>
    </row>
    <row r="14" spans="1:14" ht="15" thickBot="1">
      <c r="B14" s="205" t="s">
        <v>84</v>
      </c>
      <c r="C14" s="205"/>
      <c r="D14" s="205"/>
      <c r="E14" s="205"/>
      <c r="F14" s="205"/>
      <c r="G14" s="205"/>
      <c r="H14" s="205"/>
      <c r="I14" s="205"/>
      <c r="J14" s="205"/>
      <c r="K14" s="205"/>
      <c r="L14" s="205"/>
      <c r="M14" s="205"/>
    </row>
    <row r="15" spans="1:14" ht="14.25">
      <c r="B15" s="63" t="s">
        <v>32</v>
      </c>
      <c r="C15" s="63" t="s">
        <v>33</v>
      </c>
      <c r="D15" s="63" t="s">
        <v>34</v>
      </c>
      <c r="E15" s="63" t="s">
        <v>35</v>
      </c>
      <c r="F15" s="63" t="s">
        <v>36</v>
      </c>
      <c r="G15" s="63" t="s">
        <v>37</v>
      </c>
      <c r="H15" s="63" t="s">
        <v>38</v>
      </c>
      <c r="I15" s="63" t="s">
        <v>39</v>
      </c>
      <c r="J15" s="63" t="s">
        <v>40</v>
      </c>
      <c r="K15" s="63" t="s">
        <v>41</v>
      </c>
      <c r="L15" s="63" t="s">
        <v>42</v>
      </c>
      <c r="M15" s="63" t="s">
        <v>43</v>
      </c>
    </row>
    <row r="16" spans="1:14">
      <c r="A16" s="64" t="s">
        <v>45</v>
      </c>
      <c r="B16" s="66">
        <f>ROUND($R19,6)</f>
        <v>8.0656000000000005E-2</v>
      </c>
      <c r="C16" s="66">
        <f>ROUND($R20,6)</f>
        <v>7.1544999999999997E-2</v>
      </c>
      <c r="D16" s="66">
        <f>ROUND($R21,6)</f>
        <v>7.3390999999999998E-2</v>
      </c>
      <c r="E16" s="66">
        <f>ROUND($R22,6)</f>
        <v>7.1874999999999994E-2</v>
      </c>
      <c r="F16" s="66">
        <f>ROUND($R23,6)</f>
        <v>8.8959999999999997E-2</v>
      </c>
      <c r="G16" s="66">
        <f>ROUND($R24,6)</f>
        <v>9.1771000000000005E-2</v>
      </c>
      <c r="H16" s="66">
        <f>ROUND($R25,6)</f>
        <v>0.103814</v>
      </c>
      <c r="I16" s="66">
        <f>ROUND($R26,6)</f>
        <v>9.8239000000000007E-2</v>
      </c>
      <c r="J16" s="66">
        <f>ROUND($R27,6)</f>
        <v>8.6899000000000004E-2</v>
      </c>
      <c r="K16" s="66">
        <f>ROUND($R28,6)</f>
        <v>7.7255000000000004E-2</v>
      </c>
      <c r="L16" s="66">
        <f>ROUND($R29,6)</f>
        <v>7.3792999999999997E-2</v>
      </c>
      <c r="M16" s="66">
        <f>ROUND($R30,6)</f>
        <v>8.1799999999999998E-2</v>
      </c>
      <c r="N16" s="67">
        <f>SUM(B16:M16)</f>
        <v>0.99999799999999994</v>
      </c>
    </row>
    <row r="18" spans="1:20">
      <c r="Q18" s="92">
        <v>2011</v>
      </c>
      <c r="R18" s="93">
        <v>2012</v>
      </c>
      <c r="S18" s="93">
        <v>2013</v>
      </c>
    </row>
    <row r="19" spans="1:20" ht="15" thickBot="1">
      <c r="B19" s="205" t="s">
        <v>85</v>
      </c>
      <c r="C19" s="205"/>
      <c r="D19" s="205"/>
      <c r="E19" s="205"/>
      <c r="F19" s="205"/>
      <c r="G19" s="205"/>
      <c r="H19" s="205"/>
      <c r="I19" s="205"/>
      <c r="J19" s="205"/>
      <c r="K19" s="205"/>
      <c r="L19" s="205"/>
      <c r="M19" s="205"/>
      <c r="P19" s="67"/>
      <c r="Q19" s="67">
        <v>9.7089873799655529E-2</v>
      </c>
      <c r="R19" s="67">
        <v>8.0656333403304761E-2</v>
      </c>
      <c r="S19" s="21">
        <v>8.0416195856630707E-2</v>
      </c>
      <c r="T19" s="21"/>
    </row>
    <row r="20" spans="1:20" ht="14.25">
      <c r="B20" s="63" t="s">
        <v>32</v>
      </c>
      <c r="C20" s="63" t="s">
        <v>33</v>
      </c>
      <c r="D20" s="63" t="s">
        <v>34</v>
      </c>
      <c r="E20" s="63" t="s">
        <v>35</v>
      </c>
      <c r="F20" s="63" t="s">
        <v>36</v>
      </c>
      <c r="G20" s="63" t="s">
        <v>37</v>
      </c>
      <c r="H20" s="63" t="s">
        <v>38</v>
      </c>
      <c r="I20" s="63" t="s">
        <v>39</v>
      </c>
      <c r="J20" s="63" t="s">
        <v>40</v>
      </c>
      <c r="K20" s="63" t="s">
        <v>41</v>
      </c>
      <c r="L20" s="63" t="s">
        <v>42</v>
      </c>
      <c r="M20" s="63" t="s">
        <v>43</v>
      </c>
      <c r="P20" s="67"/>
      <c r="Q20" s="67">
        <v>7.3256764838036059E-2</v>
      </c>
      <c r="R20" s="67">
        <v>7.1545047039059964E-2</v>
      </c>
      <c r="S20" s="21">
        <v>7.2664112017955182E-2</v>
      </c>
      <c r="T20" s="21"/>
    </row>
    <row r="21" spans="1:20">
      <c r="A21" s="64" t="s">
        <v>45</v>
      </c>
      <c r="B21" s="66">
        <f>ROUND($S19,6)</f>
        <v>8.0416000000000001E-2</v>
      </c>
      <c r="C21" s="66">
        <f>ROUND($S20,6)</f>
        <v>7.2664000000000006E-2</v>
      </c>
      <c r="D21" s="66">
        <f>ROUND($S21,6)</f>
        <v>7.8620999999999996E-2</v>
      </c>
      <c r="E21" s="66">
        <f>ROUND($S22,6)</f>
        <v>7.0842000000000002E-2</v>
      </c>
      <c r="F21" s="66">
        <f>ROUND($S23,6)</f>
        <v>8.1913E-2</v>
      </c>
      <c r="G21" s="66">
        <f>ROUND($S24,6)</f>
        <v>9.5321000000000003E-2</v>
      </c>
      <c r="H21" s="66">
        <f>ROUND($S25,6)</f>
        <v>9.5369999999999996E-2</v>
      </c>
      <c r="I21" s="66">
        <f>ROUND($S26,6)</f>
        <v>9.9214999999999998E-2</v>
      </c>
      <c r="J21" s="66">
        <f>ROUND($S27,6)</f>
        <v>9.1231000000000007E-2</v>
      </c>
      <c r="K21" s="66">
        <f>ROUND($S28,6)</f>
        <v>7.7216000000000007E-2</v>
      </c>
      <c r="L21" s="66">
        <f>ROUND($S29,6)</f>
        <v>7.4520000000000003E-2</v>
      </c>
      <c r="M21" s="66">
        <f>ROUND($S30,6)</f>
        <v>8.2670999999999994E-2</v>
      </c>
      <c r="N21" s="67">
        <f>SUM(B21:M21)</f>
        <v>1</v>
      </c>
      <c r="P21" s="67"/>
      <c r="Q21" s="67">
        <v>6.7459605737679215E-2</v>
      </c>
      <c r="R21" s="67">
        <v>7.3391032092722935E-2</v>
      </c>
      <c r="S21" s="21">
        <v>7.8620529714379619E-2</v>
      </c>
      <c r="T21" s="21"/>
    </row>
    <row r="22" spans="1:20">
      <c r="P22" s="67"/>
      <c r="Q22" s="67">
        <v>7.0503970890858358E-2</v>
      </c>
      <c r="R22" s="67">
        <v>7.1875446756338668E-2</v>
      </c>
      <c r="S22" s="21">
        <v>7.0841626969737295E-2</v>
      </c>
      <c r="T22" s="21"/>
    </row>
    <row r="23" spans="1:20">
      <c r="E23" s="67"/>
      <c r="P23" s="67"/>
      <c r="Q23" s="67">
        <v>8.3550326073224629E-2</v>
      </c>
      <c r="R23" s="67">
        <v>8.8960260774455596E-2</v>
      </c>
      <c r="S23" s="21">
        <v>8.1913226542235554E-2</v>
      </c>
      <c r="T23" s="21"/>
    </row>
    <row r="24" spans="1:20" ht="15" thickBot="1">
      <c r="B24" s="205" t="s">
        <v>86</v>
      </c>
      <c r="C24" s="205"/>
      <c r="D24" s="205"/>
      <c r="E24" s="205"/>
      <c r="F24" s="205"/>
      <c r="G24" s="205"/>
      <c r="H24" s="205"/>
      <c r="I24" s="205"/>
      <c r="J24" s="205"/>
      <c r="K24" s="205"/>
      <c r="L24" s="205"/>
      <c r="M24" s="205"/>
      <c r="P24" s="67"/>
      <c r="Q24" s="67">
        <v>0.10052155773760216</v>
      </c>
      <c r="R24" s="67">
        <v>9.1771179826095076E-2</v>
      </c>
      <c r="S24" s="21">
        <v>9.5320710869473455E-2</v>
      </c>
      <c r="T24" s="21"/>
    </row>
    <row r="25" spans="1:20" ht="14.25">
      <c r="B25" s="63" t="s">
        <v>32</v>
      </c>
      <c r="C25" s="63" t="s">
        <v>33</v>
      </c>
      <c r="D25" s="63" t="s">
        <v>34</v>
      </c>
      <c r="E25" s="63" t="s">
        <v>35</v>
      </c>
      <c r="F25" s="63" t="s">
        <v>36</v>
      </c>
      <c r="G25" s="63" t="s">
        <v>37</v>
      </c>
      <c r="H25" s="63" t="s">
        <v>38</v>
      </c>
      <c r="I25" s="63" t="s">
        <v>39</v>
      </c>
      <c r="J25" s="63" t="s">
        <v>40</v>
      </c>
      <c r="K25" s="63" t="s">
        <v>41</v>
      </c>
      <c r="L25" s="63" t="s">
        <v>42</v>
      </c>
      <c r="M25" s="63" t="s">
        <v>43</v>
      </c>
      <c r="P25" s="67"/>
      <c r="Q25" s="67">
        <v>9.9457187037580552E-2</v>
      </c>
      <c r="R25" s="67">
        <v>0.10381448829502969</v>
      </c>
      <c r="S25" s="21">
        <v>9.53698014084218E-2</v>
      </c>
      <c r="T25" s="21"/>
    </row>
    <row r="26" spans="1:20">
      <c r="A26" s="64" t="s">
        <v>45</v>
      </c>
      <c r="B26" s="66">
        <f>ROUND(AVERAGE(B11,B16,B21),7)</f>
        <v>8.6054000000000005E-2</v>
      </c>
      <c r="C26" s="66">
        <f t="shared" ref="C26:M26" si="0">ROUND(AVERAGE(C11,C16,C21),7)</f>
        <v>7.2488700000000003E-2</v>
      </c>
      <c r="D26" s="66">
        <f t="shared" si="0"/>
        <v>7.3157299999999995E-2</v>
      </c>
      <c r="E26" s="66">
        <f t="shared" si="0"/>
        <v>7.1073700000000004E-2</v>
      </c>
      <c r="F26" s="66">
        <f t="shared" si="0"/>
        <v>8.48077E-2</v>
      </c>
      <c r="G26" s="66">
        <f t="shared" si="0"/>
        <v>9.5871300000000007E-2</v>
      </c>
      <c r="H26" s="66">
        <f t="shared" si="0"/>
        <v>9.9546999999999997E-2</v>
      </c>
      <c r="I26" s="66">
        <f t="shared" si="0"/>
        <v>0.1013167</v>
      </c>
      <c r="J26" s="66">
        <f t="shared" si="0"/>
        <v>8.7472999999999995E-2</v>
      </c>
      <c r="K26" s="66">
        <f t="shared" si="0"/>
        <v>7.5254699999999994E-2</v>
      </c>
      <c r="L26" s="66">
        <f t="shared" si="0"/>
        <v>7.2560700000000006E-2</v>
      </c>
      <c r="M26" s="66">
        <f t="shared" si="0"/>
        <v>8.0395300000000003E-2</v>
      </c>
      <c r="N26" s="67">
        <f>SUM(B26:M26)</f>
        <v>1.0000001000000001</v>
      </c>
      <c r="P26" s="67"/>
      <c r="Q26" s="67">
        <v>0.10649559883791562</v>
      </c>
      <c r="R26" s="67">
        <v>9.823949130796121E-2</v>
      </c>
      <c r="S26" s="21">
        <v>9.9215090336789949E-2</v>
      </c>
      <c r="T26" s="21"/>
    </row>
    <row r="27" spans="1:20">
      <c r="E27" s="67"/>
      <c r="P27" s="67"/>
      <c r="Q27" s="67">
        <v>8.4288830065392048E-2</v>
      </c>
      <c r="R27" s="67">
        <v>8.6899121131339824E-2</v>
      </c>
      <c r="S27" s="21">
        <v>9.1230953574440568E-2</v>
      </c>
      <c r="T27" s="21"/>
    </row>
    <row r="28" spans="1:20">
      <c r="E28" s="67"/>
      <c r="P28" s="67"/>
      <c r="Q28" s="67">
        <v>7.1292679035146911E-2</v>
      </c>
      <c r="R28" s="67">
        <v>7.7255285691092787E-2</v>
      </c>
      <c r="S28" s="21">
        <v>7.7216461554210788E-2</v>
      </c>
      <c r="T28" s="21"/>
    </row>
    <row r="29" spans="1:20">
      <c r="E29" s="67"/>
      <c r="P29" s="67"/>
      <c r="Q29" s="67">
        <v>6.9368723023555581E-2</v>
      </c>
      <c r="R29" s="67">
        <v>7.3792564213963463E-2</v>
      </c>
      <c r="S29" s="21">
        <v>7.4520306268678838E-2</v>
      </c>
      <c r="T29" s="21"/>
    </row>
    <row r="30" spans="1:20" ht="15" thickBot="1">
      <c r="B30" s="205" t="s">
        <v>83</v>
      </c>
      <c r="C30" s="205"/>
      <c r="D30" s="205"/>
      <c r="E30" s="205"/>
      <c r="F30" s="205"/>
      <c r="G30" s="205"/>
      <c r="H30" s="205"/>
      <c r="I30" s="205"/>
      <c r="J30" s="205"/>
      <c r="K30" s="205"/>
      <c r="L30" s="205"/>
      <c r="M30" s="205"/>
      <c r="P30" s="67"/>
      <c r="Q30" s="67">
        <v>7.6714882923353336E-2</v>
      </c>
      <c r="R30" s="67">
        <v>8.1799749468636038E-2</v>
      </c>
      <c r="S30" s="21">
        <v>8.2670984887046259E-2</v>
      </c>
      <c r="T30" s="21"/>
    </row>
    <row r="31" spans="1:20">
      <c r="E31" s="67"/>
      <c r="P31" s="21"/>
    </row>
    <row r="32" spans="1:20" ht="14.25">
      <c r="A32" s="1" t="s">
        <v>16</v>
      </c>
      <c r="B32" s="63" t="s">
        <v>32</v>
      </c>
      <c r="C32" s="63" t="s">
        <v>33</v>
      </c>
      <c r="D32" s="63" t="s">
        <v>34</v>
      </c>
      <c r="E32" s="63" t="s">
        <v>35</v>
      </c>
      <c r="F32" s="63" t="s">
        <v>36</v>
      </c>
      <c r="G32" s="63" t="s">
        <v>37</v>
      </c>
      <c r="H32" s="63" t="s">
        <v>38</v>
      </c>
      <c r="I32" s="63" t="s">
        <v>39</v>
      </c>
      <c r="J32" s="63" t="s">
        <v>40</v>
      </c>
      <c r="K32" s="63" t="s">
        <v>41</v>
      </c>
      <c r="L32" s="63" t="s">
        <v>42</v>
      </c>
      <c r="M32" s="63" t="s">
        <v>43</v>
      </c>
      <c r="N32" s="68" t="s">
        <v>11</v>
      </c>
    </row>
    <row r="33" spans="1:14">
      <c r="A33" s="1">
        <v>2014</v>
      </c>
      <c r="B33" s="2">
        <f>ROUND('Northwest Florida Forecast'!$J56*B$26,0)</f>
        <v>27397</v>
      </c>
      <c r="C33" s="2">
        <f>ROUND('Northwest Florida Forecast'!$J56*C$26,0)</f>
        <v>23078</v>
      </c>
      <c r="D33" s="2">
        <f>ROUND('Northwest Florida Forecast'!$J56*D$26,0)</f>
        <v>23291</v>
      </c>
      <c r="E33" s="2">
        <f>ROUND('Northwest Florida Forecast'!$J56*E$26,0)</f>
        <v>22627</v>
      </c>
      <c r="F33" s="2">
        <f>ROUND('Northwest Florida Forecast'!$J56*F$26,0)</f>
        <v>27000</v>
      </c>
      <c r="G33" s="2">
        <f>ROUND('Northwest Florida Forecast'!$J56*G$26,0)</f>
        <v>30522</v>
      </c>
      <c r="H33" s="2">
        <f>ROUND('Northwest Florida Forecast'!$J56*H$26,0)</f>
        <v>31692</v>
      </c>
      <c r="I33" s="2">
        <f>ROUND('Northwest Florida Forecast'!$J56*I$26,0)</f>
        <v>32256</v>
      </c>
      <c r="J33" s="2">
        <f>ROUND('Northwest Florida Forecast'!$J56*J$26,0)</f>
        <v>27848</v>
      </c>
      <c r="K33" s="2">
        <f>ROUND('Northwest Florida Forecast'!$J56*K$26,0)</f>
        <v>23958</v>
      </c>
      <c r="L33" s="2">
        <f>ROUND('Northwest Florida Forecast'!$J56*L$26,0)</f>
        <v>23101</v>
      </c>
      <c r="M33" s="2">
        <f>ROUND('Northwest Florida Forecast'!$J56*M$26,0)</f>
        <v>25595</v>
      </c>
      <c r="N33" s="2">
        <f t="shared" ref="N33:N52" si="1">SUM(B33:M33)</f>
        <v>318365</v>
      </c>
    </row>
    <row r="34" spans="1:14">
      <c r="A34" s="1">
        <f>A33+1</f>
        <v>2015</v>
      </c>
      <c r="B34" s="2">
        <f>ROUND('Northwest Florida Forecast'!$J57*B$26,0)</f>
        <v>27669</v>
      </c>
      <c r="C34" s="2">
        <f>ROUND('Northwest Florida Forecast'!$J57*C$26,0)</f>
        <v>23308</v>
      </c>
      <c r="D34" s="2">
        <f>ROUND('Northwest Florida Forecast'!$J57*D$26,0)</f>
        <v>23523</v>
      </c>
      <c r="E34" s="2">
        <f>ROUND('Northwest Florida Forecast'!$J57*E$26,0)</f>
        <v>22853</v>
      </c>
      <c r="F34" s="2">
        <f>ROUND('Northwest Florida Forecast'!$J57*F$26,0)</f>
        <v>27269</v>
      </c>
      <c r="G34" s="2">
        <f>ROUND('Northwest Florida Forecast'!$J57*G$26,0)</f>
        <v>30826</v>
      </c>
      <c r="H34" s="2">
        <f>ROUND('Northwest Florida Forecast'!$J57*H$26,0)</f>
        <v>32008</v>
      </c>
      <c r="I34" s="2">
        <f>ROUND('Northwest Florida Forecast'!$J57*I$26,0)</f>
        <v>32577</v>
      </c>
      <c r="J34" s="2">
        <f>ROUND('Northwest Florida Forecast'!$J57*J$26,0)</f>
        <v>28126</v>
      </c>
      <c r="K34" s="2">
        <f>ROUND('Northwest Florida Forecast'!$J57*K$26,0)</f>
        <v>24197</v>
      </c>
      <c r="L34" s="2">
        <f>ROUND('Northwest Florida Forecast'!$J57*L$26,0)</f>
        <v>23331</v>
      </c>
      <c r="M34" s="2">
        <f>ROUND('Northwest Florida Forecast'!$J57*M$26,0)</f>
        <v>25850</v>
      </c>
      <c r="N34" s="2">
        <f t="shared" si="1"/>
        <v>321537</v>
      </c>
    </row>
    <row r="35" spans="1:14">
      <c r="A35" s="1">
        <f t="shared" ref="A35:A53" si="2">A34+1</f>
        <v>2016</v>
      </c>
      <c r="B35" s="2">
        <f>ROUND('Northwest Florida Forecast'!$J58*B$26,0)</f>
        <v>27945</v>
      </c>
      <c r="C35" s="2">
        <f>ROUND('Northwest Florida Forecast'!$J58*C$26,0)</f>
        <v>23540</v>
      </c>
      <c r="D35" s="2">
        <f>ROUND('Northwest Florida Forecast'!$J58*D$26,0)</f>
        <v>23757</v>
      </c>
      <c r="E35" s="2">
        <f>ROUND('Northwest Florida Forecast'!$J58*E$26,0)</f>
        <v>23080</v>
      </c>
      <c r="F35" s="2">
        <f>ROUND('Northwest Florida Forecast'!$J58*F$26,0)</f>
        <v>27540</v>
      </c>
      <c r="G35" s="2">
        <f>ROUND('Northwest Florida Forecast'!$J58*G$26,0)</f>
        <v>31133</v>
      </c>
      <c r="H35" s="2">
        <f>ROUND('Northwest Florida Forecast'!$J58*H$26,0)</f>
        <v>32327</v>
      </c>
      <c r="I35" s="2">
        <f>ROUND('Northwest Florida Forecast'!$J58*I$26,0)</f>
        <v>32901</v>
      </c>
      <c r="J35" s="2">
        <f>ROUND('Northwest Florida Forecast'!$J58*J$26,0)</f>
        <v>28406</v>
      </c>
      <c r="K35" s="2">
        <f>ROUND('Northwest Florida Forecast'!$J58*K$26,0)</f>
        <v>24438</v>
      </c>
      <c r="L35" s="2">
        <f>ROUND('Northwest Florida Forecast'!$J58*L$26,0)</f>
        <v>23563</v>
      </c>
      <c r="M35" s="2">
        <f>ROUND('Northwest Florida Forecast'!$J58*M$26,0)</f>
        <v>26107</v>
      </c>
      <c r="N35" s="2">
        <f t="shared" si="1"/>
        <v>324737</v>
      </c>
    </row>
    <row r="36" spans="1:14">
      <c r="A36" s="1">
        <f t="shared" si="2"/>
        <v>2017</v>
      </c>
      <c r="B36" s="2">
        <f>ROUND('Northwest Florida Forecast'!$J59*B$26,0)</f>
        <v>28223</v>
      </c>
      <c r="C36" s="2">
        <f>ROUND('Northwest Florida Forecast'!$J59*C$26,0)</f>
        <v>23774</v>
      </c>
      <c r="D36" s="2">
        <f>ROUND('Northwest Florida Forecast'!$J59*D$26,0)</f>
        <v>23994</v>
      </c>
      <c r="E36" s="2">
        <f>ROUND('Northwest Florida Forecast'!$J59*E$26,0)</f>
        <v>23310</v>
      </c>
      <c r="F36" s="2">
        <f>ROUND('Northwest Florida Forecast'!$J59*F$26,0)</f>
        <v>27815</v>
      </c>
      <c r="G36" s="2">
        <f>ROUND('Northwest Florida Forecast'!$J59*G$26,0)</f>
        <v>31443</v>
      </c>
      <c r="H36" s="2">
        <f>ROUND('Northwest Florida Forecast'!$J59*H$26,0)</f>
        <v>32649</v>
      </c>
      <c r="I36" s="2">
        <f>ROUND('Northwest Florida Forecast'!$J59*I$26,0)</f>
        <v>33229</v>
      </c>
      <c r="J36" s="2">
        <f>ROUND('Northwest Florida Forecast'!$J59*J$26,0)</f>
        <v>28689</v>
      </c>
      <c r="K36" s="2">
        <f>ROUND('Northwest Florida Forecast'!$J59*K$26,0)</f>
        <v>24681</v>
      </c>
      <c r="L36" s="2">
        <f>ROUND('Northwest Florida Forecast'!$J59*L$26,0)</f>
        <v>23798</v>
      </c>
      <c r="M36" s="2">
        <f>ROUND('Northwest Florida Forecast'!$J59*M$26,0)</f>
        <v>26367</v>
      </c>
      <c r="N36" s="2">
        <f t="shared" si="1"/>
        <v>327972</v>
      </c>
    </row>
    <row r="37" spans="1:14">
      <c r="A37" s="1">
        <f t="shared" si="2"/>
        <v>2018</v>
      </c>
      <c r="B37" s="2">
        <f>ROUND('Northwest Florida Forecast'!$J60*B$26,0)</f>
        <v>28364</v>
      </c>
      <c r="C37" s="2">
        <f>ROUND('Northwest Florida Forecast'!$J60*C$26,0)</f>
        <v>23893</v>
      </c>
      <c r="D37" s="2">
        <f>ROUND('Northwest Florida Forecast'!$J60*D$26,0)</f>
        <v>24113</v>
      </c>
      <c r="E37" s="2">
        <f>ROUND('Northwest Florida Forecast'!$J60*E$26,0)</f>
        <v>23426</v>
      </c>
      <c r="F37" s="2">
        <f>ROUND('Northwest Florida Forecast'!$J60*F$26,0)</f>
        <v>27953</v>
      </c>
      <c r="G37" s="2">
        <f>ROUND('Northwest Florida Forecast'!$J60*G$26,0)</f>
        <v>31600</v>
      </c>
      <c r="H37" s="2">
        <f>ROUND('Northwest Florida Forecast'!$J60*H$26,0)</f>
        <v>32811</v>
      </c>
      <c r="I37" s="2">
        <f>ROUND('Northwest Florida Forecast'!$J60*I$26,0)</f>
        <v>33395</v>
      </c>
      <c r="J37" s="2">
        <f>ROUND('Northwest Florida Forecast'!$J60*J$26,0)</f>
        <v>28832</v>
      </c>
      <c r="K37" s="2">
        <f>ROUND('Northwest Florida Forecast'!$J60*K$26,0)</f>
        <v>24804</v>
      </c>
      <c r="L37" s="2">
        <f>ROUND('Northwest Florida Forecast'!$J60*L$26,0)</f>
        <v>23916</v>
      </c>
      <c r="M37" s="2">
        <f>ROUND('Northwest Florida Forecast'!$J60*M$26,0)</f>
        <v>26499</v>
      </c>
      <c r="N37" s="2">
        <f t="shared" si="1"/>
        <v>329606</v>
      </c>
    </row>
    <row r="38" spans="1:14">
      <c r="A38" s="1">
        <f t="shared" si="2"/>
        <v>2019</v>
      </c>
      <c r="B38" s="2">
        <f>ROUND('Northwest Florida Forecast'!$J61*B$26,0)</f>
        <v>28505</v>
      </c>
      <c r="C38" s="2">
        <f>ROUND('Northwest Florida Forecast'!$J61*C$26,0)</f>
        <v>24012</v>
      </c>
      <c r="D38" s="2">
        <f>ROUND('Northwest Florida Forecast'!$J61*D$26,0)</f>
        <v>24233</v>
      </c>
      <c r="E38" s="2">
        <f>ROUND('Northwest Florida Forecast'!$J61*E$26,0)</f>
        <v>23543</v>
      </c>
      <c r="F38" s="2">
        <f>ROUND('Northwest Florida Forecast'!$J61*F$26,0)</f>
        <v>28092</v>
      </c>
      <c r="G38" s="2">
        <f>ROUND('Northwest Florida Forecast'!$J61*G$26,0)</f>
        <v>31757</v>
      </c>
      <c r="H38" s="2">
        <f>ROUND('Northwest Florida Forecast'!$J61*H$26,0)</f>
        <v>32975</v>
      </c>
      <c r="I38" s="2">
        <f>ROUND('Northwest Florida Forecast'!$J61*I$26,0)</f>
        <v>33561</v>
      </c>
      <c r="J38" s="2">
        <f>ROUND('Northwest Florida Forecast'!$J61*J$26,0)</f>
        <v>28975</v>
      </c>
      <c r="K38" s="2">
        <f>ROUND('Northwest Florida Forecast'!$J61*K$26,0)</f>
        <v>24928</v>
      </c>
      <c r="L38" s="2">
        <f>ROUND('Northwest Florida Forecast'!$J61*L$26,0)</f>
        <v>24035</v>
      </c>
      <c r="M38" s="2">
        <f>ROUND('Northwest Florida Forecast'!$J61*M$26,0)</f>
        <v>26631</v>
      </c>
      <c r="N38" s="2">
        <f t="shared" si="1"/>
        <v>331247</v>
      </c>
    </row>
    <row r="39" spans="1:14">
      <c r="A39" s="1">
        <f t="shared" si="2"/>
        <v>2020</v>
      </c>
      <c r="B39" s="2">
        <f>ROUND('Northwest Florida Forecast'!$J62*B$26,0)</f>
        <v>28647</v>
      </c>
      <c r="C39" s="2">
        <f>ROUND('Northwest Florida Forecast'!$J62*C$26,0)</f>
        <v>24131</v>
      </c>
      <c r="D39" s="2">
        <f>ROUND('Northwest Florida Forecast'!$J62*D$26,0)</f>
        <v>24354</v>
      </c>
      <c r="E39" s="2">
        <f>ROUND('Northwest Florida Forecast'!$J62*E$26,0)</f>
        <v>23660</v>
      </c>
      <c r="F39" s="2">
        <f>ROUND('Northwest Florida Forecast'!$J62*F$26,0)</f>
        <v>28232</v>
      </c>
      <c r="G39" s="2">
        <f>ROUND('Northwest Florida Forecast'!$J62*G$26,0)</f>
        <v>31915</v>
      </c>
      <c r="H39" s="2">
        <f>ROUND('Northwest Florida Forecast'!$J62*H$26,0)</f>
        <v>33139</v>
      </c>
      <c r="I39" s="2">
        <f>ROUND('Northwest Florida Forecast'!$J62*I$26,0)</f>
        <v>33728</v>
      </c>
      <c r="J39" s="2">
        <f>ROUND('Northwest Florida Forecast'!$J62*J$26,0)</f>
        <v>29119</v>
      </c>
      <c r="K39" s="2">
        <f>ROUND('Northwest Florida Forecast'!$J62*K$26,0)</f>
        <v>25052</v>
      </c>
      <c r="L39" s="2">
        <f>ROUND('Northwest Florida Forecast'!$J62*L$26,0)</f>
        <v>24155</v>
      </c>
      <c r="M39" s="2">
        <f>ROUND('Northwest Florida Forecast'!$J62*M$26,0)</f>
        <v>26763</v>
      </c>
      <c r="N39" s="2">
        <f t="shared" si="1"/>
        <v>332895</v>
      </c>
    </row>
    <row r="40" spans="1:14">
      <c r="A40" s="1">
        <f t="shared" si="2"/>
        <v>2021</v>
      </c>
      <c r="B40" s="2">
        <f>ROUND('Northwest Florida Forecast'!$J63*B$26,0)</f>
        <v>28790</v>
      </c>
      <c r="C40" s="2">
        <f>ROUND('Northwest Florida Forecast'!$J63*C$26,0)</f>
        <v>24251</v>
      </c>
      <c r="D40" s="2">
        <f>ROUND('Northwest Florida Forecast'!$J63*D$26,0)</f>
        <v>24475</v>
      </c>
      <c r="E40" s="2">
        <f>ROUND('Northwest Florida Forecast'!$J63*E$26,0)</f>
        <v>23778</v>
      </c>
      <c r="F40" s="2">
        <f>ROUND('Northwest Florida Forecast'!$J63*F$26,0)</f>
        <v>28373</v>
      </c>
      <c r="G40" s="2">
        <f>ROUND('Northwest Florida Forecast'!$J63*G$26,0)</f>
        <v>32074</v>
      </c>
      <c r="H40" s="2">
        <f>ROUND('Northwest Florida Forecast'!$J63*H$26,0)</f>
        <v>33304</v>
      </c>
      <c r="I40" s="2">
        <f>ROUND('Northwest Florida Forecast'!$J63*I$26,0)</f>
        <v>33896</v>
      </c>
      <c r="J40" s="2">
        <f>ROUND('Northwest Florida Forecast'!$J63*J$26,0)</f>
        <v>29264</v>
      </c>
      <c r="K40" s="2">
        <f>ROUND('Northwest Florida Forecast'!$J63*K$26,0)</f>
        <v>25177</v>
      </c>
      <c r="L40" s="2">
        <f>ROUND('Northwest Florida Forecast'!$J63*L$26,0)</f>
        <v>24275</v>
      </c>
      <c r="M40" s="2">
        <f>ROUND('Northwest Florida Forecast'!$J63*M$26,0)</f>
        <v>26897</v>
      </c>
      <c r="N40" s="2">
        <f t="shared" si="1"/>
        <v>334554</v>
      </c>
    </row>
    <row r="41" spans="1:14">
      <c r="A41" s="1">
        <f t="shared" si="2"/>
        <v>2022</v>
      </c>
      <c r="B41" s="2">
        <f>ROUND('Northwest Florida Forecast'!$J64*B$26,0)</f>
        <v>28933</v>
      </c>
      <c r="C41" s="2">
        <f>ROUND('Northwest Florida Forecast'!$J64*C$26,0)</f>
        <v>24372</v>
      </c>
      <c r="D41" s="2">
        <f>ROUND('Northwest Florida Forecast'!$J64*D$26,0)</f>
        <v>24597</v>
      </c>
      <c r="E41" s="2">
        <f>ROUND('Northwest Florida Forecast'!$J64*E$26,0)</f>
        <v>23896</v>
      </c>
      <c r="F41" s="2">
        <f>ROUND('Northwest Florida Forecast'!$J64*F$26,0)</f>
        <v>28514</v>
      </c>
      <c r="G41" s="2">
        <f>ROUND('Northwest Florida Forecast'!$J64*G$26,0)</f>
        <v>32234</v>
      </c>
      <c r="H41" s="2">
        <f>ROUND('Northwest Florida Forecast'!$J64*H$26,0)</f>
        <v>33470</v>
      </c>
      <c r="I41" s="2">
        <f>ROUND('Northwest Florida Forecast'!$J64*I$26,0)</f>
        <v>34065</v>
      </c>
      <c r="J41" s="2">
        <f>ROUND('Northwest Florida Forecast'!$J64*J$26,0)</f>
        <v>29410</v>
      </c>
      <c r="K41" s="2">
        <f>ROUND('Northwest Florida Forecast'!$J64*K$26,0)</f>
        <v>25302</v>
      </c>
      <c r="L41" s="2">
        <f>ROUND('Northwest Florida Forecast'!$J64*L$26,0)</f>
        <v>24396</v>
      </c>
      <c r="M41" s="2">
        <f>ROUND('Northwest Florida Forecast'!$J64*M$26,0)</f>
        <v>27031</v>
      </c>
      <c r="N41" s="2">
        <f t="shared" si="1"/>
        <v>336220</v>
      </c>
    </row>
    <row r="42" spans="1:14">
      <c r="A42" s="1">
        <f t="shared" si="2"/>
        <v>2023</v>
      </c>
      <c r="B42" s="2">
        <f>ROUND('Northwest Florida Forecast'!$J65*B$26,0)</f>
        <v>29077</v>
      </c>
      <c r="C42" s="2">
        <f>ROUND('Northwest Florida Forecast'!$J65*C$26,0)</f>
        <v>24494</v>
      </c>
      <c r="D42" s="2">
        <f>ROUND('Northwest Florida Forecast'!$J65*D$26,0)</f>
        <v>24719</v>
      </c>
      <c r="E42" s="2">
        <f>ROUND('Northwest Florida Forecast'!$J65*E$26,0)</f>
        <v>24015</v>
      </c>
      <c r="F42" s="2">
        <f>ROUND('Northwest Florida Forecast'!$J65*F$26,0)</f>
        <v>28656</v>
      </c>
      <c r="G42" s="2">
        <f>ROUND('Northwest Florida Forecast'!$J65*G$26,0)</f>
        <v>32394</v>
      </c>
      <c r="H42" s="2">
        <f>ROUND('Northwest Florida Forecast'!$J65*H$26,0)</f>
        <v>33636</v>
      </c>
      <c r="I42" s="2">
        <f>ROUND('Northwest Florida Forecast'!$J65*I$26,0)</f>
        <v>34234</v>
      </c>
      <c r="J42" s="2">
        <f>ROUND('Northwest Florida Forecast'!$J65*J$26,0)</f>
        <v>29557</v>
      </c>
      <c r="K42" s="2">
        <f>ROUND('Northwest Florida Forecast'!$J65*K$26,0)</f>
        <v>25428</v>
      </c>
      <c r="L42" s="2">
        <f>ROUND('Northwest Florida Forecast'!$J65*L$26,0)</f>
        <v>24518</v>
      </c>
      <c r="M42" s="2">
        <f>ROUND('Northwest Florida Forecast'!$J65*M$26,0)</f>
        <v>27165</v>
      </c>
      <c r="N42" s="2">
        <f t="shared" si="1"/>
        <v>337893</v>
      </c>
    </row>
    <row r="43" spans="1:14">
      <c r="A43" s="1">
        <f t="shared" si="2"/>
        <v>2024</v>
      </c>
      <c r="B43" s="2">
        <f>ROUND('Northwest Florida Forecast'!$J66*B$26,0)</f>
        <v>29222</v>
      </c>
      <c r="C43" s="2">
        <f>ROUND('Northwest Florida Forecast'!$J66*C$26,0)</f>
        <v>24616</v>
      </c>
      <c r="D43" s="2">
        <f>ROUND('Northwest Florida Forecast'!$J66*D$26,0)</f>
        <v>24843</v>
      </c>
      <c r="E43" s="2">
        <f>ROUND('Northwest Florida Forecast'!$J66*E$26,0)</f>
        <v>24135</v>
      </c>
      <c r="F43" s="2">
        <f>ROUND('Northwest Florida Forecast'!$J66*F$26,0)</f>
        <v>28799</v>
      </c>
      <c r="G43" s="2">
        <f>ROUND('Northwest Florida Forecast'!$J66*G$26,0)</f>
        <v>32556</v>
      </c>
      <c r="H43" s="2">
        <f>ROUND('Northwest Florida Forecast'!$J66*H$26,0)</f>
        <v>33804</v>
      </c>
      <c r="I43" s="2">
        <f>ROUND('Northwest Florida Forecast'!$J66*I$26,0)</f>
        <v>34405</v>
      </c>
      <c r="J43" s="2">
        <f>ROUND('Northwest Florida Forecast'!$J66*J$26,0)</f>
        <v>29704</v>
      </c>
      <c r="K43" s="2">
        <f>ROUND('Northwest Florida Forecast'!$J66*K$26,0)</f>
        <v>25555</v>
      </c>
      <c r="L43" s="2">
        <f>ROUND('Northwest Florida Forecast'!$J66*L$26,0)</f>
        <v>24640</v>
      </c>
      <c r="M43" s="2">
        <f>ROUND('Northwest Florida Forecast'!$J66*M$26,0)</f>
        <v>27300</v>
      </c>
      <c r="N43" s="2">
        <f t="shared" si="1"/>
        <v>339579</v>
      </c>
    </row>
    <row r="44" spans="1:14">
      <c r="A44" s="1">
        <f t="shared" si="2"/>
        <v>2025</v>
      </c>
      <c r="B44" s="2">
        <f>ROUND('Northwest Florida Forecast'!$J67*B$26,0)</f>
        <v>29368</v>
      </c>
      <c r="C44" s="2">
        <f>ROUND('Northwest Florida Forecast'!$J67*C$26,0)</f>
        <v>24738</v>
      </c>
      <c r="D44" s="2">
        <f>ROUND('Northwest Florida Forecast'!$J67*D$26,0)</f>
        <v>24966</v>
      </c>
      <c r="E44" s="2">
        <f>ROUND('Northwest Florida Forecast'!$J67*E$26,0)</f>
        <v>24255</v>
      </c>
      <c r="F44" s="2">
        <f>ROUND('Northwest Florida Forecast'!$J67*F$26,0)</f>
        <v>28942</v>
      </c>
      <c r="G44" s="2">
        <f>ROUND('Northwest Florida Forecast'!$J67*G$26,0)</f>
        <v>32718</v>
      </c>
      <c r="H44" s="2">
        <f>ROUND('Northwest Florida Forecast'!$J67*H$26,0)</f>
        <v>33972</v>
      </c>
      <c r="I44" s="2">
        <f>ROUND('Northwest Florida Forecast'!$J67*I$26,0)</f>
        <v>34576</v>
      </c>
      <c r="J44" s="2">
        <f>ROUND('Northwest Florida Forecast'!$J67*J$26,0)</f>
        <v>29852</v>
      </c>
      <c r="K44" s="2">
        <f>ROUND('Northwest Florida Forecast'!$J67*K$26,0)</f>
        <v>25682</v>
      </c>
      <c r="L44" s="2">
        <f>ROUND('Northwest Florida Forecast'!$J67*L$26,0)</f>
        <v>24763</v>
      </c>
      <c r="M44" s="2">
        <f>ROUND('Northwest Florida Forecast'!$J67*M$26,0)</f>
        <v>27436</v>
      </c>
      <c r="N44" s="2">
        <f t="shared" si="1"/>
        <v>341268</v>
      </c>
    </row>
    <row r="45" spans="1:14">
      <c r="A45" s="1">
        <f t="shared" si="2"/>
        <v>2026</v>
      </c>
      <c r="B45" s="2">
        <f>ROUND('Northwest Florida Forecast'!$J68*B$26,0)</f>
        <v>29514</v>
      </c>
      <c r="C45" s="2">
        <f>ROUND('Northwest Florida Forecast'!$J68*C$26,0)</f>
        <v>24861</v>
      </c>
      <c r="D45" s="2">
        <f>ROUND('Northwest Florida Forecast'!$J68*D$26,0)</f>
        <v>25091</v>
      </c>
      <c r="E45" s="2">
        <f>ROUND('Northwest Florida Forecast'!$J68*E$26,0)</f>
        <v>24376</v>
      </c>
      <c r="F45" s="2">
        <f>ROUND('Northwest Florida Forecast'!$J68*F$26,0)</f>
        <v>29086</v>
      </c>
      <c r="G45" s="2">
        <f>ROUND('Northwest Florida Forecast'!$J68*G$26,0)</f>
        <v>32881</v>
      </c>
      <c r="H45" s="2">
        <f>ROUND('Northwest Florida Forecast'!$J68*H$26,0)</f>
        <v>34142</v>
      </c>
      <c r="I45" s="2">
        <f>ROUND('Northwest Florida Forecast'!$J68*I$26,0)</f>
        <v>34749</v>
      </c>
      <c r="J45" s="2">
        <f>ROUND('Northwest Florida Forecast'!$J68*J$26,0)</f>
        <v>30001</v>
      </c>
      <c r="K45" s="2">
        <f>ROUND('Northwest Florida Forecast'!$J68*K$26,0)</f>
        <v>25810</v>
      </c>
      <c r="L45" s="2">
        <f>ROUND('Northwest Florida Forecast'!$J68*L$26,0)</f>
        <v>24886</v>
      </c>
      <c r="M45" s="2">
        <f>ROUND('Northwest Florida Forecast'!$J68*M$26,0)</f>
        <v>27573</v>
      </c>
      <c r="N45" s="2">
        <f t="shared" si="1"/>
        <v>342970</v>
      </c>
    </row>
    <row r="46" spans="1:14">
      <c r="A46" s="1">
        <f t="shared" si="2"/>
        <v>2027</v>
      </c>
      <c r="B46" s="2">
        <f>ROUND('Northwest Florida Forecast'!$J69*B$26,0)</f>
        <v>29661</v>
      </c>
      <c r="C46" s="2">
        <f>ROUND('Northwest Florida Forecast'!$J69*C$26,0)</f>
        <v>24985</v>
      </c>
      <c r="D46" s="2">
        <f>ROUND('Northwest Florida Forecast'!$J69*D$26,0)</f>
        <v>25216</v>
      </c>
      <c r="E46" s="2">
        <f>ROUND('Northwest Florida Forecast'!$J69*E$26,0)</f>
        <v>24498</v>
      </c>
      <c r="F46" s="2">
        <f>ROUND('Northwest Florida Forecast'!$J69*F$26,0)</f>
        <v>29231</v>
      </c>
      <c r="G46" s="2">
        <f>ROUND('Northwest Florida Forecast'!$J69*G$26,0)</f>
        <v>33045</v>
      </c>
      <c r="H46" s="2">
        <f>ROUND('Northwest Florida Forecast'!$J69*H$26,0)</f>
        <v>34312</v>
      </c>
      <c r="I46" s="2">
        <f>ROUND('Northwest Florida Forecast'!$J69*I$26,0)</f>
        <v>34922</v>
      </c>
      <c r="J46" s="2">
        <f>ROUND('Northwest Florida Forecast'!$J69*J$26,0)</f>
        <v>30150</v>
      </c>
      <c r="K46" s="2">
        <f>ROUND('Northwest Florida Forecast'!$J69*K$26,0)</f>
        <v>25939</v>
      </c>
      <c r="L46" s="2">
        <f>ROUND('Northwest Florida Forecast'!$J69*L$26,0)</f>
        <v>25010</v>
      </c>
      <c r="M46" s="2">
        <f>ROUND('Northwest Florida Forecast'!$J69*M$26,0)</f>
        <v>27710</v>
      </c>
      <c r="N46" s="2">
        <f t="shared" si="1"/>
        <v>344679</v>
      </c>
    </row>
    <row r="47" spans="1:14">
      <c r="A47" s="1">
        <f t="shared" si="2"/>
        <v>2028</v>
      </c>
      <c r="B47" s="2">
        <f>ROUND('Northwest Florida Forecast'!$J70*B$26,0)</f>
        <v>29809</v>
      </c>
      <c r="C47" s="2">
        <f>ROUND('Northwest Florida Forecast'!$J70*C$26,0)</f>
        <v>25110</v>
      </c>
      <c r="D47" s="2">
        <f>ROUND('Northwest Florida Forecast'!$J70*D$26,0)</f>
        <v>25341</v>
      </c>
      <c r="E47" s="2">
        <f>ROUND('Northwest Florida Forecast'!$J70*E$26,0)</f>
        <v>24620</v>
      </c>
      <c r="F47" s="2">
        <f>ROUND('Northwest Florida Forecast'!$J70*F$26,0)</f>
        <v>29377</v>
      </c>
      <c r="G47" s="2">
        <f>ROUND('Northwest Florida Forecast'!$J70*G$26,0)</f>
        <v>33209</v>
      </c>
      <c r="H47" s="2">
        <f>ROUND('Northwest Florida Forecast'!$J70*H$26,0)</f>
        <v>34483</v>
      </c>
      <c r="I47" s="2">
        <f>ROUND('Northwest Florida Forecast'!$J70*I$26,0)</f>
        <v>35096</v>
      </c>
      <c r="J47" s="2">
        <f>ROUND('Northwest Florida Forecast'!$J70*J$26,0)</f>
        <v>30300</v>
      </c>
      <c r="K47" s="2">
        <f>ROUND('Northwest Florida Forecast'!$J70*K$26,0)</f>
        <v>26068</v>
      </c>
      <c r="L47" s="2">
        <f>ROUND('Northwest Florida Forecast'!$J70*L$26,0)</f>
        <v>25135</v>
      </c>
      <c r="M47" s="2">
        <f>ROUND('Northwest Florida Forecast'!$J70*M$26,0)</f>
        <v>27848</v>
      </c>
      <c r="N47" s="2">
        <f t="shared" si="1"/>
        <v>346396</v>
      </c>
    </row>
    <row r="48" spans="1:14">
      <c r="A48" s="1">
        <f t="shared" si="2"/>
        <v>2029</v>
      </c>
      <c r="B48" s="2">
        <f>ROUND('Northwest Florida Forecast'!$J71*B$26,0)</f>
        <v>29957</v>
      </c>
      <c r="C48" s="2">
        <f>ROUND('Northwest Florida Forecast'!$J71*C$26,0)</f>
        <v>25235</v>
      </c>
      <c r="D48" s="2">
        <f>ROUND('Northwest Florida Forecast'!$J71*D$26,0)</f>
        <v>25468</v>
      </c>
      <c r="E48" s="2">
        <f>ROUND('Northwest Florida Forecast'!$J71*E$26,0)</f>
        <v>24742</v>
      </c>
      <c r="F48" s="2">
        <f>ROUND('Northwest Florida Forecast'!$J71*F$26,0)</f>
        <v>29523</v>
      </c>
      <c r="G48" s="2">
        <f>ROUND('Northwest Florida Forecast'!$J71*G$26,0)</f>
        <v>33375</v>
      </c>
      <c r="H48" s="2">
        <f>ROUND('Northwest Florida Forecast'!$J71*H$26,0)</f>
        <v>34654</v>
      </c>
      <c r="I48" s="2">
        <f>ROUND('Northwest Florida Forecast'!$J71*I$26,0)</f>
        <v>35270</v>
      </c>
      <c r="J48" s="2">
        <f>ROUND('Northwest Florida Forecast'!$J71*J$26,0)</f>
        <v>30451</v>
      </c>
      <c r="K48" s="2">
        <f>ROUND('Northwest Florida Forecast'!$J71*K$26,0)</f>
        <v>26198</v>
      </c>
      <c r="L48" s="2">
        <f>ROUND('Northwest Florida Forecast'!$J71*L$26,0)</f>
        <v>25260</v>
      </c>
      <c r="M48" s="2">
        <f>ROUND('Northwest Florida Forecast'!$J71*M$26,0)</f>
        <v>27987</v>
      </c>
      <c r="N48" s="2">
        <f t="shared" si="1"/>
        <v>348120</v>
      </c>
    </row>
    <row r="49" spans="1:14">
      <c r="A49" s="1">
        <f t="shared" si="2"/>
        <v>2030</v>
      </c>
      <c r="B49" s="2">
        <f>ROUND('Northwest Florida Forecast'!$J72*B$26,0)</f>
        <v>30106</v>
      </c>
      <c r="C49" s="2">
        <f>ROUND('Northwest Florida Forecast'!$J72*C$26,0)</f>
        <v>25360</v>
      </c>
      <c r="D49" s="2">
        <f>ROUND('Northwest Florida Forecast'!$J72*D$26,0)</f>
        <v>25594</v>
      </c>
      <c r="E49" s="2">
        <f>ROUND('Northwest Florida Forecast'!$J72*E$26,0)</f>
        <v>24865</v>
      </c>
      <c r="F49" s="2">
        <f>ROUND('Northwest Florida Forecast'!$J72*F$26,0)</f>
        <v>29670</v>
      </c>
      <c r="G49" s="2">
        <f>ROUND('Northwest Florida Forecast'!$J72*G$26,0)</f>
        <v>33541</v>
      </c>
      <c r="H49" s="2">
        <f>ROUND('Northwest Florida Forecast'!$J72*H$26,0)</f>
        <v>34827</v>
      </c>
      <c r="I49" s="2">
        <f>ROUND('Northwest Florida Forecast'!$J72*I$26,0)</f>
        <v>35446</v>
      </c>
      <c r="J49" s="2">
        <f>ROUND('Northwest Florida Forecast'!$J72*J$26,0)</f>
        <v>30603</v>
      </c>
      <c r="K49" s="2">
        <f>ROUND('Northwest Florida Forecast'!$J72*K$26,0)</f>
        <v>26328</v>
      </c>
      <c r="L49" s="2">
        <f>ROUND('Northwest Florida Forecast'!$J72*L$26,0)</f>
        <v>25386</v>
      </c>
      <c r="M49" s="2">
        <f>ROUND('Northwest Florida Forecast'!$J72*M$26,0)</f>
        <v>28127</v>
      </c>
      <c r="N49" s="2">
        <f t="shared" si="1"/>
        <v>349853</v>
      </c>
    </row>
    <row r="50" spans="1:14">
      <c r="A50" s="1">
        <f t="shared" si="2"/>
        <v>2031</v>
      </c>
      <c r="B50" s="2">
        <f>ROUND('Northwest Florida Forecast'!$J73*B$26,0)</f>
        <v>30256</v>
      </c>
      <c r="C50" s="2">
        <f>ROUND('Northwest Florida Forecast'!$J73*C$26,0)</f>
        <v>25487</v>
      </c>
      <c r="D50" s="2">
        <f>ROUND('Northwest Florida Forecast'!$J73*D$26,0)</f>
        <v>25722</v>
      </c>
      <c r="E50" s="2">
        <f>ROUND('Northwest Florida Forecast'!$J73*E$26,0)</f>
        <v>24989</v>
      </c>
      <c r="F50" s="2">
        <f>ROUND('Northwest Florida Forecast'!$J73*F$26,0)</f>
        <v>29818</v>
      </c>
      <c r="G50" s="2">
        <f>ROUND('Northwest Florida Forecast'!$J73*G$26,0)</f>
        <v>33708</v>
      </c>
      <c r="H50" s="2">
        <f>ROUND('Northwest Florida Forecast'!$J73*H$26,0)</f>
        <v>35000</v>
      </c>
      <c r="I50" s="2">
        <f>ROUND('Northwest Florida Forecast'!$J73*I$26,0)</f>
        <v>35623</v>
      </c>
      <c r="J50" s="2">
        <f>ROUND('Northwest Florida Forecast'!$J73*J$26,0)</f>
        <v>30755</v>
      </c>
      <c r="K50" s="2">
        <f>ROUND('Northwest Florida Forecast'!$J73*K$26,0)</f>
        <v>26459</v>
      </c>
      <c r="L50" s="2">
        <f>ROUND('Northwest Florida Forecast'!$J73*L$26,0)</f>
        <v>25512</v>
      </c>
      <c r="M50" s="2">
        <f>ROUND('Northwest Florida Forecast'!$J73*M$26,0)</f>
        <v>28267</v>
      </c>
      <c r="N50" s="2">
        <f t="shared" si="1"/>
        <v>351596</v>
      </c>
    </row>
    <row r="51" spans="1:14">
      <c r="A51" s="1">
        <f t="shared" si="2"/>
        <v>2032</v>
      </c>
      <c r="B51" s="2">
        <f>ROUND('Northwest Florida Forecast'!$J74*B$26,0)</f>
        <v>30407</v>
      </c>
      <c r="C51" s="2">
        <f>ROUND('Northwest Florida Forecast'!$J74*C$26,0)</f>
        <v>25614</v>
      </c>
      <c r="D51" s="2">
        <f>ROUND('Northwest Florida Forecast'!$J74*D$26,0)</f>
        <v>25850</v>
      </c>
      <c r="E51" s="2">
        <f>ROUND('Northwest Florida Forecast'!$J74*E$26,0)</f>
        <v>25114</v>
      </c>
      <c r="F51" s="2">
        <f>ROUND('Northwest Florida Forecast'!$J74*F$26,0)</f>
        <v>29967</v>
      </c>
      <c r="G51" s="2">
        <f>ROUND('Northwest Florida Forecast'!$J74*G$26,0)</f>
        <v>33876</v>
      </c>
      <c r="H51" s="2">
        <f>ROUND('Northwest Florida Forecast'!$J74*H$26,0)</f>
        <v>35175</v>
      </c>
      <c r="I51" s="2">
        <f>ROUND('Northwest Florida Forecast'!$J74*I$26,0)</f>
        <v>35800</v>
      </c>
      <c r="J51" s="2">
        <f>ROUND('Northwest Florida Forecast'!$J74*J$26,0)</f>
        <v>30908</v>
      </c>
      <c r="K51" s="2">
        <f>ROUND('Northwest Florida Forecast'!$J74*K$26,0)</f>
        <v>26591</v>
      </c>
      <c r="L51" s="2">
        <f>ROUND('Northwest Florida Forecast'!$J74*L$26,0)</f>
        <v>25639</v>
      </c>
      <c r="M51" s="2">
        <f>ROUND('Northwest Florida Forecast'!$J74*M$26,0)</f>
        <v>28408</v>
      </c>
      <c r="N51" s="2">
        <f t="shared" si="1"/>
        <v>353349</v>
      </c>
    </row>
    <row r="52" spans="1:14">
      <c r="A52" s="1">
        <f t="shared" si="2"/>
        <v>2033</v>
      </c>
      <c r="B52" s="2">
        <f>ROUND('Northwest Florida Forecast'!$J75*B$26,0)</f>
        <v>30558</v>
      </c>
      <c r="C52" s="2">
        <f>ROUND('Northwest Florida Forecast'!$J75*C$26,0)</f>
        <v>25741</v>
      </c>
      <c r="D52" s="2">
        <f>ROUND('Northwest Florida Forecast'!$J75*D$26,0)</f>
        <v>25979</v>
      </c>
      <c r="E52" s="2">
        <f>ROUND('Northwest Florida Forecast'!$J75*E$26,0)</f>
        <v>25239</v>
      </c>
      <c r="F52" s="2">
        <f>ROUND('Northwest Florida Forecast'!$J75*F$26,0)</f>
        <v>30116</v>
      </c>
      <c r="G52" s="2">
        <f>ROUND('Northwest Florida Forecast'!$J75*G$26,0)</f>
        <v>34045</v>
      </c>
      <c r="H52" s="2">
        <f>ROUND('Northwest Florida Forecast'!$J75*H$26,0)</f>
        <v>35350</v>
      </c>
      <c r="I52" s="2">
        <f>ROUND('Northwest Florida Forecast'!$J75*I$26,0)</f>
        <v>35978</v>
      </c>
      <c r="J52" s="2">
        <f>ROUND('Northwest Florida Forecast'!$J75*J$26,0)</f>
        <v>31062</v>
      </c>
      <c r="K52" s="2">
        <f>ROUND('Northwest Florida Forecast'!$J75*K$26,0)</f>
        <v>26724</v>
      </c>
      <c r="L52" s="2">
        <f>ROUND('Northwest Florida Forecast'!$J75*L$26,0)</f>
        <v>25767</v>
      </c>
      <c r="M52" s="2">
        <f>ROUND('Northwest Florida Forecast'!$J75*M$26,0)</f>
        <v>28549</v>
      </c>
      <c r="N52" s="2">
        <f t="shared" si="1"/>
        <v>355108</v>
      </c>
    </row>
    <row r="53" spans="1:14">
      <c r="A53" s="1">
        <f t="shared" si="2"/>
        <v>2034</v>
      </c>
      <c r="B53" s="2">
        <f>ROUND('Northwest Florida Forecast'!$J76*B$26,0)</f>
        <v>30711</v>
      </c>
      <c r="C53" s="2">
        <f>ROUND('Northwest Florida Forecast'!$J76*C$26,0)</f>
        <v>25870</v>
      </c>
      <c r="D53" s="2">
        <f>ROUND('Northwest Florida Forecast'!$J76*D$26,0)</f>
        <v>26108</v>
      </c>
      <c r="E53" s="2">
        <f>ROUND('Northwest Florida Forecast'!$J76*E$26,0)</f>
        <v>25365</v>
      </c>
      <c r="F53" s="2">
        <f>ROUND('Northwest Florida Forecast'!$J76*F$26,0)</f>
        <v>30266</v>
      </c>
      <c r="G53" s="2">
        <f>ROUND('Northwest Florida Forecast'!$J76*G$26,0)</f>
        <v>34214</v>
      </c>
      <c r="H53" s="2">
        <f>ROUND('Northwest Florida Forecast'!$J76*H$26,0)</f>
        <v>35526</v>
      </c>
      <c r="I53" s="2">
        <f>ROUND('Northwest Florida Forecast'!$J76*I$26,0)</f>
        <v>36158</v>
      </c>
      <c r="J53" s="2">
        <f>ROUND('Northwest Florida Forecast'!$J76*J$26,0)</f>
        <v>31217</v>
      </c>
      <c r="K53" s="2">
        <f>ROUND('Northwest Florida Forecast'!$J76*K$26,0)</f>
        <v>26857</v>
      </c>
      <c r="L53" s="2">
        <f>ROUND('Northwest Florida Forecast'!$J76*L$26,0)</f>
        <v>25895</v>
      </c>
      <c r="M53" s="2">
        <f>ROUND('Northwest Florida Forecast'!$J76*M$26,0)</f>
        <v>28691</v>
      </c>
      <c r="N53" s="2">
        <f>SUM(B53:M53)</f>
        <v>356878</v>
      </c>
    </row>
    <row r="57" spans="1:14" ht="15" thickBot="1">
      <c r="B57" s="205" t="s">
        <v>46</v>
      </c>
      <c r="C57" s="205"/>
      <c r="D57" s="205"/>
      <c r="E57" s="205"/>
      <c r="F57" s="205"/>
      <c r="G57" s="205"/>
      <c r="H57" s="205"/>
      <c r="I57" s="205"/>
      <c r="J57" s="205"/>
      <c r="K57" s="205"/>
      <c r="L57" s="205"/>
      <c r="M57" s="205"/>
    </row>
    <row r="58" spans="1:14" ht="15"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</row>
    <row r="59" spans="1:14" ht="14.25">
      <c r="B59" s="63" t="s">
        <v>32</v>
      </c>
      <c r="C59" s="63" t="s">
        <v>33</v>
      </c>
      <c r="D59" s="63" t="s">
        <v>34</v>
      </c>
      <c r="E59" s="63" t="s">
        <v>35</v>
      </c>
      <c r="F59" s="63" t="s">
        <v>36</v>
      </c>
      <c r="G59" s="63" t="s">
        <v>37</v>
      </c>
      <c r="H59" s="63" t="s">
        <v>38</v>
      </c>
      <c r="I59" s="63" t="s">
        <v>39</v>
      </c>
      <c r="J59" s="63" t="s">
        <v>40</v>
      </c>
      <c r="K59" s="63" t="s">
        <v>41</v>
      </c>
      <c r="L59" s="63" t="s">
        <v>42</v>
      </c>
      <c r="M59" s="63" t="s">
        <v>43</v>
      </c>
    </row>
    <row r="60" spans="1:14">
      <c r="A60" s="64" t="s">
        <v>45</v>
      </c>
      <c r="B60" s="65">
        <v>0.51827999999999996</v>
      </c>
      <c r="C60" s="65">
        <v>0.52127999999999997</v>
      </c>
      <c r="D60" s="65">
        <v>0.55079999999999996</v>
      </c>
      <c r="E60" s="65">
        <v>0.56911999999999996</v>
      </c>
      <c r="F60" s="65">
        <v>0.57367999999999997</v>
      </c>
      <c r="G60" s="65">
        <v>0.58433999999999997</v>
      </c>
      <c r="H60" s="65">
        <v>0.59945999999999999</v>
      </c>
      <c r="I60" s="65">
        <v>0.63322999999999996</v>
      </c>
      <c r="J60" s="65">
        <v>0.63317999999999997</v>
      </c>
      <c r="K60" s="65">
        <v>0.62497999999999998</v>
      </c>
      <c r="L60" s="65">
        <v>0.53873000000000004</v>
      </c>
      <c r="M60" s="65">
        <v>0.52576000000000001</v>
      </c>
      <c r="N60" s="21"/>
    </row>
    <row r="61" spans="1:14">
      <c r="A61" s="64"/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21"/>
    </row>
    <row r="62" spans="1:14">
      <c r="A62" s="64"/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21"/>
    </row>
    <row r="63" spans="1:14" ht="15" thickBot="1">
      <c r="B63" s="205" t="s">
        <v>64</v>
      </c>
      <c r="C63" s="205"/>
      <c r="D63" s="205"/>
      <c r="E63" s="205"/>
      <c r="F63" s="205"/>
      <c r="G63" s="205"/>
      <c r="H63" s="205"/>
      <c r="I63" s="205"/>
      <c r="J63" s="205"/>
      <c r="K63" s="205"/>
      <c r="L63" s="205"/>
      <c r="M63" s="205"/>
    </row>
    <row r="64" spans="1:14" ht="14.25">
      <c r="B64" s="63" t="s">
        <v>32</v>
      </c>
      <c r="C64" s="63" t="s">
        <v>33</v>
      </c>
      <c r="D64" s="63" t="s">
        <v>34</v>
      </c>
      <c r="E64" s="63" t="s">
        <v>35</v>
      </c>
      <c r="F64" s="63" t="s">
        <v>36</v>
      </c>
      <c r="G64" s="63" t="s">
        <v>37</v>
      </c>
      <c r="H64" s="63" t="s">
        <v>38</v>
      </c>
      <c r="I64" s="63" t="s">
        <v>39</v>
      </c>
      <c r="J64" s="63" t="s">
        <v>40</v>
      </c>
      <c r="K64" s="63" t="s">
        <v>41</v>
      </c>
      <c r="L64" s="63" t="s">
        <v>42</v>
      </c>
      <c r="M64" s="63" t="s">
        <v>43</v>
      </c>
    </row>
    <row r="65" spans="1:20">
      <c r="A65" s="64" t="s">
        <v>45</v>
      </c>
      <c r="B65" s="66">
        <f>ROUND($Q73,6)</f>
        <v>0.53532000000000002</v>
      </c>
      <c r="C65" s="66">
        <f>ROUND($Q74,6)</f>
        <v>0.59477000000000002</v>
      </c>
      <c r="D65" s="66">
        <f>ROUND($Q75,6)</f>
        <v>0.6452</v>
      </c>
      <c r="E65" s="66">
        <f>ROUND($Q76,6)</f>
        <v>0.61058999999999997</v>
      </c>
      <c r="F65" s="66">
        <f>ROUND($Q77,6)</f>
        <v>0.58892</v>
      </c>
      <c r="G65" s="66">
        <f>ROUND($Q78,6)</f>
        <v>0.65151000000000003</v>
      </c>
      <c r="H65" s="66">
        <f>ROUND($Q79,6)</f>
        <v>0.66979999999999995</v>
      </c>
      <c r="I65" s="66">
        <f>ROUND($Q80,6)</f>
        <v>0.67825999999999997</v>
      </c>
      <c r="J65" s="66">
        <f>ROUND($Q81,6)</f>
        <v>0.61311000000000004</v>
      </c>
      <c r="K65" s="66">
        <f>ROUND($Q82,6)</f>
        <v>0.67798999999999998</v>
      </c>
      <c r="L65" s="66">
        <f>ROUND($Q83,6)</f>
        <v>0.62673999999999996</v>
      </c>
      <c r="M65" s="66">
        <f>ROUND($Q84,6)</f>
        <v>0.55220999999999998</v>
      </c>
      <c r="N65" s="21"/>
    </row>
    <row r="68" spans="1:20" ht="15" thickBot="1">
      <c r="B68" s="205" t="s">
        <v>87</v>
      </c>
      <c r="C68" s="205"/>
      <c r="D68" s="205"/>
      <c r="E68" s="205"/>
      <c r="F68" s="205"/>
      <c r="G68" s="205"/>
      <c r="H68" s="205"/>
      <c r="I68" s="205"/>
      <c r="J68" s="205"/>
      <c r="K68" s="205"/>
      <c r="L68" s="205"/>
      <c r="M68" s="205"/>
    </row>
    <row r="69" spans="1:20" ht="14.25">
      <c r="B69" s="63" t="s">
        <v>32</v>
      </c>
      <c r="C69" s="63" t="s">
        <v>33</v>
      </c>
      <c r="D69" s="63" t="s">
        <v>34</v>
      </c>
      <c r="E69" s="63" t="s">
        <v>35</v>
      </c>
      <c r="F69" s="63" t="s">
        <v>36</v>
      </c>
      <c r="G69" s="63" t="s">
        <v>37</v>
      </c>
      <c r="H69" s="63" t="s">
        <v>38</v>
      </c>
      <c r="I69" s="63" t="s">
        <v>39</v>
      </c>
      <c r="J69" s="63" t="s">
        <v>40</v>
      </c>
      <c r="K69" s="63" t="s">
        <v>41</v>
      </c>
      <c r="L69" s="63" t="s">
        <v>42</v>
      </c>
      <c r="M69" s="63" t="s">
        <v>43</v>
      </c>
    </row>
    <row r="70" spans="1:20">
      <c r="A70" s="64" t="s">
        <v>45</v>
      </c>
      <c r="B70" s="66">
        <f>ROUND($R73,6)</f>
        <v>0.48202</v>
      </c>
      <c r="C70" s="66">
        <f>ROUND($R74,6)</f>
        <v>0.50029999999999997</v>
      </c>
      <c r="D70" s="66">
        <f>ROUND($R75,6)</f>
        <v>0.70265999999999995</v>
      </c>
      <c r="E70" s="66">
        <f>ROUND($R76,6)</f>
        <v>0.57362999999999997</v>
      </c>
      <c r="F70" s="66">
        <f>ROUND($R77,6)</f>
        <v>0.60975000000000001</v>
      </c>
      <c r="G70" s="66">
        <f>ROUND($R78,6)</f>
        <v>0.63829000000000002</v>
      </c>
      <c r="H70" s="66">
        <f>ROUND($R79,6)</f>
        <v>0.66164000000000001</v>
      </c>
      <c r="I70" s="66">
        <f>ROUND($R80,6)</f>
        <v>0.63278000000000001</v>
      </c>
      <c r="J70" s="66">
        <f>ROUND($R81,6)</f>
        <v>0.63288999999999995</v>
      </c>
      <c r="K70" s="66">
        <f>ROUND($R82,6)</f>
        <v>0.66578000000000004</v>
      </c>
      <c r="L70" s="66">
        <f>ROUND($R83,6)</f>
        <v>0.65212999999999999</v>
      </c>
      <c r="M70" s="66">
        <f>ROUND($R84,6)</f>
        <v>0.60514999999999997</v>
      </c>
      <c r="N70" s="21"/>
    </row>
    <row r="72" spans="1:20">
      <c r="Q72" s="1">
        <v>2011</v>
      </c>
      <c r="R72" s="69">
        <v>2012</v>
      </c>
      <c r="S72" s="69">
        <v>2013</v>
      </c>
      <c r="T72" s="69"/>
    </row>
    <row r="73" spans="1:20" ht="15" thickBot="1">
      <c r="B73" s="205" t="s">
        <v>88</v>
      </c>
      <c r="C73" s="205"/>
      <c r="D73" s="205"/>
      <c r="E73" s="205"/>
      <c r="F73" s="205"/>
      <c r="G73" s="205"/>
      <c r="H73" s="205"/>
      <c r="I73" s="205"/>
      <c r="J73" s="205"/>
      <c r="K73" s="205"/>
      <c r="L73" s="205"/>
      <c r="M73" s="205"/>
      <c r="P73" s="67"/>
      <c r="Q73" s="67">
        <v>0.53532000000000002</v>
      </c>
      <c r="R73" s="67">
        <v>0.48202</v>
      </c>
      <c r="S73" s="67">
        <v>0.58164000000000005</v>
      </c>
      <c r="T73" s="67"/>
    </row>
    <row r="74" spans="1:20" ht="14.25">
      <c r="B74" s="63" t="s">
        <v>32</v>
      </c>
      <c r="C74" s="63" t="s">
        <v>33</v>
      </c>
      <c r="D74" s="63" t="s">
        <v>34</v>
      </c>
      <c r="E74" s="63" t="s">
        <v>35</v>
      </c>
      <c r="F74" s="63" t="s">
        <v>36</v>
      </c>
      <c r="G74" s="63" t="s">
        <v>37</v>
      </c>
      <c r="H74" s="63" t="s">
        <v>38</v>
      </c>
      <c r="I74" s="63" t="s">
        <v>39</v>
      </c>
      <c r="J74" s="63" t="s">
        <v>40</v>
      </c>
      <c r="K74" s="63" t="s">
        <v>41</v>
      </c>
      <c r="L74" s="63" t="s">
        <v>42</v>
      </c>
      <c r="M74" s="63" t="s">
        <v>43</v>
      </c>
      <c r="P74" s="67"/>
      <c r="Q74" s="67">
        <v>0.59477000000000002</v>
      </c>
      <c r="R74" s="67">
        <v>0.50029999999999997</v>
      </c>
      <c r="S74" s="67">
        <v>0.55259999999999998</v>
      </c>
      <c r="T74" s="67"/>
    </row>
    <row r="75" spans="1:20">
      <c r="A75" s="64" t="s">
        <v>45</v>
      </c>
      <c r="B75" s="66">
        <f>ROUND($S73,6)</f>
        <v>0.58164000000000005</v>
      </c>
      <c r="C75" s="66">
        <f>ROUND($S74,6)</f>
        <v>0.55259999999999998</v>
      </c>
      <c r="D75" s="66">
        <f>ROUND($S75,6)</f>
        <v>0.53264999999999996</v>
      </c>
      <c r="E75" s="66">
        <f>ROUND($S76,6)</f>
        <v>0.66715999999999998</v>
      </c>
      <c r="F75" s="66">
        <f>ROUND($S77,6)</f>
        <v>0.59943000000000002</v>
      </c>
      <c r="G75" s="66">
        <f>ROUND($S78,6)</f>
        <v>0.63817000000000002</v>
      </c>
      <c r="H75" s="66">
        <f>ROUND($S79,6)</f>
        <v>0.64188000000000001</v>
      </c>
      <c r="I75" s="66">
        <f>ROUND($S80,6)</f>
        <v>0.64590999999999998</v>
      </c>
      <c r="J75" s="66">
        <f>ROUND($S81,6)</f>
        <v>0.63424000000000003</v>
      </c>
      <c r="K75" s="66">
        <f>ROUND($S82,6)</f>
        <v>0.58379999999999999</v>
      </c>
      <c r="L75" s="66">
        <f>ROUND($S83,6)</f>
        <v>0.59352000000000005</v>
      </c>
      <c r="M75" s="66">
        <f>ROUND($S84,6)</f>
        <v>0.59131999999999996</v>
      </c>
      <c r="N75" s="21"/>
      <c r="P75" s="67"/>
      <c r="Q75" s="67">
        <v>0.6452</v>
      </c>
      <c r="R75" s="67">
        <v>0.70265999999999995</v>
      </c>
      <c r="S75" s="67">
        <v>0.53264999999999996</v>
      </c>
      <c r="T75" s="67"/>
    </row>
    <row r="76" spans="1:20">
      <c r="P76" s="67"/>
      <c r="Q76" s="67">
        <v>0.61058999999999997</v>
      </c>
      <c r="R76" s="67">
        <v>0.57362999999999997</v>
      </c>
      <c r="S76" s="67">
        <v>0.66715999999999998</v>
      </c>
      <c r="T76" s="67"/>
    </row>
    <row r="77" spans="1:20"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P77" s="67"/>
      <c r="Q77" s="67">
        <v>0.58892</v>
      </c>
      <c r="R77" s="67">
        <v>0.60975000000000001</v>
      </c>
      <c r="S77" s="67">
        <v>0.59943000000000002</v>
      </c>
      <c r="T77" s="67"/>
    </row>
    <row r="78" spans="1:20" ht="15" thickBot="1">
      <c r="B78" s="205" t="s">
        <v>89</v>
      </c>
      <c r="C78" s="205"/>
      <c r="D78" s="205"/>
      <c r="E78" s="205"/>
      <c r="F78" s="205"/>
      <c r="G78" s="205"/>
      <c r="H78" s="205"/>
      <c r="I78" s="205"/>
      <c r="J78" s="205"/>
      <c r="K78" s="205"/>
      <c r="L78" s="205"/>
      <c r="M78" s="205"/>
      <c r="P78" s="67"/>
      <c r="Q78" s="67">
        <v>0.65151000000000003</v>
      </c>
      <c r="R78" s="67">
        <v>0.63829000000000002</v>
      </c>
      <c r="S78" s="67">
        <v>0.63817000000000002</v>
      </c>
      <c r="T78" s="67"/>
    </row>
    <row r="79" spans="1:20" ht="14.25">
      <c r="B79" s="63" t="s">
        <v>32</v>
      </c>
      <c r="C79" s="63" t="s">
        <v>33</v>
      </c>
      <c r="D79" s="63" t="s">
        <v>34</v>
      </c>
      <c r="E79" s="63" t="s">
        <v>35</v>
      </c>
      <c r="F79" s="63" t="s">
        <v>36</v>
      </c>
      <c r="G79" s="63" t="s">
        <v>37</v>
      </c>
      <c r="H79" s="63" t="s">
        <v>38</v>
      </c>
      <c r="I79" s="63" t="s">
        <v>39</v>
      </c>
      <c r="J79" s="63" t="s">
        <v>40</v>
      </c>
      <c r="K79" s="63" t="s">
        <v>41</v>
      </c>
      <c r="L79" s="63" t="s">
        <v>42</v>
      </c>
      <c r="M79" s="63" t="s">
        <v>43</v>
      </c>
      <c r="P79" s="67"/>
      <c r="Q79" s="67">
        <v>0.66979999999999995</v>
      </c>
      <c r="R79" s="67">
        <v>0.66164000000000001</v>
      </c>
      <c r="S79" s="67">
        <v>0.64188000000000001</v>
      </c>
      <c r="T79" s="67"/>
    </row>
    <row r="80" spans="1:20">
      <c r="A80" s="64" t="s">
        <v>45</v>
      </c>
      <c r="B80" s="65">
        <f>ROUND(AVERAGE(B65,B70,B75),4)</f>
        <v>0.53300000000000003</v>
      </c>
      <c r="C80" s="65">
        <f t="shared" ref="C80:M80" si="3">ROUND(AVERAGE(C65,C70,C75),4)</f>
        <v>0.54920000000000002</v>
      </c>
      <c r="D80" s="65">
        <f t="shared" si="3"/>
        <v>0.62680000000000002</v>
      </c>
      <c r="E80" s="65">
        <f t="shared" si="3"/>
        <v>0.61709999999999998</v>
      </c>
      <c r="F80" s="65">
        <f t="shared" si="3"/>
        <v>0.59940000000000004</v>
      </c>
      <c r="G80" s="65">
        <f t="shared" si="3"/>
        <v>0.64270000000000005</v>
      </c>
      <c r="H80" s="65">
        <f t="shared" si="3"/>
        <v>0.65780000000000005</v>
      </c>
      <c r="I80" s="65">
        <f t="shared" si="3"/>
        <v>0.65229999999999999</v>
      </c>
      <c r="J80" s="65">
        <f t="shared" si="3"/>
        <v>0.62670000000000003</v>
      </c>
      <c r="K80" s="65">
        <f t="shared" si="3"/>
        <v>0.64249999999999996</v>
      </c>
      <c r="L80" s="65">
        <f t="shared" si="3"/>
        <v>0.62409999999999999</v>
      </c>
      <c r="M80" s="65">
        <f t="shared" si="3"/>
        <v>0.58289999999999997</v>
      </c>
      <c r="N80" s="65"/>
      <c r="P80" s="67"/>
      <c r="Q80" s="67">
        <v>0.67825999999999997</v>
      </c>
      <c r="R80" s="67">
        <v>0.63278000000000001</v>
      </c>
      <c r="S80" s="67">
        <v>0.64590999999999998</v>
      </c>
      <c r="T80" s="67"/>
    </row>
    <row r="81" spans="1:20">
      <c r="E81" s="67"/>
      <c r="P81" s="67"/>
      <c r="Q81" s="67">
        <v>0.61311000000000004</v>
      </c>
      <c r="R81" s="67">
        <v>0.63288999999999995</v>
      </c>
      <c r="S81" s="67">
        <v>0.63424000000000003</v>
      </c>
      <c r="T81" s="67"/>
    </row>
    <row r="82" spans="1:20">
      <c r="E82" s="67"/>
      <c r="P82" s="67"/>
      <c r="Q82" s="67">
        <v>0.67798999999999998</v>
      </c>
      <c r="R82" s="67">
        <v>0.66578000000000004</v>
      </c>
      <c r="S82" s="67">
        <v>0.58379999999999999</v>
      </c>
      <c r="T82" s="67"/>
    </row>
    <row r="83" spans="1:20">
      <c r="P83" s="67"/>
      <c r="Q83" s="67">
        <v>0.62673999999999996</v>
      </c>
      <c r="R83" s="67">
        <v>0.65212999999999999</v>
      </c>
      <c r="S83" s="67">
        <v>0.59352000000000005</v>
      </c>
      <c r="T83" s="67"/>
    </row>
    <row r="84" spans="1:20" ht="15" thickBot="1">
      <c r="B84" s="205" t="s">
        <v>92</v>
      </c>
      <c r="C84" s="205"/>
      <c r="D84" s="205"/>
      <c r="E84" s="205"/>
      <c r="F84" s="205"/>
      <c r="G84" s="205"/>
      <c r="H84" s="205"/>
      <c r="I84" s="205"/>
      <c r="J84" s="205"/>
      <c r="K84" s="205"/>
      <c r="L84" s="205"/>
      <c r="M84" s="205"/>
      <c r="P84" s="67"/>
      <c r="Q84" s="67">
        <v>0.55220999999999998</v>
      </c>
      <c r="R84" s="67">
        <v>0.60514999999999997</v>
      </c>
      <c r="S84" s="67">
        <v>0.59131999999999996</v>
      </c>
      <c r="T84" s="67"/>
    </row>
    <row r="85" spans="1:20" ht="14.25">
      <c r="E85" s="67"/>
      <c r="N85" s="80" t="s">
        <v>57</v>
      </c>
      <c r="O85" s="80" t="s">
        <v>54</v>
      </c>
      <c r="P85" s="67"/>
      <c r="Q85" s="67"/>
      <c r="R85" s="67"/>
      <c r="S85" s="67"/>
    </row>
    <row r="86" spans="1:20" ht="14.25">
      <c r="A86" s="1" t="s">
        <v>16</v>
      </c>
      <c r="B86" s="63" t="s">
        <v>32</v>
      </c>
      <c r="C86" s="63" t="s">
        <v>33</v>
      </c>
      <c r="D86" s="63" t="s">
        <v>34</v>
      </c>
      <c r="E86" s="63" t="s">
        <v>35</v>
      </c>
      <c r="F86" s="63" t="s">
        <v>36</v>
      </c>
      <c r="G86" s="63" t="s">
        <v>37</v>
      </c>
      <c r="H86" s="63" t="s">
        <v>38</v>
      </c>
      <c r="I86" s="63" t="s">
        <v>39</v>
      </c>
      <c r="J86" s="63" t="s">
        <v>40</v>
      </c>
      <c r="K86" s="63" t="s">
        <v>41</v>
      </c>
      <c r="L86" s="63" t="s">
        <v>42</v>
      </c>
      <c r="M86" s="63" t="s">
        <v>43</v>
      </c>
      <c r="N86" s="68" t="s">
        <v>47</v>
      </c>
      <c r="O86" s="68" t="s">
        <v>47</v>
      </c>
      <c r="P86" s="67"/>
      <c r="Q86" s="67"/>
      <c r="R86" s="67"/>
    </row>
    <row r="87" spans="1:20">
      <c r="A87" s="1">
        <v>2014</v>
      </c>
      <c r="B87" s="2">
        <f t="shared" ref="B87:B107" si="4">ROUND(((B33*1000)/(B$80*24*31)),0)</f>
        <v>69088</v>
      </c>
      <c r="C87" s="2">
        <f t="shared" ref="C87:C107" si="5">ROUND(((C33*1000)/(C$80*24*28)),0)</f>
        <v>62531</v>
      </c>
      <c r="D87" s="2">
        <f t="shared" ref="D87:D107" si="6">ROUND(((D33*1000)/(D$80*24*31)),0)</f>
        <v>49944</v>
      </c>
      <c r="E87" s="2">
        <f t="shared" ref="E87:E107" si="7">ROUND(((E33*1000)/(E$80*24*30)),0)</f>
        <v>50926</v>
      </c>
      <c r="F87" s="2">
        <f t="shared" ref="F87:F107" si="8">ROUND(((F33*1000)/(F$80*24*31)),0)</f>
        <v>60544</v>
      </c>
      <c r="G87" s="2">
        <f t="shared" ref="G87:G107" si="9">ROUND(((G33*1000)/(G$80*24*30)),0)</f>
        <v>65959</v>
      </c>
      <c r="H87" s="2">
        <f t="shared" ref="H87:I107" si="10">ROUND(((H33*1000)/(H$80*24*31)),0)</f>
        <v>64756</v>
      </c>
      <c r="I87" s="2">
        <f t="shared" si="10"/>
        <v>66465</v>
      </c>
      <c r="J87" s="2">
        <f t="shared" ref="J87:J107" si="11">ROUND(((J33*1000)/(J$80*24*30)),0)</f>
        <v>61717</v>
      </c>
      <c r="K87" s="2">
        <f t="shared" ref="K87:K107" si="12">ROUND(((K33*1000)/(K$80*24*31)),0)</f>
        <v>50119</v>
      </c>
      <c r="L87" s="2">
        <f t="shared" ref="L87:L107" si="13">ROUND(((L33*1000)/(L$80*24*30)),0)</f>
        <v>51410</v>
      </c>
      <c r="M87" s="2">
        <f t="shared" ref="M87:M107" si="14">ROUND(((M33*1000)/(M$80*24*31)),0)</f>
        <v>59018</v>
      </c>
      <c r="N87" s="2">
        <f t="shared" ref="N87:N106" si="15">MAX(B87:M87)</f>
        <v>69088</v>
      </c>
      <c r="O87" s="2">
        <f>MAX(G87:J87)</f>
        <v>66465</v>
      </c>
    </row>
    <row r="88" spans="1:20">
      <c r="A88" s="1">
        <f>A87+1</f>
        <v>2015</v>
      </c>
      <c r="B88" s="2">
        <f t="shared" si="4"/>
        <v>69774</v>
      </c>
      <c r="C88" s="2">
        <f t="shared" si="5"/>
        <v>63155</v>
      </c>
      <c r="D88" s="2">
        <f t="shared" si="6"/>
        <v>50442</v>
      </c>
      <c r="E88" s="2">
        <f t="shared" si="7"/>
        <v>51435</v>
      </c>
      <c r="F88" s="2">
        <f t="shared" si="8"/>
        <v>61148</v>
      </c>
      <c r="G88" s="2">
        <f t="shared" si="9"/>
        <v>66616</v>
      </c>
      <c r="H88" s="2">
        <f t="shared" si="10"/>
        <v>65402</v>
      </c>
      <c r="I88" s="2">
        <f t="shared" si="10"/>
        <v>67126</v>
      </c>
      <c r="J88" s="2">
        <f t="shared" si="11"/>
        <v>62333</v>
      </c>
      <c r="K88" s="2">
        <f t="shared" si="12"/>
        <v>50619</v>
      </c>
      <c r="L88" s="2">
        <f t="shared" si="13"/>
        <v>51921</v>
      </c>
      <c r="M88" s="2">
        <f t="shared" si="14"/>
        <v>59606</v>
      </c>
      <c r="N88" s="2">
        <f t="shared" si="15"/>
        <v>69774</v>
      </c>
      <c r="O88" s="2">
        <f t="shared" ref="O88:O107" si="16">MAX(G88:J88)</f>
        <v>67126</v>
      </c>
    </row>
    <row r="89" spans="1:20">
      <c r="A89" s="1">
        <f t="shared" ref="A89:A107" si="17">A88+1</f>
        <v>2016</v>
      </c>
      <c r="B89" s="2">
        <f t="shared" si="4"/>
        <v>70470</v>
      </c>
      <c r="C89" s="2">
        <f t="shared" si="5"/>
        <v>63783</v>
      </c>
      <c r="D89" s="2">
        <f t="shared" si="6"/>
        <v>50944</v>
      </c>
      <c r="E89" s="2">
        <f t="shared" si="7"/>
        <v>51945</v>
      </c>
      <c r="F89" s="2">
        <f t="shared" si="8"/>
        <v>61755</v>
      </c>
      <c r="G89" s="2">
        <f t="shared" si="9"/>
        <v>67279</v>
      </c>
      <c r="H89" s="2">
        <f t="shared" si="10"/>
        <v>66054</v>
      </c>
      <c r="I89" s="2">
        <f t="shared" si="10"/>
        <v>67794</v>
      </c>
      <c r="J89" s="2">
        <f t="shared" si="11"/>
        <v>62953</v>
      </c>
      <c r="K89" s="2">
        <f t="shared" si="12"/>
        <v>51123</v>
      </c>
      <c r="L89" s="2">
        <f t="shared" si="13"/>
        <v>52438</v>
      </c>
      <c r="M89" s="2">
        <f t="shared" si="14"/>
        <v>60199</v>
      </c>
      <c r="N89" s="2">
        <f t="shared" si="15"/>
        <v>70470</v>
      </c>
      <c r="O89" s="2">
        <f t="shared" si="16"/>
        <v>67794</v>
      </c>
    </row>
    <row r="90" spans="1:20">
      <c r="A90" s="1">
        <f t="shared" si="17"/>
        <v>2017</v>
      </c>
      <c r="B90" s="2">
        <f t="shared" si="4"/>
        <v>71171</v>
      </c>
      <c r="C90" s="2">
        <f t="shared" si="5"/>
        <v>64417</v>
      </c>
      <c r="D90" s="2">
        <f t="shared" si="6"/>
        <v>51452</v>
      </c>
      <c r="E90" s="2">
        <f t="shared" si="7"/>
        <v>52463</v>
      </c>
      <c r="F90" s="2">
        <f t="shared" si="8"/>
        <v>62372</v>
      </c>
      <c r="G90" s="2">
        <f t="shared" si="9"/>
        <v>67949</v>
      </c>
      <c r="H90" s="2">
        <f t="shared" si="10"/>
        <v>66712</v>
      </c>
      <c r="I90" s="2">
        <f t="shared" si="10"/>
        <v>68469</v>
      </c>
      <c r="J90" s="2">
        <f t="shared" si="11"/>
        <v>63580</v>
      </c>
      <c r="K90" s="2">
        <f t="shared" si="12"/>
        <v>51632</v>
      </c>
      <c r="L90" s="2">
        <f t="shared" si="13"/>
        <v>52961</v>
      </c>
      <c r="M90" s="2">
        <f t="shared" si="14"/>
        <v>60799</v>
      </c>
      <c r="N90" s="2">
        <f t="shared" si="15"/>
        <v>71171</v>
      </c>
      <c r="O90" s="2">
        <f t="shared" si="16"/>
        <v>68469</v>
      </c>
    </row>
    <row r="91" spans="1:20">
      <c r="A91" s="1">
        <f t="shared" si="17"/>
        <v>2018</v>
      </c>
      <c r="B91" s="2">
        <f t="shared" si="4"/>
        <v>71527</v>
      </c>
      <c r="C91" s="2">
        <f t="shared" si="5"/>
        <v>64740</v>
      </c>
      <c r="D91" s="2">
        <f t="shared" si="6"/>
        <v>51707</v>
      </c>
      <c r="E91" s="2">
        <f t="shared" si="7"/>
        <v>52724</v>
      </c>
      <c r="F91" s="2">
        <f t="shared" si="8"/>
        <v>62681</v>
      </c>
      <c r="G91" s="2">
        <f t="shared" si="9"/>
        <v>68288</v>
      </c>
      <c r="H91" s="2">
        <f t="shared" si="10"/>
        <v>67043</v>
      </c>
      <c r="I91" s="2">
        <f t="shared" si="10"/>
        <v>68812</v>
      </c>
      <c r="J91" s="2">
        <f t="shared" si="11"/>
        <v>63897</v>
      </c>
      <c r="K91" s="2">
        <f t="shared" si="12"/>
        <v>51889</v>
      </c>
      <c r="L91" s="2">
        <f t="shared" si="13"/>
        <v>53223</v>
      </c>
      <c r="M91" s="2">
        <f t="shared" si="14"/>
        <v>61103</v>
      </c>
      <c r="N91" s="2">
        <f t="shared" si="15"/>
        <v>71527</v>
      </c>
      <c r="O91" s="2">
        <f t="shared" si="16"/>
        <v>68812</v>
      </c>
    </row>
    <row r="92" spans="1:20">
      <c r="A92" s="1">
        <f t="shared" si="17"/>
        <v>2019</v>
      </c>
      <c r="B92" s="2">
        <f t="shared" si="4"/>
        <v>71882</v>
      </c>
      <c r="C92" s="2">
        <f t="shared" si="5"/>
        <v>65062</v>
      </c>
      <c r="D92" s="2">
        <f t="shared" si="6"/>
        <v>51964</v>
      </c>
      <c r="E92" s="2">
        <f t="shared" si="7"/>
        <v>52988</v>
      </c>
      <c r="F92" s="2">
        <f t="shared" si="8"/>
        <v>62993</v>
      </c>
      <c r="G92" s="2">
        <f t="shared" si="9"/>
        <v>68628</v>
      </c>
      <c r="H92" s="2">
        <f t="shared" si="10"/>
        <v>67378</v>
      </c>
      <c r="I92" s="2">
        <f t="shared" si="10"/>
        <v>69154</v>
      </c>
      <c r="J92" s="2">
        <f t="shared" si="11"/>
        <v>64214</v>
      </c>
      <c r="K92" s="2">
        <f t="shared" si="12"/>
        <v>52148</v>
      </c>
      <c r="L92" s="2">
        <f t="shared" si="13"/>
        <v>53488</v>
      </c>
      <c r="M92" s="2">
        <f t="shared" si="14"/>
        <v>61407</v>
      </c>
      <c r="N92" s="2">
        <f t="shared" si="15"/>
        <v>71882</v>
      </c>
      <c r="O92" s="2">
        <f t="shared" si="16"/>
        <v>69154</v>
      </c>
    </row>
    <row r="93" spans="1:20">
      <c r="A93" s="1">
        <f t="shared" si="17"/>
        <v>2020</v>
      </c>
      <c r="B93" s="2">
        <f t="shared" si="4"/>
        <v>72240</v>
      </c>
      <c r="C93" s="2">
        <f t="shared" si="5"/>
        <v>65385</v>
      </c>
      <c r="D93" s="2">
        <f t="shared" si="6"/>
        <v>52224</v>
      </c>
      <c r="E93" s="2">
        <f t="shared" si="7"/>
        <v>53251</v>
      </c>
      <c r="F93" s="2">
        <f t="shared" si="8"/>
        <v>63307</v>
      </c>
      <c r="G93" s="2">
        <f t="shared" si="9"/>
        <v>68969</v>
      </c>
      <c r="H93" s="2">
        <f t="shared" si="10"/>
        <v>67713</v>
      </c>
      <c r="I93" s="2">
        <f t="shared" si="10"/>
        <v>69498</v>
      </c>
      <c r="J93" s="2">
        <f t="shared" si="11"/>
        <v>64533</v>
      </c>
      <c r="K93" s="2">
        <f t="shared" si="12"/>
        <v>52408</v>
      </c>
      <c r="L93" s="2">
        <f t="shared" si="13"/>
        <v>53755</v>
      </c>
      <c r="M93" s="2">
        <f t="shared" si="14"/>
        <v>61712</v>
      </c>
      <c r="N93" s="2">
        <f t="shared" si="15"/>
        <v>72240</v>
      </c>
      <c r="O93" s="2">
        <f t="shared" si="16"/>
        <v>69498</v>
      </c>
    </row>
    <row r="94" spans="1:20">
      <c r="A94" s="1">
        <f t="shared" si="17"/>
        <v>2021</v>
      </c>
      <c r="B94" s="2">
        <f t="shared" si="4"/>
        <v>72601</v>
      </c>
      <c r="C94" s="2">
        <f t="shared" si="5"/>
        <v>65710</v>
      </c>
      <c r="D94" s="2">
        <f t="shared" si="6"/>
        <v>52483</v>
      </c>
      <c r="E94" s="2">
        <f t="shared" si="7"/>
        <v>53516</v>
      </c>
      <c r="F94" s="2">
        <f t="shared" si="8"/>
        <v>63623</v>
      </c>
      <c r="G94" s="2">
        <f t="shared" si="9"/>
        <v>69313</v>
      </c>
      <c r="H94" s="2">
        <f t="shared" si="10"/>
        <v>68050</v>
      </c>
      <c r="I94" s="2">
        <f t="shared" si="10"/>
        <v>69844</v>
      </c>
      <c r="J94" s="2">
        <f t="shared" si="11"/>
        <v>64855</v>
      </c>
      <c r="K94" s="2">
        <f t="shared" si="12"/>
        <v>52669</v>
      </c>
      <c r="L94" s="2">
        <f t="shared" si="13"/>
        <v>54022</v>
      </c>
      <c r="M94" s="2">
        <f t="shared" si="14"/>
        <v>62021</v>
      </c>
      <c r="N94" s="2">
        <f t="shared" si="15"/>
        <v>72601</v>
      </c>
      <c r="O94" s="2">
        <f t="shared" si="16"/>
        <v>69844</v>
      </c>
    </row>
    <row r="95" spans="1:20">
      <c r="A95" s="1">
        <f t="shared" si="17"/>
        <v>2022</v>
      </c>
      <c r="B95" s="2">
        <f t="shared" si="4"/>
        <v>72961</v>
      </c>
      <c r="C95" s="2">
        <f t="shared" si="5"/>
        <v>66038</v>
      </c>
      <c r="D95" s="2">
        <f t="shared" si="6"/>
        <v>52745</v>
      </c>
      <c r="E95" s="2">
        <f t="shared" si="7"/>
        <v>53782</v>
      </c>
      <c r="F95" s="2">
        <f t="shared" si="8"/>
        <v>63939</v>
      </c>
      <c r="G95" s="2">
        <f t="shared" si="9"/>
        <v>69658</v>
      </c>
      <c r="H95" s="2">
        <f t="shared" si="10"/>
        <v>68389</v>
      </c>
      <c r="I95" s="2">
        <f t="shared" si="10"/>
        <v>70192</v>
      </c>
      <c r="J95" s="2">
        <f t="shared" si="11"/>
        <v>65178</v>
      </c>
      <c r="K95" s="2">
        <f t="shared" si="12"/>
        <v>52931</v>
      </c>
      <c r="L95" s="2">
        <f t="shared" si="13"/>
        <v>54292</v>
      </c>
      <c r="M95" s="2">
        <f t="shared" si="14"/>
        <v>62330</v>
      </c>
      <c r="N95" s="2">
        <f t="shared" si="15"/>
        <v>72961</v>
      </c>
      <c r="O95" s="2">
        <f t="shared" si="16"/>
        <v>70192</v>
      </c>
    </row>
    <row r="96" spans="1:20">
      <c r="A96" s="1">
        <f t="shared" si="17"/>
        <v>2023</v>
      </c>
      <c r="B96" s="2">
        <f t="shared" si="4"/>
        <v>73325</v>
      </c>
      <c r="C96" s="2">
        <f t="shared" si="5"/>
        <v>66368</v>
      </c>
      <c r="D96" s="2">
        <f t="shared" si="6"/>
        <v>53006</v>
      </c>
      <c r="E96" s="2">
        <f t="shared" si="7"/>
        <v>54050</v>
      </c>
      <c r="F96" s="2">
        <f t="shared" si="8"/>
        <v>64258</v>
      </c>
      <c r="G96" s="2">
        <f t="shared" si="9"/>
        <v>70004</v>
      </c>
      <c r="H96" s="2">
        <f t="shared" si="10"/>
        <v>68729</v>
      </c>
      <c r="I96" s="2">
        <f t="shared" si="10"/>
        <v>70540</v>
      </c>
      <c r="J96" s="2">
        <f t="shared" si="11"/>
        <v>65504</v>
      </c>
      <c r="K96" s="2">
        <f t="shared" si="12"/>
        <v>53194</v>
      </c>
      <c r="L96" s="2">
        <f t="shared" si="13"/>
        <v>54563</v>
      </c>
      <c r="M96" s="2">
        <f t="shared" si="14"/>
        <v>62639</v>
      </c>
      <c r="N96" s="2">
        <f t="shared" si="15"/>
        <v>73325</v>
      </c>
      <c r="O96" s="2">
        <f t="shared" si="16"/>
        <v>70540</v>
      </c>
    </row>
    <row r="97" spans="1:15">
      <c r="A97" s="1">
        <f t="shared" si="17"/>
        <v>2024</v>
      </c>
      <c r="B97" s="2">
        <f t="shared" si="4"/>
        <v>73690</v>
      </c>
      <c r="C97" s="2">
        <f t="shared" si="5"/>
        <v>66699</v>
      </c>
      <c r="D97" s="2">
        <f t="shared" si="6"/>
        <v>53272</v>
      </c>
      <c r="E97" s="2">
        <f t="shared" si="7"/>
        <v>54320</v>
      </c>
      <c r="F97" s="2">
        <f t="shared" si="8"/>
        <v>64578</v>
      </c>
      <c r="G97" s="2">
        <f t="shared" si="9"/>
        <v>70354</v>
      </c>
      <c r="H97" s="2">
        <f t="shared" si="10"/>
        <v>69072</v>
      </c>
      <c r="I97" s="2">
        <f t="shared" si="10"/>
        <v>70893</v>
      </c>
      <c r="J97" s="2">
        <f t="shared" si="11"/>
        <v>65830</v>
      </c>
      <c r="K97" s="2">
        <f t="shared" si="12"/>
        <v>53460</v>
      </c>
      <c r="L97" s="2">
        <f t="shared" si="13"/>
        <v>54835</v>
      </c>
      <c r="M97" s="2">
        <f t="shared" si="14"/>
        <v>62950</v>
      </c>
      <c r="N97" s="2">
        <f t="shared" si="15"/>
        <v>73690</v>
      </c>
      <c r="O97" s="2">
        <f t="shared" si="16"/>
        <v>70893</v>
      </c>
    </row>
    <row r="98" spans="1:15">
      <c r="A98" s="1">
        <f t="shared" si="17"/>
        <v>2025</v>
      </c>
      <c r="B98" s="2">
        <f t="shared" si="4"/>
        <v>74058</v>
      </c>
      <c r="C98" s="2">
        <f t="shared" si="5"/>
        <v>67029</v>
      </c>
      <c r="D98" s="2">
        <f t="shared" si="6"/>
        <v>53536</v>
      </c>
      <c r="E98" s="2">
        <f t="shared" si="7"/>
        <v>54590</v>
      </c>
      <c r="F98" s="2">
        <f t="shared" si="8"/>
        <v>64899</v>
      </c>
      <c r="G98" s="2">
        <f t="shared" si="9"/>
        <v>70704</v>
      </c>
      <c r="H98" s="2">
        <f t="shared" si="10"/>
        <v>69415</v>
      </c>
      <c r="I98" s="2">
        <f t="shared" si="10"/>
        <v>71245</v>
      </c>
      <c r="J98" s="2">
        <f t="shared" si="11"/>
        <v>66158</v>
      </c>
      <c r="K98" s="2">
        <f t="shared" si="12"/>
        <v>53726</v>
      </c>
      <c r="L98" s="2">
        <f t="shared" si="13"/>
        <v>55108</v>
      </c>
      <c r="M98" s="2">
        <f t="shared" si="14"/>
        <v>63264</v>
      </c>
      <c r="N98" s="2">
        <f t="shared" si="15"/>
        <v>74058</v>
      </c>
      <c r="O98" s="2">
        <f t="shared" si="16"/>
        <v>71245</v>
      </c>
    </row>
    <row r="99" spans="1:15">
      <c r="A99" s="1">
        <f t="shared" si="17"/>
        <v>2026</v>
      </c>
      <c r="B99" s="2">
        <f t="shared" si="4"/>
        <v>74427</v>
      </c>
      <c r="C99" s="2">
        <f t="shared" si="5"/>
        <v>67363</v>
      </c>
      <c r="D99" s="2">
        <f t="shared" si="6"/>
        <v>53804</v>
      </c>
      <c r="E99" s="2">
        <f t="shared" si="7"/>
        <v>54862</v>
      </c>
      <c r="F99" s="2">
        <f t="shared" si="8"/>
        <v>65222</v>
      </c>
      <c r="G99" s="2">
        <f t="shared" si="9"/>
        <v>71057</v>
      </c>
      <c r="H99" s="2">
        <f t="shared" si="10"/>
        <v>69763</v>
      </c>
      <c r="I99" s="2">
        <f t="shared" si="10"/>
        <v>71601</v>
      </c>
      <c r="J99" s="2">
        <f t="shared" si="11"/>
        <v>66488</v>
      </c>
      <c r="K99" s="2">
        <f t="shared" si="12"/>
        <v>53994</v>
      </c>
      <c r="L99" s="2">
        <f t="shared" si="13"/>
        <v>55382</v>
      </c>
      <c r="M99" s="2">
        <f t="shared" si="14"/>
        <v>63579</v>
      </c>
      <c r="N99" s="2">
        <f t="shared" si="15"/>
        <v>74427</v>
      </c>
      <c r="O99" s="2">
        <f t="shared" si="16"/>
        <v>71601</v>
      </c>
    </row>
    <row r="100" spans="1:15">
      <c r="A100" s="1">
        <f t="shared" si="17"/>
        <v>2027</v>
      </c>
      <c r="B100" s="2">
        <f t="shared" si="4"/>
        <v>74797</v>
      </c>
      <c r="C100" s="2">
        <f t="shared" si="5"/>
        <v>67699</v>
      </c>
      <c r="D100" s="2">
        <f t="shared" si="6"/>
        <v>54072</v>
      </c>
      <c r="E100" s="2">
        <f t="shared" si="7"/>
        <v>55137</v>
      </c>
      <c r="F100" s="2">
        <f t="shared" si="8"/>
        <v>65547</v>
      </c>
      <c r="G100" s="2">
        <f t="shared" si="9"/>
        <v>71411</v>
      </c>
      <c r="H100" s="2">
        <f t="shared" si="10"/>
        <v>70110</v>
      </c>
      <c r="I100" s="2">
        <f t="shared" si="10"/>
        <v>71958</v>
      </c>
      <c r="J100" s="2">
        <f t="shared" si="11"/>
        <v>66818</v>
      </c>
      <c r="K100" s="2">
        <f t="shared" si="12"/>
        <v>54263</v>
      </c>
      <c r="L100" s="2">
        <f t="shared" si="13"/>
        <v>55658</v>
      </c>
      <c r="M100" s="2">
        <f t="shared" si="14"/>
        <v>63895</v>
      </c>
      <c r="N100" s="2">
        <f t="shared" si="15"/>
        <v>74797</v>
      </c>
      <c r="O100" s="2">
        <f t="shared" si="16"/>
        <v>71958</v>
      </c>
    </row>
    <row r="101" spans="1:15">
      <c r="A101" s="1">
        <f t="shared" si="17"/>
        <v>2028</v>
      </c>
      <c r="B101" s="2">
        <f t="shared" si="4"/>
        <v>75170</v>
      </c>
      <c r="C101" s="2">
        <f t="shared" si="5"/>
        <v>68037</v>
      </c>
      <c r="D101" s="2">
        <f t="shared" si="6"/>
        <v>54340</v>
      </c>
      <c r="E101" s="2">
        <f t="shared" si="7"/>
        <v>55412</v>
      </c>
      <c r="F101" s="2">
        <f t="shared" si="8"/>
        <v>65875</v>
      </c>
      <c r="G101" s="2">
        <f t="shared" si="9"/>
        <v>71765</v>
      </c>
      <c r="H101" s="2">
        <f t="shared" si="10"/>
        <v>70459</v>
      </c>
      <c r="I101" s="2">
        <f t="shared" si="10"/>
        <v>72316</v>
      </c>
      <c r="J101" s="2">
        <f t="shared" si="11"/>
        <v>67151</v>
      </c>
      <c r="K101" s="2">
        <f t="shared" si="12"/>
        <v>54533</v>
      </c>
      <c r="L101" s="2">
        <f t="shared" si="13"/>
        <v>55936</v>
      </c>
      <c r="M101" s="2">
        <f t="shared" si="14"/>
        <v>64214</v>
      </c>
      <c r="N101" s="2">
        <f t="shared" si="15"/>
        <v>75170</v>
      </c>
      <c r="O101" s="2">
        <f t="shared" si="16"/>
        <v>72316</v>
      </c>
    </row>
    <row r="102" spans="1:15">
      <c r="A102" s="1">
        <f t="shared" si="17"/>
        <v>2029</v>
      </c>
      <c r="B102" s="2">
        <f t="shared" si="4"/>
        <v>75544</v>
      </c>
      <c r="C102" s="2">
        <f t="shared" si="5"/>
        <v>68376</v>
      </c>
      <c r="D102" s="2">
        <f t="shared" si="6"/>
        <v>54613</v>
      </c>
      <c r="E102" s="2">
        <f t="shared" si="7"/>
        <v>55686</v>
      </c>
      <c r="F102" s="2">
        <f t="shared" si="8"/>
        <v>66202</v>
      </c>
      <c r="G102" s="2">
        <f t="shared" si="9"/>
        <v>72124</v>
      </c>
      <c r="H102" s="2">
        <f t="shared" si="10"/>
        <v>70809</v>
      </c>
      <c r="I102" s="2">
        <f t="shared" si="10"/>
        <v>72675</v>
      </c>
      <c r="J102" s="2">
        <f t="shared" si="11"/>
        <v>67485</v>
      </c>
      <c r="K102" s="2">
        <f t="shared" si="12"/>
        <v>54805</v>
      </c>
      <c r="L102" s="2">
        <f t="shared" si="13"/>
        <v>56214</v>
      </c>
      <c r="M102" s="2">
        <f t="shared" si="14"/>
        <v>64534</v>
      </c>
      <c r="N102" s="2">
        <f t="shared" si="15"/>
        <v>75544</v>
      </c>
      <c r="O102" s="2">
        <f t="shared" si="16"/>
        <v>72675</v>
      </c>
    </row>
    <row r="103" spans="1:15">
      <c r="A103" s="1">
        <f t="shared" si="17"/>
        <v>2030</v>
      </c>
      <c r="B103" s="2">
        <f t="shared" si="4"/>
        <v>75919</v>
      </c>
      <c r="C103" s="2">
        <f t="shared" si="5"/>
        <v>68715</v>
      </c>
      <c r="D103" s="2">
        <f t="shared" si="6"/>
        <v>54883</v>
      </c>
      <c r="E103" s="2">
        <f t="shared" si="7"/>
        <v>55963</v>
      </c>
      <c r="F103" s="2">
        <f t="shared" si="8"/>
        <v>66532</v>
      </c>
      <c r="G103" s="2">
        <f t="shared" si="9"/>
        <v>72483</v>
      </c>
      <c r="H103" s="2">
        <f t="shared" si="10"/>
        <v>71162</v>
      </c>
      <c r="I103" s="2">
        <f t="shared" si="10"/>
        <v>73038</v>
      </c>
      <c r="J103" s="2">
        <f t="shared" si="11"/>
        <v>67822</v>
      </c>
      <c r="K103" s="2">
        <f t="shared" si="12"/>
        <v>55077</v>
      </c>
      <c r="L103" s="2">
        <f t="shared" si="13"/>
        <v>56495</v>
      </c>
      <c r="M103" s="2">
        <f t="shared" si="14"/>
        <v>64857</v>
      </c>
      <c r="N103" s="2">
        <f t="shared" si="15"/>
        <v>75919</v>
      </c>
      <c r="O103" s="2">
        <f t="shared" si="16"/>
        <v>73038</v>
      </c>
    </row>
    <row r="104" spans="1:15">
      <c r="A104" s="1">
        <f t="shared" si="17"/>
        <v>2031</v>
      </c>
      <c r="B104" s="2">
        <f t="shared" si="4"/>
        <v>76298</v>
      </c>
      <c r="C104" s="2">
        <f t="shared" si="5"/>
        <v>69059</v>
      </c>
      <c r="D104" s="2">
        <f t="shared" si="6"/>
        <v>55157</v>
      </c>
      <c r="E104" s="2">
        <f t="shared" si="7"/>
        <v>56242</v>
      </c>
      <c r="F104" s="2">
        <f t="shared" si="8"/>
        <v>66863</v>
      </c>
      <c r="G104" s="2">
        <f t="shared" si="9"/>
        <v>72844</v>
      </c>
      <c r="H104" s="2">
        <f t="shared" si="10"/>
        <v>71516</v>
      </c>
      <c r="I104" s="2">
        <f t="shared" si="10"/>
        <v>73402</v>
      </c>
      <c r="J104" s="2">
        <f t="shared" si="11"/>
        <v>68159</v>
      </c>
      <c r="K104" s="2">
        <f t="shared" si="12"/>
        <v>55351</v>
      </c>
      <c r="L104" s="2">
        <f t="shared" si="13"/>
        <v>56775</v>
      </c>
      <c r="M104" s="2">
        <f t="shared" si="14"/>
        <v>65180</v>
      </c>
      <c r="N104" s="2">
        <f t="shared" si="15"/>
        <v>76298</v>
      </c>
      <c r="O104" s="2">
        <f t="shared" si="16"/>
        <v>73402</v>
      </c>
    </row>
    <row r="105" spans="1:15">
      <c r="A105" s="1">
        <f t="shared" si="17"/>
        <v>2032</v>
      </c>
      <c r="B105" s="2">
        <f t="shared" si="4"/>
        <v>76678</v>
      </c>
      <c r="C105" s="2">
        <f t="shared" si="5"/>
        <v>69403</v>
      </c>
      <c r="D105" s="2">
        <f t="shared" si="6"/>
        <v>55432</v>
      </c>
      <c r="E105" s="2">
        <f t="shared" si="7"/>
        <v>56523</v>
      </c>
      <c r="F105" s="2">
        <f t="shared" si="8"/>
        <v>67198</v>
      </c>
      <c r="G105" s="2">
        <f t="shared" si="9"/>
        <v>73207</v>
      </c>
      <c r="H105" s="2">
        <f t="shared" si="10"/>
        <v>71873</v>
      </c>
      <c r="I105" s="2">
        <f t="shared" si="10"/>
        <v>73767</v>
      </c>
      <c r="J105" s="2">
        <f t="shared" si="11"/>
        <v>68498</v>
      </c>
      <c r="K105" s="2">
        <f t="shared" si="12"/>
        <v>55627</v>
      </c>
      <c r="L105" s="2">
        <f t="shared" si="13"/>
        <v>57058</v>
      </c>
      <c r="M105" s="2">
        <f t="shared" si="14"/>
        <v>65505</v>
      </c>
      <c r="N105" s="2">
        <f t="shared" si="15"/>
        <v>76678</v>
      </c>
      <c r="O105" s="2">
        <f t="shared" si="16"/>
        <v>73767</v>
      </c>
    </row>
    <row r="106" spans="1:15">
      <c r="A106" s="1">
        <f t="shared" si="17"/>
        <v>2033</v>
      </c>
      <c r="B106" s="2">
        <f t="shared" si="4"/>
        <v>77059</v>
      </c>
      <c r="C106" s="2">
        <f t="shared" si="5"/>
        <v>69747</v>
      </c>
      <c r="D106" s="2">
        <f t="shared" si="6"/>
        <v>55708</v>
      </c>
      <c r="E106" s="2">
        <f t="shared" si="7"/>
        <v>56805</v>
      </c>
      <c r="F106" s="2">
        <f t="shared" si="8"/>
        <v>67532</v>
      </c>
      <c r="G106" s="2">
        <f t="shared" si="9"/>
        <v>73572</v>
      </c>
      <c r="H106" s="2">
        <f t="shared" si="10"/>
        <v>72231</v>
      </c>
      <c r="I106" s="2">
        <f t="shared" si="10"/>
        <v>74134</v>
      </c>
      <c r="J106" s="2">
        <f t="shared" si="11"/>
        <v>68839</v>
      </c>
      <c r="K106" s="2">
        <f t="shared" si="12"/>
        <v>55906</v>
      </c>
      <c r="L106" s="2">
        <f t="shared" si="13"/>
        <v>57343</v>
      </c>
      <c r="M106" s="2">
        <f t="shared" si="14"/>
        <v>65830</v>
      </c>
      <c r="N106" s="2">
        <f t="shared" si="15"/>
        <v>77059</v>
      </c>
      <c r="O106" s="2">
        <f t="shared" si="16"/>
        <v>74134</v>
      </c>
    </row>
    <row r="107" spans="1:15">
      <c r="A107" s="1">
        <f t="shared" si="17"/>
        <v>2034</v>
      </c>
      <c r="B107" s="2">
        <f t="shared" si="4"/>
        <v>77445</v>
      </c>
      <c r="C107" s="2">
        <f t="shared" si="5"/>
        <v>70097</v>
      </c>
      <c r="D107" s="2">
        <f t="shared" si="6"/>
        <v>55985</v>
      </c>
      <c r="E107" s="2">
        <f t="shared" si="7"/>
        <v>57088</v>
      </c>
      <c r="F107" s="2">
        <f t="shared" si="8"/>
        <v>67868</v>
      </c>
      <c r="G107" s="2">
        <f t="shared" si="9"/>
        <v>73937</v>
      </c>
      <c r="H107" s="2">
        <f t="shared" si="10"/>
        <v>72590</v>
      </c>
      <c r="I107" s="2">
        <f t="shared" si="10"/>
        <v>74505</v>
      </c>
      <c r="J107" s="2">
        <f t="shared" si="11"/>
        <v>69183</v>
      </c>
      <c r="K107" s="2">
        <f t="shared" si="12"/>
        <v>56184</v>
      </c>
      <c r="L107" s="2">
        <f t="shared" si="13"/>
        <v>57627</v>
      </c>
      <c r="M107" s="2">
        <f t="shared" si="14"/>
        <v>66157</v>
      </c>
      <c r="N107" s="2">
        <f>MAX(B107:M107)</f>
        <v>77445</v>
      </c>
      <c r="O107" s="2">
        <f t="shared" si="16"/>
        <v>74505</v>
      </c>
    </row>
  </sheetData>
  <mergeCells count="12">
    <mergeCell ref="B78:M78"/>
    <mergeCell ref="B84:M84"/>
    <mergeCell ref="B30:M30"/>
    <mergeCell ref="B57:M57"/>
    <mergeCell ref="B68:M68"/>
    <mergeCell ref="B73:M73"/>
    <mergeCell ref="B63:M63"/>
    <mergeCell ref="B3:M3"/>
    <mergeCell ref="B14:M14"/>
    <mergeCell ref="B19:M19"/>
    <mergeCell ref="B24:M24"/>
    <mergeCell ref="B9:M9"/>
  </mergeCells>
  <phoneticPr fontId="2" type="noConversion"/>
  <pageMargins left="0.28999999999999998" right="0.27" top="0.47" bottom="0.51" header="0.21" footer="0.28000000000000003"/>
  <pageSetup scale="71" orientation="landscape" r:id="rId1"/>
  <headerFooter alignWithMargins="0"/>
  <rowBreaks count="1" manualBreakCount="1">
    <brk id="55" max="14" man="1"/>
  </rowBreaks>
  <ignoredErrors>
    <ignoredError sqref="C87:L107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151"/>
  <sheetViews>
    <sheetView tabSelected="1" topLeftCell="A73" zoomScaleNormal="100" workbookViewId="0">
      <selection activeCell="J75" sqref="J75"/>
    </sheetView>
  </sheetViews>
  <sheetFormatPr defaultRowHeight="12.75"/>
  <cols>
    <col min="1" max="1" width="13.28515625" customWidth="1"/>
    <col min="2" max="2" width="12.7109375" customWidth="1"/>
    <col min="3" max="3" width="14.42578125" customWidth="1"/>
    <col min="4" max="4" width="16.28515625" customWidth="1"/>
    <col min="5" max="5" width="15.140625" customWidth="1"/>
    <col min="6" max="6" width="16.140625" customWidth="1"/>
    <col min="7" max="7" width="15.28515625" customWidth="1"/>
    <col min="8" max="8" width="17.42578125" customWidth="1"/>
    <col min="9" max="9" width="14.85546875" customWidth="1"/>
    <col min="10" max="10" width="16.85546875" customWidth="1"/>
    <col min="11" max="11" width="12" customWidth="1"/>
    <col min="12" max="12" width="12.7109375" customWidth="1"/>
  </cols>
  <sheetData>
    <row r="1" spans="1:12" ht="25.5">
      <c r="A1" s="208" t="s">
        <v>93</v>
      </c>
      <c r="B1" s="209"/>
      <c r="C1" s="209"/>
      <c r="D1" s="209"/>
      <c r="E1" s="209"/>
      <c r="F1" s="209"/>
      <c r="G1" s="209"/>
      <c r="H1" s="210"/>
    </row>
    <row r="2" spans="1:12" ht="15">
      <c r="A2" s="118"/>
      <c r="B2" s="119" t="s">
        <v>51</v>
      </c>
      <c r="C2" s="118" t="s">
        <v>49</v>
      </c>
      <c r="D2" s="118" t="s">
        <v>52</v>
      </c>
      <c r="E2" s="118" t="s">
        <v>94</v>
      </c>
      <c r="F2" s="118" t="s">
        <v>95</v>
      </c>
      <c r="G2" s="118" t="s">
        <v>53</v>
      </c>
      <c r="H2" s="118" t="s">
        <v>50</v>
      </c>
      <c r="I2" s="103" t="s">
        <v>90</v>
      </c>
      <c r="J2" s="140" t="s">
        <v>91</v>
      </c>
      <c r="K2" s="67"/>
      <c r="L2" s="67"/>
    </row>
    <row r="3" spans="1:12" ht="15">
      <c r="A3" s="120">
        <v>40179</v>
      </c>
      <c r="B3" s="126">
        <v>87515</v>
      </c>
      <c r="C3" s="126">
        <v>33851597</v>
      </c>
      <c r="D3" s="126">
        <v>63595</v>
      </c>
      <c r="E3" s="121">
        <v>3209750.47</v>
      </c>
      <c r="F3" s="128">
        <v>233833.64</v>
      </c>
      <c r="G3" s="121">
        <f>SUM(E3:F3)</f>
        <v>3443584.1100000003</v>
      </c>
      <c r="H3" s="122">
        <v>0.10172589819026855</v>
      </c>
      <c r="I3" s="67">
        <f t="shared" ref="I3:I14" si="0">(C3)/($C$15)</f>
        <v>9.6871087851802026E-2</v>
      </c>
      <c r="J3" s="67">
        <f>ROUND(C3/(B3*24*31),5)</f>
        <v>0.51990000000000003</v>
      </c>
      <c r="K3" s="67"/>
      <c r="L3" s="67"/>
    </row>
    <row r="4" spans="1:12" ht="15">
      <c r="A4" s="120">
        <v>40210</v>
      </c>
      <c r="B4" s="126">
        <v>70325</v>
      </c>
      <c r="C4" s="126">
        <v>28384679</v>
      </c>
      <c r="D4" s="126">
        <v>63378</v>
      </c>
      <c r="E4" s="121">
        <v>2825045.59</v>
      </c>
      <c r="F4" s="128">
        <v>233617.21</v>
      </c>
      <c r="G4" s="121">
        <v>3058662.8</v>
      </c>
      <c r="H4" s="122">
        <v>0.10775752651632946</v>
      </c>
      <c r="I4" s="67">
        <f t="shared" si="0"/>
        <v>8.1226736010540354E-2</v>
      </c>
      <c r="J4" s="67">
        <f>ROUND(C4/(B4*24*28),5)</f>
        <v>0.60063</v>
      </c>
      <c r="K4" s="67"/>
      <c r="L4" s="67"/>
    </row>
    <row r="5" spans="1:12" ht="15">
      <c r="A5" s="120">
        <v>40238</v>
      </c>
      <c r="B5" s="126">
        <v>62818</v>
      </c>
      <c r="C5" s="126">
        <v>24102788</v>
      </c>
      <c r="D5" s="126">
        <v>64289</v>
      </c>
      <c r="E5" s="121">
        <v>2523730.59</v>
      </c>
      <c r="F5" s="128">
        <v>235412.75</v>
      </c>
      <c r="G5" s="121">
        <v>2759143.34</v>
      </c>
      <c r="H5" s="122">
        <v>0.11447403263058198</v>
      </c>
      <c r="I5" s="67">
        <f t="shared" si="0"/>
        <v>6.8973504967028865E-2</v>
      </c>
      <c r="J5" s="67">
        <f>ROUND(C5/(B5*24*31),5)</f>
        <v>0.51571999999999996</v>
      </c>
      <c r="K5" s="67"/>
      <c r="L5" s="67"/>
    </row>
    <row r="6" spans="1:12" ht="15">
      <c r="A6" s="120">
        <v>40269</v>
      </c>
      <c r="B6" s="126">
        <v>43584</v>
      </c>
      <c r="C6" s="126">
        <v>21713023</v>
      </c>
      <c r="D6" s="126">
        <v>63050</v>
      </c>
      <c r="E6" s="121">
        <v>2355563.7599999998</v>
      </c>
      <c r="F6" s="128">
        <v>232165.77</v>
      </c>
      <c r="G6" s="121">
        <v>2587729.5299999998</v>
      </c>
      <c r="H6" s="122">
        <v>0.11917868506840341</v>
      </c>
      <c r="I6" s="67">
        <f t="shared" si="0"/>
        <v>6.2134857583268463E-2</v>
      </c>
      <c r="J6" s="67">
        <f>ROUND(C6/(B6*24*30),5)</f>
        <v>0.69193000000000005</v>
      </c>
      <c r="K6" s="67"/>
      <c r="L6" s="67"/>
    </row>
    <row r="7" spans="1:12" ht="15">
      <c r="A7" s="120">
        <v>40303</v>
      </c>
      <c r="B7" s="126">
        <v>60313</v>
      </c>
      <c r="C7" s="126">
        <v>28360497</v>
      </c>
      <c r="D7" s="126">
        <v>62976</v>
      </c>
      <c r="E7" s="121">
        <v>2823343.91</v>
      </c>
      <c r="F7" s="128">
        <v>231825.24</v>
      </c>
      <c r="G7" s="121">
        <v>3055169.1500000004</v>
      </c>
      <c r="H7" s="122">
        <v>0.10772622038323236</v>
      </c>
      <c r="I7" s="67">
        <f t="shared" si="0"/>
        <v>8.1157535829336727E-2</v>
      </c>
      <c r="J7" s="67">
        <f>ROUND(C7/(B7*24*31),5)</f>
        <v>0.63202000000000003</v>
      </c>
      <c r="K7" s="67"/>
      <c r="L7" s="67"/>
    </row>
    <row r="8" spans="1:12" ht="15">
      <c r="A8" s="120">
        <v>40334</v>
      </c>
      <c r="B8" s="126">
        <v>68211</v>
      </c>
      <c r="C8" s="126">
        <v>32769007</v>
      </c>
      <c r="D8" s="126">
        <v>62578</v>
      </c>
      <c r="E8" s="121">
        <v>3133569.04</v>
      </c>
      <c r="F8" s="128">
        <v>231374.68</v>
      </c>
      <c r="G8" s="121">
        <v>3364943.72</v>
      </c>
      <c r="H8" s="122">
        <v>0.10268677717332113</v>
      </c>
      <c r="I8" s="67">
        <f t="shared" si="0"/>
        <v>9.3773104882269379E-2</v>
      </c>
      <c r="J8" s="67">
        <f>ROUND(C8/(B8*24*30),5)</f>
        <v>0.66722999999999999</v>
      </c>
      <c r="K8" s="67"/>
      <c r="L8" s="67"/>
    </row>
    <row r="9" spans="1:12" ht="15">
      <c r="A9" s="120">
        <v>40364</v>
      </c>
      <c r="B9" s="126">
        <v>69581</v>
      </c>
      <c r="C9" s="126">
        <v>34579737</v>
      </c>
      <c r="D9" s="126">
        <v>62886</v>
      </c>
      <c r="E9" s="121">
        <v>3260989.4</v>
      </c>
      <c r="F9" s="128">
        <v>232370.29</v>
      </c>
      <c r="G9" s="121">
        <v>3493359.69</v>
      </c>
      <c r="H9" s="122">
        <v>0.1010233157643738</v>
      </c>
      <c r="I9" s="67">
        <f t="shared" si="0"/>
        <v>9.8954762483412784E-2</v>
      </c>
      <c r="J9" s="67">
        <f>ROUND(C9/(B9*24*31),5)</f>
        <v>0.66796999999999995</v>
      </c>
      <c r="K9" s="67"/>
      <c r="L9" s="67"/>
    </row>
    <row r="10" spans="1:12" ht="15">
      <c r="A10" s="120">
        <v>40395</v>
      </c>
      <c r="B10" s="126">
        <v>68863</v>
      </c>
      <c r="C10" s="126">
        <v>34257673</v>
      </c>
      <c r="D10" s="126">
        <v>62322</v>
      </c>
      <c r="E10" s="121">
        <v>3238325.88</v>
      </c>
      <c r="F10" s="121">
        <v>231150.55</v>
      </c>
      <c r="G10" s="121">
        <v>3469476.4299999997</v>
      </c>
      <c r="H10" s="122">
        <v>0.10127589314078629</v>
      </c>
      <c r="I10" s="67">
        <f t="shared" si="0"/>
        <v>9.8033131222178563E-2</v>
      </c>
      <c r="J10" s="67">
        <f>ROUND(C10/(B10*24*31),5)</f>
        <v>0.66864999999999997</v>
      </c>
      <c r="K10" s="67"/>
      <c r="L10" s="67"/>
    </row>
    <row r="11" spans="1:12" ht="15">
      <c r="A11" s="120">
        <v>40426</v>
      </c>
      <c r="B11" s="126">
        <v>66570</v>
      </c>
      <c r="C11" s="126">
        <v>31064821</v>
      </c>
      <c r="D11" s="126">
        <v>62772</v>
      </c>
      <c r="E11" s="121">
        <v>3013646.13</v>
      </c>
      <c r="F11" s="121">
        <v>232200.87</v>
      </c>
      <c r="G11" s="121">
        <v>3245847</v>
      </c>
      <c r="H11" s="122">
        <v>0.10448626116339121</v>
      </c>
      <c r="I11" s="67">
        <f t="shared" si="0"/>
        <v>8.8896337865286071E-2</v>
      </c>
      <c r="J11" s="67">
        <f>ROUND(C11/(B11*24*30),5)</f>
        <v>0.64812000000000003</v>
      </c>
      <c r="K11" s="67"/>
      <c r="L11" s="67"/>
    </row>
    <row r="12" spans="1:12" ht="15">
      <c r="A12" s="120">
        <v>40456</v>
      </c>
      <c r="B12" s="126">
        <v>54903</v>
      </c>
      <c r="C12" s="127">
        <v>23985155</v>
      </c>
      <c r="D12" s="126">
        <v>61794</v>
      </c>
      <c r="E12" s="121">
        <v>2515452.7999999998</v>
      </c>
      <c r="F12" s="121">
        <v>229650.73</v>
      </c>
      <c r="G12" s="121">
        <v>2745103.53</v>
      </c>
      <c r="H12" s="122">
        <v>0.11445010590925928</v>
      </c>
      <c r="I12" s="67">
        <f t="shared" si="0"/>
        <v>6.8636881655659801E-2</v>
      </c>
      <c r="J12" s="67">
        <f>ROUND(C12/(B12*24*31),5)</f>
        <v>0.58718000000000004</v>
      </c>
      <c r="K12" s="67"/>
      <c r="L12" s="67"/>
    </row>
    <row r="13" spans="1:12" ht="15">
      <c r="A13" s="120">
        <v>40487</v>
      </c>
      <c r="B13" s="126">
        <v>49575</v>
      </c>
      <c r="C13" s="127">
        <v>23014599</v>
      </c>
      <c r="D13" s="126">
        <v>62203</v>
      </c>
      <c r="E13" s="121">
        <v>2447155.15</v>
      </c>
      <c r="F13" s="121">
        <v>230515.66</v>
      </c>
      <c r="G13" s="121">
        <v>2677670.81</v>
      </c>
      <c r="H13" s="122">
        <v>0.11634662024743513</v>
      </c>
      <c r="I13" s="67">
        <f t="shared" si="0"/>
        <v>6.5859499674505606E-2</v>
      </c>
      <c r="J13" s="67">
        <f>ROUND(C13/(B13*24*30),5)</f>
        <v>0.64478000000000002</v>
      </c>
      <c r="K13" s="67"/>
      <c r="L13" s="67"/>
    </row>
    <row r="14" spans="1:12" ht="15">
      <c r="A14" s="120">
        <v>40517</v>
      </c>
      <c r="B14" s="126">
        <v>76543</v>
      </c>
      <c r="C14" s="127">
        <v>33366376</v>
      </c>
      <c r="D14" s="126">
        <v>61524</v>
      </c>
      <c r="E14" s="121">
        <v>3175605.66</v>
      </c>
      <c r="F14" s="121">
        <v>228815.53</v>
      </c>
      <c r="G14" s="121">
        <v>3404421.19</v>
      </c>
      <c r="H14" s="122">
        <v>0.10203149392070628</v>
      </c>
      <c r="I14" s="67">
        <f t="shared" si="0"/>
        <v>9.5482559974711348E-2</v>
      </c>
      <c r="J14" s="67">
        <f>ROUND(C14/(B14*24*31),5)</f>
        <v>0.58591000000000004</v>
      </c>
      <c r="K14" s="67"/>
      <c r="L14" s="67"/>
    </row>
    <row r="15" spans="1:12" ht="15">
      <c r="A15" s="123" t="s">
        <v>19</v>
      </c>
      <c r="B15" s="124">
        <v>778801</v>
      </c>
      <c r="C15" s="124">
        <v>349449952</v>
      </c>
      <c r="D15" s="124">
        <v>753367</v>
      </c>
      <c r="E15" s="125">
        <v>34522178.379999995</v>
      </c>
      <c r="F15" s="125">
        <v>2782932.92</v>
      </c>
      <c r="G15" s="125">
        <v>37305111.299999997</v>
      </c>
      <c r="H15" s="122">
        <v>9.8790050427593118E-2</v>
      </c>
      <c r="I15" s="67">
        <f>+SUM(I3:I14)</f>
        <v>1</v>
      </c>
      <c r="J15" s="21">
        <f>AVERAGE(J3:J14)</f>
        <v>0.61917000000000011</v>
      </c>
      <c r="K15" s="67"/>
      <c r="L15" s="67"/>
    </row>
    <row r="16" spans="1:12" ht="15">
      <c r="A16" s="129"/>
      <c r="B16" s="130"/>
      <c r="C16" s="130"/>
      <c r="D16" s="130"/>
      <c r="E16" s="131"/>
      <c r="F16" s="131"/>
      <c r="G16" s="131"/>
      <c r="H16" s="132"/>
      <c r="I16" s="67"/>
      <c r="J16" s="21"/>
      <c r="K16" s="67"/>
      <c r="L16" s="67"/>
    </row>
    <row r="17" spans="1:12" ht="15">
      <c r="A17" s="129"/>
      <c r="B17" s="130"/>
      <c r="C17" s="130"/>
      <c r="D17" s="130"/>
      <c r="E17" s="131"/>
      <c r="F17" s="131"/>
      <c r="G17" s="131"/>
      <c r="H17" s="132"/>
      <c r="I17" s="67"/>
      <c r="J17" s="21"/>
      <c r="K17" s="67"/>
      <c r="L17" s="67"/>
    </row>
    <row r="18" spans="1:12" ht="15">
      <c r="A18" s="104"/>
      <c r="B18" s="107"/>
      <c r="C18" s="107"/>
      <c r="D18" s="107"/>
      <c r="E18" s="106"/>
      <c r="F18" s="109"/>
      <c r="I18" s="104"/>
      <c r="K18" s="67"/>
      <c r="L18" s="67"/>
    </row>
    <row r="19" spans="1:12" ht="25.5">
      <c r="A19" s="208" t="s">
        <v>96</v>
      </c>
      <c r="B19" s="209"/>
      <c r="C19" s="209"/>
      <c r="D19" s="209"/>
      <c r="E19" s="209"/>
      <c r="F19" s="209"/>
      <c r="G19" s="209"/>
      <c r="H19" s="210"/>
      <c r="I19" s="104"/>
      <c r="K19" s="67"/>
      <c r="L19" s="67"/>
    </row>
    <row r="20" spans="1:12" ht="15">
      <c r="A20" s="118"/>
      <c r="B20" s="119" t="s">
        <v>51</v>
      </c>
      <c r="C20" s="118" t="s">
        <v>49</v>
      </c>
      <c r="D20" s="118" t="s">
        <v>52</v>
      </c>
      <c r="E20" s="118" t="s">
        <v>94</v>
      </c>
      <c r="F20" s="118" t="s">
        <v>95</v>
      </c>
      <c r="G20" s="118" t="s">
        <v>53</v>
      </c>
      <c r="H20" s="118" t="s">
        <v>50</v>
      </c>
      <c r="I20" s="103" t="s">
        <v>90</v>
      </c>
      <c r="J20" s="140" t="s">
        <v>91</v>
      </c>
      <c r="K20" s="67"/>
      <c r="L20" s="67"/>
    </row>
    <row r="21" spans="1:12" ht="15">
      <c r="A21" s="120">
        <v>40544</v>
      </c>
      <c r="B21" s="126">
        <v>79973</v>
      </c>
      <c r="C21" s="126">
        <v>31851354</v>
      </c>
      <c r="D21" s="126">
        <v>61869</v>
      </c>
      <c r="E21" s="121">
        <v>2877407.76</v>
      </c>
      <c r="F21" s="121">
        <v>236307.32</v>
      </c>
      <c r="G21" s="121">
        <v>3113715.0799999996</v>
      </c>
      <c r="H21" s="122">
        <v>9.7757699091850211E-2</v>
      </c>
      <c r="I21" s="67">
        <f>(C21)/($C$33)</f>
        <v>9.7089873799655529E-2</v>
      </c>
      <c r="J21" s="67">
        <f>ROUND(C21/(B21*24*31),5)</f>
        <v>0.53532000000000002</v>
      </c>
      <c r="K21" s="67"/>
      <c r="L21" s="67"/>
    </row>
    <row r="22" spans="1:12" ht="15">
      <c r="A22" s="120">
        <v>40575</v>
      </c>
      <c r="B22" s="126">
        <v>60129</v>
      </c>
      <c r="C22" s="126">
        <v>24032652</v>
      </c>
      <c r="D22" s="126">
        <v>63130</v>
      </c>
      <c r="E22" s="121">
        <v>2365419.2400000002</v>
      </c>
      <c r="F22" s="121">
        <v>239465.84</v>
      </c>
      <c r="G22" s="121">
        <v>2604885.08</v>
      </c>
      <c r="H22" s="122">
        <v>0.10838941453485866</v>
      </c>
      <c r="I22" s="67">
        <f t="shared" ref="I22:I32" si="1">(C22)/($C$33)</f>
        <v>7.3256764838036059E-2</v>
      </c>
      <c r="J22" s="67">
        <f>ROUND(C22/(B22*24*28),5)</f>
        <v>0.59477000000000002</v>
      </c>
      <c r="K22" s="67"/>
      <c r="L22" s="67"/>
    </row>
    <row r="23" spans="1:12" ht="15">
      <c r="A23" s="120">
        <v>40603</v>
      </c>
      <c r="B23" s="126">
        <v>46103</v>
      </c>
      <c r="C23" s="126">
        <v>22130833</v>
      </c>
      <c r="D23" s="126">
        <v>62499</v>
      </c>
      <c r="E23" s="121">
        <v>2240883.29</v>
      </c>
      <c r="F23" s="121">
        <v>237080.02</v>
      </c>
      <c r="G23" s="121">
        <v>2477963.31</v>
      </c>
      <c r="H23" s="122">
        <v>0.11196882241170046</v>
      </c>
      <c r="I23" s="67">
        <f t="shared" si="1"/>
        <v>6.7459605737679215E-2</v>
      </c>
      <c r="J23" s="67">
        <f>ROUND(C23/(B23*24*31),5)</f>
        <v>0.6452</v>
      </c>
      <c r="K23" s="67"/>
      <c r="L23" s="67"/>
    </row>
    <row r="24" spans="1:12" ht="15">
      <c r="A24" s="120">
        <v>40634</v>
      </c>
      <c r="B24" s="126">
        <v>52612</v>
      </c>
      <c r="C24" s="126">
        <v>23129569</v>
      </c>
      <c r="D24" s="126">
        <v>62080</v>
      </c>
      <c r="E24" s="121">
        <v>2306283.0699999998</v>
      </c>
      <c r="F24" s="121">
        <v>235881.68</v>
      </c>
      <c r="G24" s="121">
        <v>2542164.75</v>
      </c>
      <c r="H24" s="122">
        <v>0.1099097328618618</v>
      </c>
      <c r="I24" s="67">
        <f t="shared" si="1"/>
        <v>7.0503970890858358E-2</v>
      </c>
      <c r="J24" s="67">
        <f>ROUND(C24/(B24*24*30),5)</f>
        <v>0.61058999999999997</v>
      </c>
      <c r="K24" s="67"/>
      <c r="L24" s="67"/>
    </row>
    <row r="25" spans="1:12" ht="15">
      <c r="A25" s="120">
        <v>40668</v>
      </c>
      <c r="B25" s="126">
        <v>62557</v>
      </c>
      <c r="C25" s="126">
        <v>27409563</v>
      </c>
      <c r="D25" s="126">
        <v>60408</v>
      </c>
      <c r="E25" s="121">
        <v>2586547.98</v>
      </c>
      <c r="F25" s="121">
        <v>231824.57</v>
      </c>
      <c r="G25" s="121">
        <v>2818372.55</v>
      </c>
      <c r="H25" s="122">
        <v>0.10282442481844749</v>
      </c>
      <c r="I25" s="67">
        <f t="shared" si="1"/>
        <v>8.3550326073224629E-2</v>
      </c>
      <c r="J25" s="67">
        <f>ROUND(C25/(B25*24*31),5)</f>
        <v>0.58892</v>
      </c>
      <c r="K25" s="67"/>
      <c r="L25" s="67"/>
    </row>
    <row r="26" spans="1:12" ht="15">
      <c r="A26" s="120">
        <v>40699</v>
      </c>
      <c r="B26" s="126">
        <v>70301</v>
      </c>
      <c r="C26" s="126">
        <v>32977154</v>
      </c>
      <c r="D26" s="126">
        <v>60710</v>
      </c>
      <c r="E26" s="121">
        <v>2951128.01</v>
      </c>
      <c r="F26" s="121">
        <v>232933.84</v>
      </c>
      <c r="G26" s="121">
        <v>3184061.8499999996</v>
      </c>
      <c r="H26" s="122">
        <v>9.6553567054330991E-2</v>
      </c>
      <c r="I26" s="67">
        <f t="shared" si="1"/>
        <v>0.10052155773760216</v>
      </c>
      <c r="J26" s="67">
        <f>ROUND(C26/(B26*24*30),5)</f>
        <v>0.65151000000000003</v>
      </c>
      <c r="K26" s="67"/>
      <c r="L26" s="67"/>
    </row>
    <row r="27" spans="1:12" ht="15">
      <c r="A27" s="120">
        <v>40729</v>
      </c>
      <c r="B27" s="126">
        <v>65474</v>
      </c>
      <c r="C27" s="126">
        <v>32627976</v>
      </c>
      <c r="D27" s="126">
        <v>60903</v>
      </c>
      <c r="E27" s="121">
        <v>2928262.95</v>
      </c>
      <c r="F27" s="121">
        <v>233881.78</v>
      </c>
      <c r="G27" s="121">
        <v>3162144.73</v>
      </c>
      <c r="H27" s="122">
        <v>9.6915135955720946E-2</v>
      </c>
      <c r="I27" s="67">
        <f t="shared" si="1"/>
        <v>9.9457187037580552E-2</v>
      </c>
      <c r="J27" s="67">
        <f>ROUND(C27/(B27*24*31),5)</f>
        <v>0.66979999999999995</v>
      </c>
      <c r="K27" s="67"/>
      <c r="L27" s="67"/>
    </row>
    <row r="28" spans="1:12" ht="15">
      <c r="A28" s="120">
        <v>40760</v>
      </c>
      <c r="B28" s="126">
        <v>69234</v>
      </c>
      <c r="C28" s="126">
        <v>34937001</v>
      </c>
      <c r="D28" s="126">
        <v>61024</v>
      </c>
      <c r="E28" s="121">
        <v>3079463.78</v>
      </c>
      <c r="F28" s="121">
        <v>234152.01</v>
      </c>
      <c r="G28" s="121">
        <v>3313615.79</v>
      </c>
      <c r="H28" s="122">
        <v>9.4845455968015122E-2</v>
      </c>
      <c r="I28" s="67">
        <f t="shared" si="1"/>
        <v>0.10649559883791562</v>
      </c>
      <c r="J28" s="67">
        <f>ROUND(C28/(B28*24*31),5)</f>
        <v>0.67825999999999997</v>
      </c>
      <c r="K28" s="67"/>
      <c r="L28" s="67"/>
    </row>
    <row r="29" spans="1:12" ht="15">
      <c r="A29" s="120">
        <v>40791</v>
      </c>
      <c r="B29" s="126">
        <v>62640</v>
      </c>
      <c r="C29" s="126">
        <v>27651837</v>
      </c>
      <c r="D29" s="126">
        <v>60568</v>
      </c>
      <c r="E29" s="121">
        <v>2602412.69</v>
      </c>
      <c r="F29" s="121">
        <v>233217.43</v>
      </c>
      <c r="G29" s="121">
        <v>2835630.12</v>
      </c>
      <c r="H29" s="122">
        <v>0.10254762170050402</v>
      </c>
      <c r="I29" s="67">
        <f t="shared" si="1"/>
        <v>8.4288830065392048E-2</v>
      </c>
      <c r="J29" s="67">
        <f>ROUND(C29/(B29*24*30),5)</f>
        <v>0.61311000000000004</v>
      </c>
      <c r="K29" s="67"/>
      <c r="L29" s="67"/>
    </row>
    <row r="30" spans="1:12" ht="15">
      <c r="A30" s="120">
        <v>40821</v>
      </c>
      <c r="B30" s="127">
        <v>46366</v>
      </c>
      <c r="C30" s="127">
        <v>23388313</v>
      </c>
      <c r="D30" s="126">
        <v>61585</v>
      </c>
      <c r="E30" s="121">
        <v>2323226.29</v>
      </c>
      <c r="F30" s="121">
        <v>235121.58</v>
      </c>
      <c r="G30" s="121">
        <v>2558347.87</v>
      </c>
      <c r="H30" s="122">
        <v>0.10938573765452857</v>
      </c>
      <c r="I30" s="67">
        <f t="shared" si="1"/>
        <v>7.1292679035146911E-2</v>
      </c>
      <c r="J30" s="67">
        <f>ROUND(C30/(B30*24*31),5)</f>
        <v>0.67798999999999998</v>
      </c>
      <c r="K30" s="67"/>
      <c r="L30" s="67"/>
    </row>
    <row r="31" spans="1:12" ht="15">
      <c r="A31" s="120">
        <v>40852</v>
      </c>
      <c r="B31" s="127">
        <v>50431</v>
      </c>
      <c r="C31" s="127">
        <v>22757139</v>
      </c>
      <c r="D31" s="126">
        <v>61256</v>
      </c>
      <c r="E31" s="121">
        <v>2281895.41</v>
      </c>
      <c r="F31" s="121">
        <v>233738.68</v>
      </c>
      <c r="G31" s="121">
        <v>2515634.0900000003</v>
      </c>
      <c r="H31" s="122">
        <v>0.11054263411582627</v>
      </c>
      <c r="I31" s="67">
        <f t="shared" si="1"/>
        <v>6.9368723023555581E-2</v>
      </c>
      <c r="J31" s="67">
        <f>ROUND(C31/(B31*24*30),5)</f>
        <v>0.62673999999999996</v>
      </c>
      <c r="K31" s="67"/>
      <c r="L31" s="67"/>
    </row>
    <row r="32" spans="1:12" ht="15">
      <c r="A32" s="120">
        <v>40882</v>
      </c>
      <c r="B32" s="127">
        <v>61257</v>
      </c>
      <c r="C32" s="127">
        <v>25167124</v>
      </c>
      <c r="D32" s="126">
        <v>60697</v>
      </c>
      <c r="E32" s="121">
        <v>2439707.36</v>
      </c>
      <c r="F32" s="121">
        <v>232306.43</v>
      </c>
      <c r="G32" s="121">
        <v>2672013.79</v>
      </c>
      <c r="H32" s="122">
        <v>0.10617080402194545</v>
      </c>
      <c r="I32" s="67">
        <f t="shared" si="1"/>
        <v>7.6714882923353336E-2</v>
      </c>
      <c r="J32" s="67">
        <f>ROUND(C32/(B32*24*31),5)</f>
        <v>0.55220999999999998</v>
      </c>
      <c r="K32" s="67"/>
      <c r="L32" s="67"/>
    </row>
    <row r="33" spans="1:12" ht="15">
      <c r="A33" s="133" t="s">
        <v>19</v>
      </c>
      <c r="B33" s="134">
        <v>727077</v>
      </c>
      <c r="C33" s="134">
        <v>328060515</v>
      </c>
      <c r="D33" s="134">
        <v>736729</v>
      </c>
      <c r="E33" s="135">
        <v>30982637.830000002</v>
      </c>
      <c r="F33" s="135">
        <v>2815911.1800000006</v>
      </c>
      <c r="G33" s="125">
        <v>33798549.009999998</v>
      </c>
      <c r="H33" s="122">
        <v>9.4441837445752963E-2</v>
      </c>
      <c r="I33" s="67">
        <f>+SUM(I21:I32)</f>
        <v>1</v>
      </c>
      <c r="J33" s="21">
        <f>AVERAGE(J21:J32)</f>
        <v>0.6203683333333333</v>
      </c>
      <c r="K33" s="67"/>
      <c r="L33" s="67"/>
    </row>
    <row r="34" spans="1:12" ht="15">
      <c r="A34" s="137"/>
      <c r="B34" s="138"/>
      <c r="C34" s="138"/>
      <c r="D34" s="138"/>
      <c r="E34" s="139"/>
      <c r="F34" s="139"/>
      <c r="G34" s="131"/>
      <c r="H34" s="132"/>
      <c r="I34" s="67"/>
      <c r="J34" s="67"/>
      <c r="K34" s="67"/>
      <c r="L34" s="67"/>
    </row>
    <row r="35" spans="1:12" ht="15">
      <c r="A35" s="129"/>
      <c r="B35" s="130"/>
      <c r="C35" s="130"/>
      <c r="D35" s="130"/>
      <c r="E35" s="131"/>
      <c r="F35" s="131"/>
      <c r="G35" s="131"/>
      <c r="H35" s="132"/>
      <c r="I35" s="67"/>
      <c r="J35" s="67"/>
      <c r="K35" s="67"/>
      <c r="L35" s="67"/>
    </row>
    <row r="36" spans="1:12" ht="15">
      <c r="A36" s="111"/>
      <c r="B36" s="136"/>
      <c r="C36" s="136"/>
      <c r="D36" s="82"/>
      <c r="E36" s="110"/>
      <c r="F36" s="109"/>
    </row>
    <row r="37" spans="1:12" ht="25.5">
      <c r="A37" s="208" t="s">
        <v>97</v>
      </c>
      <c r="B37" s="209"/>
      <c r="C37" s="209"/>
      <c r="D37" s="209"/>
      <c r="E37" s="209"/>
      <c r="F37" s="209"/>
      <c r="G37" s="209"/>
      <c r="H37" s="210"/>
    </row>
    <row r="38" spans="1:12" ht="15">
      <c r="A38" s="118"/>
      <c r="B38" s="119" t="s">
        <v>51</v>
      </c>
      <c r="C38" s="118" t="s">
        <v>49</v>
      </c>
      <c r="D38" s="118" t="s">
        <v>52</v>
      </c>
      <c r="E38" s="118" t="s">
        <v>94</v>
      </c>
      <c r="F38" s="118" t="s">
        <v>95</v>
      </c>
      <c r="G38" s="118" t="s">
        <v>53</v>
      </c>
      <c r="H38" s="118" t="s">
        <v>50</v>
      </c>
      <c r="I38" s="103" t="s">
        <v>90</v>
      </c>
      <c r="J38" s="140" t="s">
        <v>91</v>
      </c>
      <c r="K38" s="67"/>
      <c r="L38" s="67"/>
    </row>
    <row r="39" spans="1:12" ht="15">
      <c r="A39" s="120">
        <v>40909</v>
      </c>
      <c r="B39" s="126">
        <v>70644</v>
      </c>
      <c r="C39" s="126">
        <v>25334508</v>
      </c>
      <c r="D39" s="126">
        <v>60722</v>
      </c>
      <c r="E39" s="121">
        <v>2462431.73</v>
      </c>
      <c r="F39" s="121">
        <v>230131.14</v>
      </c>
      <c r="G39" s="121">
        <v>2692562.87</v>
      </c>
      <c r="H39" s="122">
        <v>0.10628044839078778</v>
      </c>
      <c r="I39" s="67">
        <f>(C39)/($C$51)</f>
        <v>8.0656333403304761E-2</v>
      </c>
      <c r="J39" s="67">
        <f>ROUND(C39/(B39*24*31),5)</f>
        <v>0.48202</v>
      </c>
      <c r="K39" s="67"/>
      <c r="L39" s="67"/>
    </row>
    <row r="40" spans="1:12" ht="15">
      <c r="A40" s="120">
        <v>40940</v>
      </c>
      <c r="B40" s="126">
        <v>66843</v>
      </c>
      <c r="C40" s="126">
        <v>22472613</v>
      </c>
      <c r="D40" s="126">
        <v>59442</v>
      </c>
      <c r="E40" s="121">
        <v>2283842.4300000002</v>
      </c>
      <c r="F40" s="121">
        <v>227024.34</v>
      </c>
      <c r="G40" s="121">
        <v>2510866.77</v>
      </c>
      <c r="H40" s="122">
        <v>0.1117300765158017</v>
      </c>
      <c r="I40" s="67">
        <f t="shared" ref="I40:I50" si="2">(C40)/($C$51)</f>
        <v>7.1545047039059964E-2</v>
      </c>
      <c r="J40" s="67">
        <f>ROUND(C40/(B40*24*28),5)</f>
        <v>0.50029999999999997</v>
      </c>
      <c r="K40" s="67"/>
      <c r="L40" s="67"/>
    </row>
    <row r="41" spans="1:12" ht="15">
      <c r="A41" s="120">
        <v>40969</v>
      </c>
      <c r="B41" s="126">
        <v>44096</v>
      </c>
      <c r="C41" s="126">
        <v>23052445</v>
      </c>
      <c r="D41" s="126">
        <v>58004</v>
      </c>
      <c r="E41" s="121">
        <v>2320025.37</v>
      </c>
      <c r="F41" s="121">
        <v>218573.19</v>
      </c>
      <c r="G41" s="121">
        <v>2538598.56</v>
      </c>
      <c r="H41" s="122">
        <v>0.11012274663273246</v>
      </c>
      <c r="I41" s="67">
        <f t="shared" si="2"/>
        <v>7.3391032092722935E-2</v>
      </c>
      <c r="J41" s="67">
        <f>ROUND(C41/(B41*24*31),5)</f>
        <v>0.70265999999999995</v>
      </c>
      <c r="K41" s="67"/>
      <c r="L41" s="67"/>
    </row>
    <row r="42" spans="1:12" ht="15">
      <c r="A42" s="120">
        <v>41000</v>
      </c>
      <c r="B42" s="126">
        <v>54663</v>
      </c>
      <c r="C42" s="126">
        <v>22576393</v>
      </c>
      <c r="D42" s="126">
        <v>58567</v>
      </c>
      <c r="E42" s="121">
        <v>2290318.5499999998</v>
      </c>
      <c r="F42" s="121">
        <v>224719.6</v>
      </c>
      <c r="G42" s="121">
        <v>2515038.15</v>
      </c>
      <c r="H42" s="122">
        <v>0.11140123889586791</v>
      </c>
      <c r="I42" s="67">
        <f t="shared" si="2"/>
        <v>7.1875446756338668E-2</v>
      </c>
      <c r="J42" s="67">
        <f>ROUND(C42/(B42*24*30),5)</f>
        <v>0.57362999999999997</v>
      </c>
      <c r="K42" s="67"/>
      <c r="L42" s="67"/>
    </row>
    <row r="43" spans="1:12" ht="15">
      <c r="A43" s="120">
        <v>41034</v>
      </c>
      <c r="B43" s="126">
        <v>61595</v>
      </c>
      <c r="C43" s="126">
        <v>27942808</v>
      </c>
      <c r="D43" s="126">
        <v>58634</v>
      </c>
      <c r="E43" s="121">
        <v>3381240.75</v>
      </c>
      <c r="F43" s="121">
        <v>225242.85</v>
      </c>
      <c r="G43" s="121">
        <v>3606483.6</v>
      </c>
      <c r="H43" s="122">
        <v>0.12906661349138571</v>
      </c>
      <c r="I43" s="67">
        <f t="shared" si="2"/>
        <v>8.8960260774455596E-2</v>
      </c>
      <c r="J43" s="67">
        <f>ROUND(C43/(B43*24*31),5)</f>
        <v>0.60975000000000001</v>
      </c>
      <c r="K43" s="67"/>
      <c r="L43" s="67"/>
    </row>
    <row r="44" spans="1:12" ht="15">
      <c r="A44" s="120">
        <v>41065</v>
      </c>
      <c r="B44" s="126">
        <v>62723</v>
      </c>
      <c r="C44" s="126">
        <v>28825730</v>
      </c>
      <c r="D44" s="126">
        <v>59278</v>
      </c>
      <c r="E44" s="121">
        <v>2680292.58</v>
      </c>
      <c r="F44" s="121">
        <v>226821.59</v>
      </c>
      <c r="G44" s="121">
        <v>2907114.17</v>
      </c>
      <c r="H44" s="122">
        <v>0.10085136334795337</v>
      </c>
      <c r="I44" s="67">
        <f t="shared" si="2"/>
        <v>9.1771179826095076E-2</v>
      </c>
      <c r="J44" s="67">
        <f>ROUND(C44/(B44*24*30),5)</f>
        <v>0.63829000000000002</v>
      </c>
      <c r="K44" s="67"/>
      <c r="L44" s="67"/>
    </row>
    <row r="45" spans="1:12" ht="15">
      <c r="A45" s="120">
        <v>41095</v>
      </c>
      <c r="B45" s="126">
        <v>66243</v>
      </c>
      <c r="C45" s="126">
        <v>32608586</v>
      </c>
      <c r="D45" s="126">
        <v>59197</v>
      </c>
      <c r="E45" s="121">
        <v>2665259.31</v>
      </c>
      <c r="F45" s="121">
        <v>221654.35</v>
      </c>
      <c r="G45" s="121">
        <v>2886913.66</v>
      </c>
      <c r="H45" s="122">
        <v>8.8532316611336662E-2</v>
      </c>
      <c r="I45" s="67">
        <f t="shared" si="2"/>
        <v>0.10381448829502969</v>
      </c>
      <c r="J45" s="67">
        <f>ROUND(C45/(B45*24*31),5)</f>
        <v>0.66164000000000001</v>
      </c>
      <c r="K45" s="67"/>
      <c r="L45" s="67"/>
    </row>
    <row r="46" spans="1:12" ht="15">
      <c r="A46" s="120">
        <v>41126</v>
      </c>
      <c r="B46" s="126">
        <v>65544</v>
      </c>
      <c r="C46" s="126">
        <v>30857455</v>
      </c>
      <c r="D46" s="126">
        <v>58806</v>
      </c>
      <c r="E46" s="121">
        <v>2569468.4900000002</v>
      </c>
      <c r="F46" s="121">
        <v>221020.33</v>
      </c>
      <c r="G46" s="121">
        <v>2790488.8200000003</v>
      </c>
      <c r="H46" s="122">
        <v>9.043159327300325E-2</v>
      </c>
      <c r="I46" s="67">
        <f t="shared" si="2"/>
        <v>9.823949130796121E-2</v>
      </c>
      <c r="J46" s="67">
        <f>ROUND(C46/(B46*24*31),5)</f>
        <v>0.63278000000000001</v>
      </c>
      <c r="K46" s="67"/>
      <c r="L46" s="67"/>
    </row>
    <row r="47" spans="1:12" ht="15">
      <c r="A47" s="120">
        <v>41157</v>
      </c>
      <c r="B47" s="126">
        <v>59900</v>
      </c>
      <c r="C47" s="126">
        <v>27295395</v>
      </c>
      <c r="D47" s="126">
        <v>58866</v>
      </c>
      <c r="E47" s="121">
        <v>2374615.7599999998</v>
      </c>
      <c r="F47" s="121">
        <v>221029.24</v>
      </c>
      <c r="G47" s="121">
        <v>2595645</v>
      </c>
      <c r="H47" s="122">
        <v>9.5094612113142157E-2</v>
      </c>
      <c r="I47" s="67">
        <f t="shared" si="2"/>
        <v>8.6899121131339824E-2</v>
      </c>
      <c r="J47" s="67">
        <f>ROUND(C47/(B47*24*30),5)</f>
        <v>0.63288999999999995</v>
      </c>
      <c r="K47" s="67"/>
      <c r="L47" s="67"/>
    </row>
    <row r="48" spans="1:12" ht="15">
      <c r="A48" s="120">
        <v>41187</v>
      </c>
      <c r="B48" s="127">
        <v>48989</v>
      </c>
      <c r="C48" s="127">
        <v>24266224</v>
      </c>
      <c r="D48" s="126">
        <v>58545</v>
      </c>
      <c r="E48" s="121">
        <v>2208913.2599999998</v>
      </c>
      <c r="F48" s="121">
        <v>220005.33</v>
      </c>
      <c r="G48" s="121">
        <v>2428918.59</v>
      </c>
      <c r="H48" s="122">
        <v>0.10009462494041099</v>
      </c>
      <c r="I48" s="67">
        <f t="shared" si="2"/>
        <v>7.7255285691092787E-2</v>
      </c>
      <c r="J48" s="67">
        <f>ROUND(C48/(B48*24*31),5)</f>
        <v>0.66578000000000004</v>
      </c>
      <c r="K48" s="67"/>
      <c r="L48" s="67"/>
    </row>
    <row r="49" spans="1:12" ht="15">
      <c r="A49" s="120">
        <v>41218</v>
      </c>
      <c r="B49" s="127">
        <v>49365</v>
      </c>
      <c r="C49" s="127">
        <v>23178568</v>
      </c>
      <c r="D49" s="126">
        <v>58346</v>
      </c>
      <c r="E49" s="121">
        <v>2149416.02</v>
      </c>
      <c r="F49" s="121">
        <v>219136.28</v>
      </c>
      <c r="G49" s="121">
        <v>2368552.2999999998</v>
      </c>
      <c r="H49" s="122">
        <v>0.10218717135588358</v>
      </c>
      <c r="I49" s="67">
        <f t="shared" si="2"/>
        <v>7.3792564213963463E-2</v>
      </c>
      <c r="J49" s="67">
        <f>ROUND(C49/(B49*24*30),5)</f>
        <v>0.65212999999999999</v>
      </c>
      <c r="K49" s="67"/>
      <c r="L49" s="67"/>
    </row>
    <row r="50" spans="1:12" ht="15">
      <c r="A50" s="120">
        <v>41248</v>
      </c>
      <c r="B50" s="127">
        <v>57068</v>
      </c>
      <c r="C50" s="127">
        <v>25693660</v>
      </c>
      <c r="D50" s="126">
        <v>58284</v>
      </c>
      <c r="E50" s="121">
        <v>2286997.2400000002</v>
      </c>
      <c r="F50" s="121">
        <v>218916.06</v>
      </c>
      <c r="G50" s="121">
        <v>2505913.3000000003</v>
      </c>
      <c r="H50" s="122">
        <v>9.7530414117723993E-2</v>
      </c>
      <c r="I50" s="67">
        <f t="shared" si="2"/>
        <v>8.1799749468636038E-2</v>
      </c>
      <c r="J50" s="67">
        <f>ROUND(C50/(B50*24*31),5)</f>
        <v>0.60514999999999997</v>
      </c>
      <c r="K50" s="67"/>
      <c r="L50" s="67"/>
    </row>
    <row r="51" spans="1:12" ht="15">
      <c r="A51" s="133" t="s">
        <v>19</v>
      </c>
      <c r="B51" s="134">
        <v>707673</v>
      </c>
      <c r="C51" s="134">
        <v>314104385</v>
      </c>
      <c r="D51" s="134">
        <v>706691</v>
      </c>
      <c r="E51" s="135">
        <v>29672821.489999995</v>
      </c>
      <c r="F51" s="135">
        <v>2674274.2999999998</v>
      </c>
      <c r="G51" s="125">
        <v>32347095.790000003</v>
      </c>
      <c r="H51" s="122">
        <v>9.4468026894944476E-2</v>
      </c>
      <c r="I51" s="67">
        <f>+SUM(I39:I50)</f>
        <v>0.99999999999999978</v>
      </c>
      <c r="J51" s="21">
        <f>AVERAGE(J39:J50)</f>
        <v>0.61308499999999999</v>
      </c>
      <c r="K51" s="67"/>
      <c r="L51" s="67"/>
    </row>
    <row r="52" spans="1:12" ht="15">
      <c r="A52" s="137"/>
      <c r="B52" s="138"/>
      <c r="C52" s="138"/>
      <c r="D52" s="138"/>
      <c r="E52" s="139"/>
      <c r="F52" s="139"/>
      <c r="G52" s="131"/>
      <c r="H52" s="132"/>
      <c r="I52" s="67"/>
      <c r="J52" s="67"/>
      <c r="K52" s="67"/>
      <c r="L52" s="67"/>
    </row>
    <row r="53" spans="1:12" ht="15">
      <c r="A53" s="129"/>
      <c r="B53" s="130"/>
      <c r="C53" s="130"/>
      <c r="D53" s="130"/>
      <c r="E53" s="131"/>
      <c r="F53" s="131"/>
      <c r="G53" s="131"/>
      <c r="H53" s="132"/>
      <c r="I53" s="67"/>
      <c r="J53" s="67"/>
      <c r="K53" s="67"/>
      <c r="L53" s="67"/>
    </row>
    <row r="54" spans="1:12" ht="15">
      <c r="A54" s="141"/>
      <c r="B54" s="142"/>
      <c r="C54" s="142"/>
      <c r="D54" s="143"/>
      <c r="E54" s="144"/>
      <c r="F54" s="145"/>
    </row>
    <row r="55" spans="1:12" ht="25.5">
      <c r="A55" s="211" t="s">
        <v>98</v>
      </c>
      <c r="B55" s="212"/>
      <c r="C55" s="212"/>
      <c r="D55" s="212"/>
      <c r="E55" s="212"/>
      <c r="F55" s="212"/>
      <c r="G55" s="212"/>
      <c r="H55" s="213"/>
    </row>
    <row r="56" spans="1:12">
      <c r="A56" s="3"/>
      <c r="B56" s="147" t="s">
        <v>51</v>
      </c>
      <c r="C56" s="3" t="s">
        <v>49</v>
      </c>
      <c r="D56" s="3" t="s">
        <v>52</v>
      </c>
      <c r="E56" s="3" t="s">
        <v>94</v>
      </c>
      <c r="F56" s="3" t="s">
        <v>95</v>
      </c>
      <c r="G56" s="3" t="s">
        <v>53</v>
      </c>
      <c r="H56" s="3" t="s">
        <v>50</v>
      </c>
      <c r="I56" s="103" t="s">
        <v>90</v>
      </c>
      <c r="J56" s="103" t="s">
        <v>91</v>
      </c>
      <c r="K56" s="67"/>
      <c r="L56" s="67"/>
    </row>
    <row r="57" spans="1:12">
      <c r="A57" s="148">
        <v>41275</v>
      </c>
      <c r="B57" s="149">
        <v>57581</v>
      </c>
      <c r="C57" s="149">
        <v>24917444</v>
      </c>
      <c r="D57" s="149">
        <v>58600</v>
      </c>
      <c r="E57" s="150">
        <v>2193480.54</v>
      </c>
      <c r="F57" s="150">
        <v>223676.06</v>
      </c>
      <c r="G57" s="150">
        <f>E57+F57</f>
        <v>2417156.6</v>
      </c>
      <c r="H57" s="151">
        <f t="shared" ref="H57:H68" si="3">G57/C57</f>
        <v>9.7006603084971318E-2</v>
      </c>
      <c r="I57" s="67">
        <f>(C57)/($C$69)</f>
        <v>8.0416195856630707E-2</v>
      </c>
      <c r="J57" s="67">
        <f>ROUND(C57/(B57*24*31),5)</f>
        <v>0.58164000000000005</v>
      </c>
      <c r="K57" s="67"/>
      <c r="L57" s="67"/>
    </row>
    <row r="58" spans="1:12">
      <c r="A58" s="148">
        <v>41306</v>
      </c>
      <c r="B58" s="149">
        <v>60632</v>
      </c>
      <c r="C58" s="149">
        <v>22515414</v>
      </c>
      <c r="D58" s="149">
        <v>57108</v>
      </c>
      <c r="E58" s="150">
        <v>2071726.72</v>
      </c>
      <c r="F58" s="150">
        <v>220015.92</v>
      </c>
      <c r="G58" s="150">
        <f t="shared" ref="G58:G68" si="4">E58+F58</f>
        <v>2291742.64</v>
      </c>
      <c r="H58" s="151">
        <f t="shared" si="3"/>
        <v>0.10178549859220888</v>
      </c>
      <c r="I58" s="67">
        <f t="shared" ref="I58:I68" si="5">(C58)/($C$69)</f>
        <v>7.2664112017955182E-2</v>
      </c>
      <c r="J58" s="67">
        <f>ROUND(C58/(B58*24*28),5)</f>
        <v>0.55259999999999998</v>
      </c>
      <c r="K58" s="67"/>
      <c r="L58" s="67"/>
    </row>
    <row r="59" spans="1:12">
      <c r="A59" s="148">
        <v>41334</v>
      </c>
      <c r="B59" s="149">
        <v>61473</v>
      </c>
      <c r="C59" s="149">
        <v>24361046</v>
      </c>
      <c r="D59" s="149">
        <v>55639</v>
      </c>
      <c r="E59" s="150">
        <v>1234809.8999999999</v>
      </c>
      <c r="F59" s="150">
        <v>216300.16</v>
      </c>
      <c r="G59" s="150">
        <f t="shared" si="4"/>
        <v>1451110.0599999998</v>
      </c>
      <c r="H59" s="151">
        <f t="shared" si="3"/>
        <v>5.9566820735037398E-2</v>
      </c>
      <c r="I59" s="67">
        <f t="shared" si="5"/>
        <v>7.8620529714379619E-2</v>
      </c>
      <c r="J59" s="67">
        <f>ROUND(C59/(B59*24*31),5)</f>
        <v>0.53264999999999996</v>
      </c>
      <c r="K59" s="67"/>
      <c r="L59" s="67"/>
    </row>
    <row r="60" spans="1:12">
      <c r="A60" s="148">
        <v>41365</v>
      </c>
      <c r="B60" s="149">
        <v>45697</v>
      </c>
      <c r="C60" s="149">
        <v>21950706</v>
      </c>
      <c r="D60" s="149">
        <v>55119</v>
      </c>
      <c r="E60" s="150">
        <v>210510.99</v>
      </c>
      <c r="F60" s="150">
        <v>215169.25</v>
      </c>
      <c r="G60" s="150">
        <f t="shared" si="4"/>
        <v>425680.24</v>
      </c>
      <c r="H60" s="151">
        <f t="shared" si="3"/>
        <v>1.9392553478689935E-2</v>
      </c>
      <c r="I60" s="67">
        <f t="shared" si="5"/>
        <v>7.0841626969737295E-2</v>
      </c>
      <c r="J60" s="67">
        <f>ROUND(C60/(B60*24*30),5)</f>
        <v>0.66715999999999998</v>
      </c>
      <c r="K60" s="67"/>
      <c r="L60" s="67"/>
    </row>
    <row r="61" spans="1:12">
      <c r="A61" s="148">
        <v>41399</v>
      </c>
      <c r="B61" s="149">
        <v>56912</v>
      </c>
      <c r="C61" s="149">
        <v>25381308</v>
      </c>
      <c r="D61" s="149">
        <v>56630</v>
      </c>
      <c r="E61" s="150">
        <v>2151024.8199999998</v>
      </c>
      <c r="F61" s="150">
        <v>218657.38</v>
      </c>
      <c r="G61" s="150">
        <f t="shared" si="4"/>
        <v>2369682.1999999997</v>
      </c>
      <c r="H61" s="151">
        <f t="shared" si="3"/>
        <v>9.3363281356500613E-2</v>
      </c>
      <c r="I61" s="67">
        <f t="shared" si="5"/>
        <v>8.1913226542235554E-2</v>
      </c>
      <c r="J61" s="67">
        <f>ROUND(C61/(B61*24*31),5)</f>
        <v>0.59943000000000002</v>
      </c>
      <c r="K61" s="67"/>
      <c r="L61" s="67"/>
    </row>
    <row r="62" spans="1:12">
      <c r="A62" s="148">
        <v>41430</v>
      </c>
      <c r="B62" s="149">
        <v>64280</v>
      </c>
      <c r="C62" s="149">
        <v>29535698</v>
      </c>
      <c r="D62" s="149">
        <v>55599</v>
      </c>
      <c r="E62" s="150">
        <v>2361602.06</v>
      </c>
      <c r="F62" s="150">
        <v>216399.48</v>
      </c>
      <c r="G62" s="150">
        <f t="shared" si="4"/>
        <v>2578001.54</v>
      </c>
      <c r="H62" s="151">
        <f t="shared" si="3"/>
        <v>8.7284259881042936E-2</v>
      </c>
      <c r="I62" s="67">
        <f t="shared" si="5"/>
        <v>9.5320710869473455E-2</v>
      </c>
      <c r="J62" s="67">
        <f>ROUND(C62/(B62*24*30),5)</f>
        <v>0.63817000000000002</v>
      </c>
      <c r="K62" s="67"/>
      <c r="L62" s="67"/>
    </row>
    <row r="63" spans="1:12">
      <c r="A63" s="148">
        <v>41460</v>
      </c>
      <c r="B63" s="149">
        <v>61879</v>
      </c>
      <c r="C63" s="149">
        <v>29550909</v>
      </c>
      <c r="D63" s="149">
        <v>55207</v>
      </c>
      <c r="E63" s="150">
        <v>2362373.08</v>
      </c>
      <c r="F63" s="150">
        <v>215735.94</v>
      </c>
      <c r="G63" s="150">
        <f t="shared" si="4"/>
        <v>2578109.02</v>
      </c>
      <c r="H63" s="151">
        <f t="shared" si="3"/>
        <v>8.7242968397351156E-2</v>
      </c>
      <c r="I63" s="67">
        <f t="shared" si="5"/>
        <v>9.53698014084218E-2</v>
      </c>
      <c r="J63" s="67">
        <f>ROUND(C63/(B63*24*31),5)</f>
        <v>0.64188000000000001</v>
      </c>
      <c r="K63" s="67"/>
      <c r="L63" s="67"/>
    </row>
    <row r="64" spans="1:12">
      <c r="A64" s="148">
        <v>41491</v>
      </c>
      <c r="B64" s="149">
        <v>63972</v>
      </c>
      <c r="C64" s="149">
        <v>30742395</v>
      </c>
      <c r="D64" s="149">
        <v>55338</v>
      </c>
      <c r="E64" s="150">
        <v>2422766.98</v>
      </c>
      <c r="F64" s="150">
        <v>216053.69</v>
      </c>
      <c r="G64" s="150">
        <f t="shared" si="4"/>
        <v>2638820.67</v>
      </c>
      <c r="H64" s="151">
        <f t="shared" si="3"/>
        <v>8.5836535182115772E-2</v>
      </c>
      <c r="I64" s="67">
        <f t="shared" si="5"/>
        <v>9.9215090336789949E-2</v>
      </c>
      <c r="J64" s="67">
        <f>ROUND(C64/(B64*24*31),5)</f>
        <v>0.64590999999999998</v>
      </c>
      <c r="K64" s="67"/>
      <c r="L64" s="67"/>
    </row>
    <row r="65" spans="1:12">
      <c r="A65" s="148">
        <v>41522</v>
      </c>
      <c r="B65" s="149">
        <v>61904</v>
      </c>
      <c r="C65" s="149">
        <v>28268462</v>
      </c>
      <c r="D65" s="149">
        <v>55100</v>
      </c>
      <c r="E65" s="150">
        <v>2297368.5499999998</v>
      </c>
      <c r="F65" s="150">
        <v>215559.8</v>
      </c>
      <c r="G65" s="150">
        <f t="shared" si="4"/>
        <v>2512928.3499999996</v>
      </c>
      <c r="H65" s="151">
        <f t="shared" si="3"/>
        <v>8.88951210009232E-2</v>
      </c>
      <c r="I65" s="67">
        <f t="shared" si="5"/>
        <v>9.1230953574440568E-2</v>
      </c>
      <c r="J65" s="67">
        <f>ROUND(C65/(B65*24*30),5)</f>
        <v>0.63424000000000003</v>
      </c>
      <c r="K65" s="67"/>
      <c r="L65" s="67"/>
    </row>
    <row r="66" spans="1:12">
      <c r="A66" s="148">
        <v>41552</v>
      </c>
      <c r="B66" s="152">
        <v>55085</v>
      </c>
      <c r="C66" s="152">
        <v>23925987</v>
      </c>
      <c r="D66" s="149">
        <v>54730</v>
      </c>
      <c r="E66" s="150">
        <v>2077257.68</v>
      </c>
      <c r="F66" s="150">
        <v>214496.07</v>
      </c>
      <c r="G66" s="150">
        <f t="shared" si="4"/>
        <v>2291753.75</v>
      </c>
      <c r="H66" s="151">
        <f t="shared" si="3"/>
        <v>9.5785128947867434E-2</v>
      </c>
      <c r="I66" s="67">
        <f t="shared" si="5"/>
        <v>7.7216461554210788E-2</v>
      </c>
      <c r="J66" s="67">
        <f>ROUND(C66/(B66*24*31),5)</f>
        <v>0.58379999999999999</v>
      </c>
      <c r="K66" s="67"/>
      <c r="L66" s="67"/>
    </row>
    <row r="67" spans="1:12">
      <c r="A67" s="148">
        <v>41583</v>
      </c>
      <c r="B67" s="153">
        <v>54034</v>
      </c>
      <c r="C67" s="153">
        <v>23090567</v>
      </c>
      <c r="D67" s="4">
        <v>54648</v>
      </c>
      <c r="E67" s="150">
        <v>2034912</v>
      </c>
      <c r="F67" s="150">
        <v>213969.71</v>
      </c>
      <c r="G67" s="150">
        <f t="shared" si="4"/>
        <v>2248881.71</v>
      </c>
      <c r="H67" s="151">
        <f t="shared" si="3"/>
        <v>9.7393957887651691E-2</v>
      </c>
      <c r="I67" s="67">
        <f t="shared" si="5"/>
        <v>7.4520306268678838E-2</v>
      </c>
      <c r="J67" s="67">
        <f>ROUND(C67/(B67*24*30),5)</f>
        <v>0.59352000000000005</v>
      </c>
      <c r="K67" s="67"/>
      <c r="L67" s="67"/>
    </row>
    <row r="68" spans="1:12">
      <c r="A68" s="148">
        <v>41613</v>
      </c>
      <c r="B68" s="153">
        <v>58226</v>
      </c>
      <c r="C68" s="153">
        <v>25616104</v>
      </c>
      <c r="D68" s="4">
        <v>55539</v>
      </c>
      <c r="E68" s="150">
        <v>2162926.13</v>
      </c>
      <c r="F68" s="150">
        <v>216067.71</v>
      </c>
      <c r="G68" s="150">
        <f t="shared" si="4"/>
        <v>2378993.84</v>
      </c>
      <c r="H68" s="151">
        <f t="shared" si="3"/>
        <v>9.2871025195712817E-2</v>
      </c>
      <c r="I68" s="67">
        <f t="shared" si="5"/>
        <v>8.2670984887046259E-2</v>
      </c>
      <c r="J68" s="67">
        <f>ROUND(C68/(B68*24*31),5)</f>
        <v>0.59131999999999996</v>
      </c>
      <c r="K68" s="67"/>
      <c r="L68" s="67"/>
    </row>
    <row r="69" spans="1:12">
      <c r="A69" s="154" t="s">
        <v>19</v>
      </c>
      <c r="B69" s="155">
        <f t="shared" ref="B69:G69" si="6">SUM(B57:B68)</f>
        <v>701675</v>
      </c>
      <c r="C69" s="155">
        <f t="shared" si="6"/>
        <v>309856040</v>
      </c>
      <c r="D69" s="155">
        <f t="shared" si="6"/>
        <v>669257</v>
      </c>
      <c r="E69" s="156">
        <f t="shared" si="6"/>
        <v>23580759.449999999</v>
      </c>
      <c r="F69" s="156">
        <f t="shared" si="6"/>
        <v>2602101.17</v>
      </c>
      <c r="G69" s="156">
        <f t="shared" si="6"/>
        <v>26182860.620000001</v>
      </c>
      <c r="H69" s="151">
        <f>E69/C69</f>
        <v>7.6102306897099695E-2</v>
      </c>
      <c r="I69" s="67">
        <f>+SUM(I57:I68)</f>
        <v>1</v>
      </c>
      <c r="J69" s="21">
        <f>AVERAGE(J57:J68)</f>
        <v>0.60519333333333336</v>
      </c>
      <c r="K69" s="67"/>
      <c r="L69" s="67"/>
    </row>
    <row r="73" spans="1:12" ht="25.5">
      <c r="A73" s="211" t="s">
        <v>99</v>
      </c>
      <c r="B73" s="214"/>
      <c r="C73" s="214"/>
      <c r="D73" s="214"/>
      <c r="E73" s="214"/>
      <c r="F73" s="214"/>
      <c r="G73" s="214"/>
      <c r="H73" s="215"/>
    </row>
    <row r="74" spans="1:12">
      <c r="A74" s="3"/>
      <c r="B74" s="147" t="s">
        <v>51</v>
      </c>
      <c r="C74" s="3" t="s">
        <v>49</v>
      </c>
      <c r="D74" s="3" t="s">
        <v>52</v>
      </c>
      <c r="E74" s="3" t="s">
        <v>94</v>
      </c>
      <c r="F74" s="3" t="s">
        <v>95</v>
      </c>
      <c r="G74" s="3" t="s">
        <v>53</v>
      </c>
      <c r="H74" s="3" t="s">
        <v>50</v>
      </c>
      <c r="I74" s="103" t="s">
        <v>90</v>
      </c>
      <c r="J74" s="103" t="s">
        <v>91</v>
      </c>
    </row>
    <row r="75" spans="1:12">
      <c r="A75" s="148">
        <v>41640</v>
      </c>
      <c r="B75" s="149">
        <v>80416</v>
      </c>
      <c r="C75" s="149">
        <v>32651753</v>
      </c>
      <c r="D75" s="149">
        <v>56046</v>
      </c>
      <c r="E75" s="150">
        <v>2754982.48</v>
      </c>
      <c r="F75" s="150">
        <v>228196.28</v>
      </c>
      <c r="G75" s="150">
        <f>E75+F75</f>
        <v>2983178.76</v>
      </c>
      <c r="H75" s="151">
        <f t="shared" ref="H75:H86" si="7">G75/C75</f>
        <v>9.1363509946923827E-2</v>
      </c>
      <c r="I75" s="67">
        <f>(C75)/($C$87)</f>
        <v>0.10421093558484787</v>
      </c>
      <c r="J75" s="67">
        <f>ROUND(C75/(B75*24*31),5)</f>
        <v>0.54574999999999996</v>
      </c>
    </row>
    <row r="76" spans="1:12">
      <c r="A76" s="148">
        <v>41671</v>
      </c>
      <c r="B76" s="149">
        <v>60352</v>
      </c>
      <c r="C76" s="149">
        <v>22559528</v>
      </c>
      <c r="D76" s="149">
        <v>57285</v>
      </c>
      <c r="E76" s="150">
        <v>2186129.14</v>
      </c>
      <c r="F76" s="150">
        <v>231901.06</v>
      </c>
      <c r="G76" s="150">
        <f t="shared" ref="G76:G86" si="8">E76+F76</f>
        <v>2418030.2000000002</v>
      </c>
      <c r="H76" s="151">
        <f t="shared" si="7"/>
        <v>0.10718443222748278</v>
      </c>
      <c r="I76" s="67">
        <f t="shared" ref="I76:I86" si="9">(C76)/($C$87)</f>
        <v>7.2000713690091062E-2</v>
      </c>
      <c r="J76" s="67">
        <f>ROUND(C76/(B76*24*28),5)</f>
        <v>0.55625000000000002</v>
      </c>
      <c r="K76" s="67"/>
      <c r="L76" s="67"/>
    </row>
    <row r="77" spans="1:12">
      <c r="A77" s="148">
        <v>41699</v>
      </c>
      <c r="B77" s="149">
        <v>47686</v>
      </c>
      <c r="C77" s="149">
        <v>23396311</v>
      </c>
      <c r="D77" s="149">
        <v>59557</v>
      </c>
      <c r="E77" s="150">
        <v>2233294.84</v>
      </c>
      <c r="F77" s="150">
        <v>237151.77</v>
      </c>
      <c r="G77" s="150">
        <f t="shared" si="8"/>
        <v>2470446.61</v>
      </c>
      <c r="H77" s="151">
        <f t="shared" si="7"/>
        <v>0.10559128787440036</v>
      </c>
      <c r="I77" s="67">
        <f t="shared" si="9"/>
        <v>7.4671380080085364E-2</v>
      </c>
      <c r="J77" s="67">
        <f>ROUND(C77/(B77*24*31),5)</f>
        <v>0.65944999999999998</v>
      </c>
    </row>
    <row r="78" spans="1:12">
      <c r="A78" s="148">
        <v>41730</v>
      </c>
      <c r="B78" s="149">
        <v>38849</v>
      </c>
      <c r="C78" s="149">
        <v>18952601</v>
      </c>
      <c r="D78" s="149">
        <v>59533</v>
      </c>
      <c r="E78" s="150">
        <v>1982822.89</v>
      </c>
      <c r="F78" s="150">
        <v>237145.28</v>
      </c>
      <c r="G78" s="150">
        <f t="shared" si="8"/>
        <v>2219968.17</v>
      </c>
      <c r="H78" s="151">
        <f t="shared" si="7"/>
        <v>0.11713263894491314</v>
      </c>
      <c r="I78" s="67">
        <f t="shared" si="9"/>
        <v>6.0488889585080571E-2</v>
      </c>
      <c r="J78" s="67">
        <f>ROUND(C78/(B78*24*30),5)</f>
        <v>0.67757000000000001</v>
      </c>
    </row>
    <row r="79" spans="1:12">
      <c r="A79" s="148">
        <v>41764</v>
      </c>
      <c r="B79" s="149">
        <v>54606</v>
      </c>
      <c r="C79" s="149">
        <v>25562899</v>
      </c>
      <c r="D79" s="149">
        <v>58122</v>
      </c>
      <c r="E79" s="150">
        <v>2355415.66</v>
      </c>
      <c r="F79" s="150">
        <v>233165.66</v>
      </c>
      <c r="G79" s="150">
        <f t="shared" si="8"/>
        <v>2588581.3200000003</v>
      </c>
      <c r="H79" s="151">
        <f t="shared" si="7"/>
        <v>0.10126321431696773</v>
      </c>
      <c r="I79" s="67">
        <f t="shared" si="9"/>
        <v>8.1586235846233798E-2</v>
      </c>
      <c r="J79" s="67">
        <f>ROUND(C79/(B79*24*31),5)</f>
        <v>0.62921000000000005</v>
      </c>
    </row>
    <row r="80" spans="1:12">
      <c r="A80" s="148">
        <v>41795</v>
      </c>
      <c r="B80" s="149">
        <v>63415</v>
      </c>
      <c r="C80" s="149">
        <v>29040143</v>
      </c>
      <c r="D80" s="149">
        <v>57805</v>
      </c>
      <c r="E80" s="150">
        <v>2551412.27</v>
      </c>
      <c r="F80" s="150">
        <v>232784.07</v>
      </c>
      <c r="G80" s="150">
        <f t="shared" si="8"/>
        <v>2784196.34</v>
      </c>
      <c r="H80" s="151">
        <f t="shared" si="7"/>
        <v>9.5874057507223706E-2</v>
      </c>
      <c r="I80" s="67">
        <f t="shared" si="9"/>
        <v>9.2684165274304592E-2</v>
      </c>
      <c r="J80" s="67">
        <f>ROUND(C80/(B80*24*30),5)</f>
        <v>0.63602999999999998</v>
      </c>
    </row>
    <row r="81" spans="1:10">
      <c r="A81" s="148">
        <v>41825</v>
      </c>
      <c r="B81" s="149">
        <v>64897</v>
      </c>
      <c r="C81" s="149">
        <v>30776863</v>
      </c>
      <c r="D81" s="149">
        <v>57612</v>
      </c>
      <c r="E81" s="150">
        <v>2649303.37</v>
      </c>
      <c r="F81" s="150">
        <v>232511.9</v>
      </c>
      <c r="G81" s="150">
        <f t="shared" si="8"/>
        <v>2881815.27</v>
      </c>
      <c r="H81" s="151">
        <f t="shared" si="7"/>
        <v>9.3635770156302159E-2</v>
      </c>
      <c r="I81" s="67">
        <f t="shared" si="9"/>
        <v>9.8227059588399057E-2</v>
      </c>
      <c r="J81" s="67">
        <f>ROUND(C81/(B81*24*31),5)</f>
        <v>0.63741999999999999</v>
      </c>
    </row>
    <row r="82" spans="1:10">
      <c r="A82" s="148">
        <v>41856</v>
      </c>
      <c r="B82" s="149">
        <v>64448</v>
      </c>
      <c r="C82" s="149">
        <v>32087806</v>
      </c>
      <c r="D82" s="149">
        <v>56998</v>
      </c>
      <c r="E82" s="150">
        <v>2723195.33</v>
      </c>
      <c r="F82" s="150">
        <v>231026.44</v>
      </c>
      <c r="G82" s="150">
        <f t="shared" si="8"/>
        <v>2954221.77</v>
      </c>
      <c r="H82" s="151">
        <f t="shared" si="7"/>
        <v>9.2066804754429146E-2</v>
      </c>
      <c r="I82" s="67">
        <f t="shared" si="9"/>
        <v>0.10241104923601176</v>
      </c>
      <c r="J82" s="67">
        <f>ROUND(C82/(B82*24*31),5)</f>
        <v>0.66920000000000002</v>
      </c>
    </row>
    <row r="83" spans="1:10">
      <c r="A83" s="148">
        <v>41887</v>
      </c>
      <c r="B83" s="149">
        <v>63815</v>
      </c>
      <c r="C83" s="149">
        <v>27520883</v>
      </c>
      <c r="D83" s="149">
        <v>57360</v>
      </c>
      <c r="E83" s="150">
        <v>2465778.42</v>
      </c>
      <c r="F83" s="150">
        <v>232058.9</v>
      </c>
      <c r="G83" s="150">
        <f t="shared" si="8"/>
        <v>2697837.32</v>
      </c>
      <c r="H83" s="151">
        <f t="shared" si="7"/>
        <v>9.8028734034442136E-2</v>
      </c>
      <c r="I83" s="67">
        <f t="shared" si="9"/>
        <v>8.7835313636947285E-2</v>
      </c>
      <c r="J83" s="67">
        <f>ROUND(C83/(B83*24*30),5)</f>
        <v>0.59897</v>
      </c>
    </row>
    <row r="84" spans="1:10">
      <c r="A84" s="148">
        <v>41917</v>
      </c>
      <c r="B84" s="149">
        <v>52685</v>
      </c>
      <c r="C84" s="152">
        <v>21326010</v>
      </c>
      <c r="D84" s="152">
        <v>57580</v>
      </c>
      <c r="E84" s="150">
        <v>2116601.2799999998</v>
      </c>
      <c r="F84" s="150">
        <v>232339.51</v>
      </c>
      <c r="G84" s="150">
        <f t="shared" si="8"/>
        <v>2348940.79</v>
      </c>
      <c r="H84" s="151">
        <f t="shared" si="7"/>
        <v>0.11014441004200974</v>
      </c>
      <c r="I84" s="67">
        <f t="shared" si="9"/>
        <v>6.8063832725667794E-2</v>
      </c>
      <c r="J84" s="67">
        <f>ROUND(C84/(B84*24*31),5)</f>
        <v>0.54405999999999999</v>
      </c>
    </row>
    <row r="85" spans="1:10">
      <c r="A85" s="148">
        <v>41948</v>
      </c>
      <c r="B85" s="153">
        <v>70220</v>
      </c>
      <c r="C85" s="153">
        <v>24694074</v>
      </c>
      <c r="D85" s="4">
        <v>57576</v>
      </c>
      <c r="E85" s="150">
        <v>2306443.9</v>
      </c>
      <c r="F85" s="150">
        <v>231947.27</v>
      </c>
      <c r="G85" s="150">
        <f t="shared" si="8"/>
        <v>2538391.17</v>
      </c>
      <c r="H85" s="151">
        <f t="shared" si="7"/>
        <v>0.10279353540448612</v>
      </c>
      <c r="I85" s="67">
        <f t="shared" si="9"/>
        <v>7.8813304600872922E-2</v>
      </c>
      <c r="J85" s="67">
        <f>ROUND(C85/(B85*24*30),5)</f>
        <v>0.48842999999999998</v>
      </c>
    </row>
    <row r="86" spans="1:10">
      <c r="A86" s="148">
        <v>41978</v>
      </c>
      <c r="B86" s="153">
        <v>56482</v>
      </c>
      <c r="C86" s="153">
        <v>24754801</v>
      </c>
      <c r="D86" s="4">
        <v>56888</v>
      </c>
      <c r="E86" s="150">
        <v>2440211.08</v>
      </c>
      <c r="F86" s="150">
        <v>230545.87</v>
      </c>
      <c r="G86" s="150">
        <f t="shared" si="8"/>
        <v>2670756.9500000002</v>
      </c>
      <c r="H86" s="151">
        <f t="shared" si="7"/>
        <v>0.10788844353868973</v>
      </c>
      <c r="I86" s="67">
        <f t="shared" si="9"/>
        <v>7.9007120151457944E-2</v>
      </c>
      <c r="J86" s="67">
        <f>ROUND(C86/(B86*24*31),5)</f>
        <v>0.58908000000000005</v>
      </c>
    </row>
    <row r="87" spans="1:10">
      <c r="A87" s="154" t="s">
        <v>19</v>
      </c>
      <c r="B87" s="155">
        <f t="shared" ref="B87:G87" si="10">SUM(B75:B86)</f>
        <v>717871</v>
      </c>
      <c r="C87" s="155">
        <f t="shared" si="10"/>
        <v>313323672</v>
      </c>
      <c r="D87" s="155">
        <f t="shared" si="10"/>
        <v>692362</v>
      </c>
      <c r="E87" s="156">
        <f t="shared" si="10"/>
        <v>28765590.659999996</v>
      </c>
      <c r="F87" s="156">
        <f t="shared" si="10"/>
        <v>2790774.0100000002</v>
      </c>
      <c r="G87" s="156">
        <f t="shared" si="10"/>
        <v>31556364.669999998</v>
      </c>
      <c r="H87" s="151">
        <f>E87/C87</f>
        <v>9.1807907383391049E-2</v>
      </c>
      <c r="I87" s="67">
        <f>+SUM(I75:I86)</f>
        <v>0.99999999999999989</v>
      </c>
      <c r="J87" s="21">
        <f>AVERAGE(J75:J86)</f>
        <v>0.60261833333333337</v>
      </c>
    </row>
    <row r="90" spans="1:10" ht="27.75" customHeight="1">
      <c r="A90" s="211" t="s">
        <v>147</v>
      </c>
      <c r="B90" s="214"/>
      <c r="C90" s="214"/>
      <c r="D90" s="214"/>
      <c r="E90" s="214"/>
      <c r="F90" s="214"/>
      <c r="G90" s="214"/>
      <c r="H90" s="215"/>
    </row>
    <row r="91" spans="1:10" ht="12.75" customHeight="1">
      <c r="A91" s="3"/>
      <c r="B91" s="147" t="s">
        <v>51</v>
      </c>
      <c r="C91" s="3" t="s">
        <v>49</v>
      </c>
      <c r="D91" s="3" t="s">
        <v>52</v>
      </c>
      <c r="E91" s="3" t="s">
        <v>94</v>
      </c>
      <c r="F91" s="3" t="s">
        <v>95</v>
      </c>
      <c r="G91" s="3" t="s">
        <v>53</v>
      </c>
      <c r="H91" s="3" t="s">
        <v>50</v>
      </c>
      <c r="I91" s="103" t="s">
        <v>90</v>
      </c>
      <c r="J91" s="103" t="s">
        <v>91</v>
      </c>
    </row>
    <row r="92" spans="1:10" ht="12.75" customHeight="1">
      <c r="A92" s="148">
        <v>42005</v>
      </c>
      <c r="B92" s="149">
        <v>74944</v>
      </c>
      <c r="C92" s="149">
        <v>27519518</v>
      </c>
      <c r="D92" s="149">
        <v>58275</v>
      </c>
      <c r="E92" s="150">
        <v>2534934.94</v>
      </c>
      <c r="F92" s="150">
        <v>246195.7</v>
      </c>
      <c r="G92" s="150">
        <f>E92+F92</f>
        <v>2781130.64</v>
      </c>
      <c r="H92" s="151">
        <f t="shared" ref="H92:H103" si="11">G92/C92</f>
        <v>0.10106029618687362</v>
      </c>
      <c r="I92" s="67">
        <f>(C92)/($C$104)</f>
        <v>8.7489376983815439E-2</v>
      </c>
      <c r="J92" s="67">
        <f>ROUND(C92/(B92*24*31),5)</f>
        <v>0.49354999999999999</v>
      </c>
    </row>
    <row r="93" spans="1:10" ht="12.75" customHeight="1">
      <c r="A93" s="148">
        <f>EDATE(A92,1)</f>
        <v>42036</v>
      </c>
      <c r="B93" s="149">
        <v>69841</v>
      </c>
      <c r="C93" s="149">
        <v>25318858</v>
      </c>
      <c r="D93" s="149">
        <v>57911</v>
      </c>
      <c r="E93" s="150">
        <v>2408995.73</v>
      </c>
      <c r="F93" s="150">
        <v>245361.46</v>
      </c>
      <c r="G93" s="150">
        <f t="shared" ref="G93:G103" si="12">E93+F93</f>
        <v>2654357.19</v>
      </c>
      <c r="H93" s="151">
        <f t="shared" si="11"/>
        <v>0.10483716090196485</v>
      </c>
      <c r="I93" s="67">
        <f t="shared" ref="I93:I103" si="13">(C93)/($C$104)</f>
        <v>8.0493092661059376E-2</v>
      </c>
      <c r="J93" s="67">
        <f>ROUND(C93/(B93*24*28),5)</f>
        <v>0.53947000000000001</v>
      </c>
    </row>
    <row r="94" spans="1:10" ht="12.75" customHeight="1">
      <c r="A94" s="148">
        <f t="shared" ref="A94:A103" si="14">EDATE(A93,1)</f>
        <v>42064</v>
      </c>
      <c r="B94" s="149">
        <v>50613</v>
      </c>
      <c r="C94" s="149">
        <v>21757928</v>
      </c>
      <c r="D94" s="149">
        <v>57437</v>
      </c>
      <c r="E94" s="150">
        <v>2205211.1</v>
      </c>
      <c r="F94" s="150">
        <v>243873.1</v>
      </c>
      <c r="G94" s="150">
        <f t="shared" si="12"/>
        <v>2449084.2000000002</v>
      </c>
      <c r="H94" s="151">
        <f t="shared" si="11"/>
        <v>0.11256054344880635</v>
      </c>
      <c r="I94" s="67">
        <f t="shared" si="13"/>
        <v>6.9172271301361943E-2</v>
      </c>
      <c r="J94" s="67">
        <f>ROUND(C94/(B94*24*31),5)</f>
        <v>0.57781000000000005</v>
      </c>
    </row>
    <row r="95" spans="1:10" ht="12.75" customHeight="1">
      <c r="A95" s="148">
        <f t="shared" si="14"/>
        <v>42095</v>
      </c>
      <c r="B95" s="149">
        <v>48408</v>
      </c>
      <c r="C95" s="149">
        <v>22465423</v>
      </c>
      <c r="D95" s="149">
        <v>57844</v>
      </c>
      <c r="E95" s="150">
        <v>2245699.5699999998</v>
      </c>
      <c r="F95" s="150">
        <v>244773.36</v>
      </c>
      <c r="G95" s="150">
        <f t="shared" si="12"/>
        <v>2490472.9299999997</v>
      </c>
      <c r="H95" s="151">
        <f t="shared" si="11"/>
        <v>0.11085804749814858</v>
      </c>
      <c r="I95" s="67">
        <f t="shared" si="13"/>
        <v>7.1421522061101431E-2</v>
      </c>
      <c r="J95" s="67">
        <f>ROUND(C95/(B95*24*30),5)</f>
        <v>0.64456000000000002</v>
      </c>
    </row>
    <row r="96" spans="1:10" ht="12.75" customHeight="1">
      <c r="A96" s="148">
        <f t="shared" si="14"/>
        <v>42125</v>
      </c>
      <c r="B96" s="149">
        <v>58248</v>
      </c>
      <c r="C96" s="149">
        <v>26605236</v>
      </c>
      <c r="D96" s="149">
        <v>58233</v>
      </c>
      <c r="E96" s="150">
        <v>2482612.48</v>
      </c>
      <c r="F96" s="150">
        <v>245918.68</v>
      </c>
      <c r="G96" s="150">
        <f t="shared" si="12"/>
        <v>2728531.16</v>
      </c>
      <c r="H96" s="151">
        <f t="shared" si="11"/>
        <v>0.10255617202568698</v>
      </c>
      <c r="I96" s="67">
        <f t="shared" si="13"/>
        <v>8.4582714063065279E-2</v>
      </c>
      <c r="J96" s="67">
        <f>ROUND(C96/(B96*24*31),5)</f>
        <v>0.61392000000000002</v>
      </c>
    </row>
    <row r="97" spans="1:10" ht="12.75" customHeight="1">
      <c r="A97" s="148">
        <f t="shared" si="14"/>
        <v>42156</v>
      </c>
      <c r="B97" s="149">
        <v>66721</v>
      </c>
      <c r="C97" s="149">
        <v>29770105</v>
      </c>
      <c r="D97" s="149">
        <v>58976</v>
      </c>
      <c r="E97" s="150">
        <v>2663731.37</v>
      </c>
      <c r="F97" s="150">
        <v>248299.53</v>
      </c>
      <c r="G97" s="150">
        <f t="shared" si="12"/>
        <v>2912030.9</v>
      </c>
      <c r="H97" s="151">
        <f t="shared" si="11"/>
        <v>9.7817286838591935E-2</v>
      </c>
      <c r="I97" s="67">
        <f t="shared" si="13"/>
        <v>9.4644388001009647E-2</v>
      </c>
      <c r="J97" s="67">
        <f>ROUND(C97/(B97*24*30),5)</f>
        <v>0.61970999999999998</v>
      </c>
    </row>
    <row r="98" spans="1:10">
      <c r="A98" s="148">
        <f t="shared" si="14"/>
        <v>42186</v>
      </c>
      <c r="B98" s="149">
        <v>68460</v>
      </c>
      <c r="C98" s="149">
        <v>33084608</v>
      </c>
      <c r="D98" s="149">
        <v>59232</v>
      </c>
      <c r="E98" s="150">
        <v>2853413.5</v>
      </c>
      <c r="F98" s="150">
        <v>249124.33</v>
      </c>
      <c r="G98" s="150">
        <f t="shared" si="12"/>
        <v>3102537.83</v>
      </c>
      <c r="H98" s="151">
        <f t="shared" si="11"/>
        <v>9.3775867920212322E-2</v>
      </c>
      <c r="I98" s="67">
        <f t="shared" si="13"/>
        <v>0.10518177468347215</v>
      </c>
      <c r="J98" s="67">
        <f>ROUND(C98/(B98*24*31),5)</f>
        <v>0.64956000000000003</v>
      </c>
    </row>
    <row r="99" spans="1:10">
      <c r="A99" s="148">
        <f t="shared" si="14"/>
        <v>42217</v>
      </c>
      <c r="B99" s="149">
        <v>65680</v>
      </c>
      <c r="C99" s="149">
        <v>32164697</v>
      </c>
      <c r="D99" s="149">
        <v>60050</v>
      </c>
      <c r="E99" s="150">
        <v>2800768.9</v>
      </c>
      <c r="F99" s="150">
        <v>251775.34</v>
      </c>
      <c r="G99" s="150">
        <f t="shared" si="12"/>
        <v>3052544.2399999998</v>
      </c>
      <c r="H99" s="151">
        <f t="shared" si="11"/>
        <v>9.4903559638693305E-2</v>
      </c>
      <c r="I99" s="67">
        <f t="shared" si="13"/>
        <v>0.10225721618391709</v>
      </c>
      <c r="J99" s="67">
        <f>ROUND(C99/(B99*24*31),5)</f>
        <v>0.65822000000000003</v>
      </c>
    </row>
    <row r="100" spans="1:10">
      <c r="A100" s="148">
        <f t="shared" si="14"/>
        <v>42248</v>
      </c>
      <c r="B100" s="149">
        <v>63888</v>
      </c>
      <c r="C100" s="149">
        <v>27125234</v>
      </c>
      <c r="D100" s="149">
        <v>60250</v>
      </c>
      <c r="E100" s="150">
        <v>2512370.89</v>
      </c>
      <c r="F100" s="150">
        <v>252689.53</v>
      </c>
      <c r="G100" s="150">
        <f t="shared" si="12"/>
        <v>2765060.42</v>
      </c>
      <c r="H100" s="151">
        <f t="shared" si="11"/>
        <v>0.10193683195507179</v>
      </c>
      <c r="I100" s="67">
        <f t="shared" si="13"/>
        <v>8.6235878956899173E-2</v>
      </c>
      <c r="J100" s="67">
        <f>ROUND(C100/(B100*24*30),5)</f>
        <v>0.58969000000000005</v>
      </c>
    </row>
    <row r="101" spans="1:10">
      <c r="A101" s="148">
        <f t="shared" si="14"/>
        <v>42278</v>
      </c>
      <c r="B101" s="149">
        <v>48051</v>
      </c>
      <c r="C101" s="152">
        <v>23046822</v>
      </c>
      <c r="D101" s="152">
        <v>59819</v>
      </c>
      <c r="E101" s="150">
        <v>2278971.83</v>
      </c>
      <c r="F101" s="150">
        <v>250733.52</v>
      </c>
      <c r="G101" s="150">
        <f t="shared" si="12"/>
        <v>2529705.35</v>
      </c>
      <c r="H101" s="151">
        <f t="shared" si="11"/>
        <v>0.10976373879227254</v>
      </c>
      <c r="I101" s="67">
        <f t="shared" si="13"/>
        <v>7.3269891508888033E-2</v>
      </c>
      <c r="J101" s="67">
        <f>ROUND(C101/(B101*24*31),5)</f>
        <v>0.64466999999999997</v>
      </c>
    </row>
    <row r="102" spans="1:10">
      <c r="A102" s="148">
        <f t="shared" si="14"/>
        <v>42309</v>
      </c>
      <c r="B102" s="153">
        <v>49304</v>
      </c>
      <c r="C102" s="153">
        <v>22292503</v>
      </c>
      <c r="D102" s="4">
        <v>59892</v>
      </c>
      <c r="E102" s="150">
        <v>2235803.71</v>
      </c>
      <c r="F102" s="150">
        <v>251095.06</v>
      </c>
      <c r="G102" s="150">
        <f t="shared" si="12"/>
        <v>2486898.77</v>
      </c>
      <c r="H102" s="151">
        <f t="shared" si="11"/>
        <v>0.11155762858930646</v>
      </c>
      <c r="I102" s="67">
        <f t="shared" si="13"/>
        <v>7.0871779036240271E-2</v>
      </c>
      <c r="J102" s="67">
        <f>ROUND(C102/(B102*24*30),5)</f>
        <v>0.62797999999999998</v>
      </c>
    </row>
    <row r="103" spans="1:10">
      <c r="A103" s="148">
        <f t="shared" si="14"/>
        <v>42339</v>
      </c>
      <c r="B103" s="153">
        <v>47939</v>
      </c>
      <c r="C103" s="153">
        <v>23396033</v>
      </c>
      <c r="D103" s="4">
        <v>59566</v>
      </c>
      <c r="E103" s="150">
        <v>2298956.4500000002</v>
      </c>
      <c r="F103" s="150">
        <v>249913.08</v>
      </c>
      <c r="G103" s="150">
        <f t="shared" si="12"/>
        <v>2548869.5300000003</v>
      </c>
      <c r="H103" s="151">
        <f t="shared" si="11"/>
        <v>0.10894451764536323</v>
      </c>
      <c r="I103" s="67">
        <f t="shared" si="13"/>
        <v>7.4380094559170204E-2</v>
      </c>
      <c r="J103" s="67">
        <f>ROUND(C103/(B103*24*31),5)</f>
        <v>0.65595999999999999</v>
      </c>
    </row>
    <row r="104" spans="1:10">
      <c r="A104" s="154" t="s">
        <v>19</v>
      </c>
      <c r="B104" s="155">
        <f t="shared" ref="B104:G104" si="15">SUM(B92:B103)</f>
        <v>712097</v>
      </c>
      <c r="C104" s="155">
        <f t="shared" si="15"/>
        <v>314546965</v>
      </c>
      <c r="D104" s="155">
        <f t="shared" si="15"/>
        <v>707485</v>
      </c>
      <c r="E104" s="156">
        <f t="shared" si="15"/>
        <v>29521470.470000003</v>
      </c>
      <c r="F104" s="156">
        <f t="shared" si="15"/>
        <v>2979752.6900000004</v>
      </c>
      <c r="G104" s="156">
        <f t="shared" si="15"/>
        <v>32501223.16</v>
      </c>
      <c r="H104" s="151">
        <f>E104/C104</f>
        <v>9.3853935198516383E-2</v>
      </c>
      <c r="I104" s="67">
        <f>+SUM(I92:I103)</f>
        <v>1.0000000000000002</v>
      </c>
      <c r="J104" s="21">
        <f>AVERAGE(J92:J103)</f>
        <v>0.60959166666666664</v>
      </c>
    </row>
    <row r="105" spans="1:10">
      <c r="A105" s="111"/>
      <c r="B105" s="82"/>
      <c r="C105" s="82"/>
      <c r="D105" s="82"/>
      <c r="E105" s="110"/>
      <c r="F105" s="109"/>
      <c r="G105" s="74"/>
      <c r="H105" s="74"/>
    </row>
    <row r="106" spans="1:10">
      <c r="A106" s="111"/>
      <c r="B106" s="82"/>
      <c r="C106" s="82"/>
      <c r="D106" s="82"/>
      <c r="E106" s="110"/>
      <c r="F106" s="109"/>
      <c r="G106" s="74"/>
      <c r="H106" s="74"/>
    </row>
    <row r="107" spans="1:10" ht="25.5">
      <c r="A107" s="211" t="s">
        <v>154</v>
      </c>
      <c r="B107" s="214"/>
      <c r="C107" s="214"/>
      <c r="D107" s="214"/>
      <c r="E107" s="214"/>
      <c r="F107" s="214"/>
      <c r="G107" s="214"/>
      <c r="H107" s="215"/>
    </row>
    <row r="108" spans="1:10">
      <c r="A108" s="3"/>
      <c r="B108" s="147" t="s">
        <v>51</v>
      </c>
      <c r="C108" s="3" t="s">
        <v>49</v>
      </c>
      <c r="D108" s="3" t="s">
        <v>52</v>
      </c>
      <c r="E108" s="3" t="s">
        <v>94</v>
      </c>
      <c r="F108" s="3" t="s">
        <v>95</v>
      </c>
      <c r="G108" s="3" t="s">
        <v>53</v>
      </c>
      <c r="H108" s="3" t="s">
        <v>50</v>
      </c>
      <c r="I108" s="103" t="s">
        <v>90</v>
      </c>
      <c r="J108" s="103" t="s">
        <v>91</v>
      </c>
    </row>
    <row r="109" spans="1:10">
      <c r="A109" s="148">
        <v>42370</v>
      </c>
      <c r="B109" s="149">
        <v>64728</v>
      </c>
      <c r="C109" s="149">
        <v>27628571</v>
      </c>
      <c r="D109" s="149">
        <v>57572</v>
      </c>
      <c r="E109" s="150">
        <v>2616766.7200000002</v>
      </c>
      <c r="F109" s="150">
        <v>251118.85</v>
      </c>
      <c r="G109" s="150">
        <f>E109+F109</f>
        <v>2867885.5700000003</v>
      </c>
      <c r="H109" s="151">
        <f t="shared" ref="H109:H120" si="16">G109/C109</f>
        <v>0.10380144416444848</v>
      </c>
      <c r="I109" s="67">
        <f>(C109)/($C$121)</f>
        <v>0.15100837106250994</v>
      </c>
      <c r="J109" s="67">
        <f>ROUND(C109/(B109*24*31),5)</f>
        <v>0.57371000000000005</v>
      </c>
    </row>
    <row r="110" spans="1:10">
      <c r="A110" s="148">
        <f>EDATE(A109,1)</f>
        <v>42401</v>
      </c>
      <c r="B110" s="149">
        <v>62440</v>
      </c>
      <c r="C110" s="149">
        <v>23343210</v>
      </c>
      <c r="D110" s="149">
        <v>56605</v>
      </c>
      <c r="E110" s="150">
        <v>2368268.58</v>
      </c>
      <c r="F110" s="150">
        <v>248665.9</v>
      </c>
      <c r="G110" s="150">
        <f t="shared" ref="G110:G120" si="17">E110+F110</f>
        <v>2616934.48</v>
      </c>
      <c r="H110" s="151">
        <f t="shared" si="16"/>
        <v>0.11210688161568182</v>
      </c>
      <c r="I110" s="67">
        <f t="shared" ref="I110:I120" si="18">(C110)/($C$121)</f>
        <v>0.12758604552765659</v>
      </c>
      <c r="J110" s="67">
        <f>ROUND(C110/(B110*24*28),5)</f>
        <v>0.55632000000000004</v>
      </c>
    </row>
    <row r="111" spans="1:10">
      <c r="A111" s="148">
        <f t="shared" ref="A111:A120" si="19">EDATE(A110,1)</f>
        <v>42430</v>
      </c>
      <c r="B111" s="149">
        <v>45985</v>
      </c>
      <c r="C111" s="149">
        <v>21801748</v>
      </c>
      <c r="D111" s="149">
        <v>55545</v>
      </c>
      <c r="E111" s="150">
        <v>2278882.7799999998</v>
      </c>
      <c r="F111" s="150">
        <v>245164.85</v>
      </c>
      <c r="G111" s="150">
        <f t="shared" si="17"/>
        <v>2524047.63</v>
      </c>
      <c r="H111" s="151">
        <f t="shared" si="16"/>
        <v>0.11577271831598089</v>
      </c>
      <c r="I111" s="67">
        <f t="shared" si="18"/>
        <v>0.11916093857316523</v>
      </c>
      <c r="J111" s="67">
        <f>ROUND(C111/(B111*24*31),5)</f>
        <v>0.63724000000000003</v>
      </c>
    </row>
    <row r="112" spans="1:10">
      <c r="A112" s="148">
        <f t="shared" si="19"/>
        <v>42461</v>
      </c>
      <c r="B112" s="149">
        <v>51451</v>
      </c>
      <c r="C112" s="149">
        <v>21366561</v>
      </c>
      <c r="D112" s="149">
        <v>55215</v>
      </c>
      <c r="E112" s="150">
        <v>2253647.29</v>
      </c>
      <c r="F112" s="150">
        <v>244072.13</v>
      </c>
      <c r="G112" s="150">
        <f t="shared" si="17"/>
        <v>2497719.42</v>
      </c>
      <c r="H112" s="151">
        <f t="shared" si="16"/>
        <v>0.1168985228834907</v>
      </c>
      <c r="I112" s="67">
        <f t="shared" si="18"/>
        <v>0.11678235446262326</v>
      </c>
      <c r="J112" s="67">
        <f>ROUND(C112/(B112*24*30),5)</f>
        <v>0.57677999999999996</v>
      </c>
    </row>
    <row r="113" spans="1:10">
      <c r="A113" s="148">
        <f t="shared" si="19"/>
        <v>42491</v>
      </c>
      <c r="B113" s="149">
        <v>59426</v>
      </c>
      <c r="C113" s="149">
        <v>25996698</v>
      </c>
      <c r="D113" s="149">
        <v>54940</v>
      </c>
      <c r="E113" s="150">
        <v>2522138.2000000002</v>
      </c>
      <c r="F113" s="150">
        <v>243229.9</v>
      </c>
      <c r="G113" s="150">
        <f t="shared" si="17"/>
        <v>2765368.1</v>
      </c>
      <c r="H113" s="151">
        <f t="shared" si="16"/>
        <v>0.10637382101373029</v>
      </c>
      <c r="I113" s="67">
        <f t="shared" si="18"/>
        <v>0.14208910833586039</v>
      </c>
      <c r="J113" s="67">
        <f>ROUND(C113/(B113*24*31),5)</f>
        <v>0.58799000000000001</v>
      </c>
    </row>
    <row r="114" spans="1:10">
      <c r="A114" s="148">
        <f t="shared" si="19"/>
        <v>42522</v>
      </c>
      <c r="B114" s="149">
        <v>64824</v>
      </c>
      <c r="C114" s="149">
        <v>30120479</v>
      </c>
      <c r="D114" s="149">
        <v>55276</v>
      </c>
      <c r="E114" s="150">
        <v>2761266.69</v>
      </c>
      <c r="F114" s="150">
        <v>244588.87</v>
      </c>
      <c r="G114" s="150">
        <f t="shared" si="17"/>
        <v>3005855.56</v>
      </c>
      <c r="H114" s="151">
        <f t="shared" si="16"/>
        <v>9.9794414292017075E-2</v>
      </c>
      <c r="I114" s="67">
        <f t="shared" si="18"/>
        <v>0.16462829255311606</v>
      </c>
      <c r="J114" s="67">
        <f>ROUND(C114/(B114*24*30),5)</f>
        <v>0.64534999999999998</v>
      </c>
    </row>
    <row r="115" spans="1:10">
      <c r="A115" s="148">
        <f t="shared" si="19"/>
        <v>42552</v>
      </c>
      <c r="B115" s="149">
        <v>66607</v>
      </c>
      <c r="C115" s="149">
        <v>32703259</v>
      </c>
      <c r="D115" s="149">
        <v>55375</v>
      </c>
      <c r="E115" s="150">
        <v>2911036.11</v>
      </c>
      <c r="F115" s="150">
        <v>245211.43</v>
      </c>
      <c r="G115" s="150">
        <f t="shared" si="17"/>
        <v>3156247.54</v>
      </c>
      <c r="H115" s="151">
        <f t="shared" si="16"/>
        <v>9.6511712792905435E-2</v>
      </c>
      <c r="I115" s="67">
        <f t="shared" si="18"/>
        <v>0.1787448894850685</v>
      </c>
      <c r="J115" s="67">
        <f>ROUND(C115/(B115*24*31),5)</f>
        <v>0.65993000000000002</v>
      </c>
    </row>
    <row r="116" spans="1:10">
      <c r="A116" s="148">
        <f t="shared" si="19"/>
        <v>42583</v>
      </c>
      <c r="B116" s="149"/>
      <c r="C116" s="149"/>
      <c r="D116" s="149"/>
      <c r="E116" s="150"/>
      <c r="F116" s="150"/>
      <c r="G116" s="150">
        <f t="shared" si="17"/>
        <v>0</v>
      </c>
      <c r="H116" s="151" t="e">
        <f t="shared" si="16"/>
        <v>#DIV/0!</v>
      </c>
      <c r="I116" s="67">
        <f t="shared" si="18"/>
        <v>0</v>
      </c>
      <c r="J116" s="67" t="e">
        <f>ROUND(C116/(B116*24*31),5)</f>
        <v>#DIV/0!</v>
      </c>
    </row>
    <row r="117" spans="1:10">
      <c r="A117" s="148">
        <f t="shared" si="19"/>
        <v>42614</v>
      </c>
      <c r="B117" s="149"/>
      <c r="C117" s="149"/>
      <c r="D117" s="149"/>
      <c r="E117" s="150"/>
      <c r="F117" s="150"/>
      <c r="G117" s="150">
        <f t="shared" si="17"/>
        <v>0</v>
      </c>
      <c r="H117" s="151" t="e">
        <f t="shared" si="16"/>
        <v>#DIV/0!</v>
      </c>
      <c r="I117" s="67">
        <f t="shared" si="18"/>
        <v>0</v>
      </c>
      <c r="J117" s="67" t="e">
        <f>ROUND(C117/(B117*24*30),5)</f>
        <v>#DIV/0!</v>
      </c>
    </row>
    <row r="118" spans="1:10">
      <c r="A118" s="148">
        <f t="shared" si="19"/>
        <v>42644</v>
      </c>
      <c r="B118" s="149"/>
      <c r="C118" s="152"/>
      <c r="D118" s="152"/>
      <c r="E118" s="150"/>
      <c r="F118" s="150"/>
      <c r="G118" s="150">
        <f t="shared" si="17"/>
        <v>0</v>
      </c>
      <c r="H118" s="151" t="e">
        <f t="shared" si="16"/>
        <v>#DIV/0!</v>
      </c>
      <c r="I118" s="67">
        <f t="shared" si="18"/>
        <v>0</v>
      </c>
      <c r="J118" s="67" t="e">
        <f>ROUND(C118/(B118*24*31),5)</f>
        <v>#DIV/0!</v>
      </c>
    </row>
    <row r="119" spans="1:10">
      <c r="A119" s="148">
        <f t="shared" si="19"/>
        <v>42675</v>
      </c>
      <c r="B119" s="153"/>
      <c r="C119" s="153"/>
      <c r="D119" s="4"/>
      <c r="E119" s="150"/>
      <c r="F119" s="150"/>
      <c r="G119" s="150">
        <f t="shared" si="17"/>
        <v>0</v>
      </c>
      <c r="H119" s="151" t="e">
        <f t="shared" si="16"/>
        <v>#DIV/0!</v>
      </c>
      <c r="I119" s="67">
        <f t="shared" si="18"/>
        <v>0</v>
      </c>
      <c r="J119" s="67" t="e">
        <f>ROUND(C119/(B119*24*30),5)</f>
        <v>#DIV/0!</v>
      </c>
    </row>
    <row r="120" spans="1:10">
      <c r="A120" s="148">
        <f t="shared" si="19"/>
        <v>42705</v>
      </c>
      <c r="B120" s="153"/>
      <c r="C120" s="153"/>
      <c r="D120" s="4"/>
      <c r="E120" s="150"/>
      <c r="F120" s="150"/>
      <c r="G120" s="150">
        <f t="shared" si="17"/>
        <v>0</v>
      </c>
      <c r="H120" s="151" t="e">
        <f t="shared" si="16"/>
        <v>#DIV/0!</v>
      </c>
      <c r="I120" s="67">
        <f t="shared" si="18"/>
        <v>0</v>
      </c>
      <c r="J120" s="67" t="e">
        <f>ROUND(C120/(B120*24*31),5)</f>
        <v>#DIV/0!</v>
      </c>
    </row>
    <row r="121" spans="1:10">
      <c r="A121" s="154" t="s">
        <v>19</v>
      </c>
      <c r="B121" s="155">
        <f t="shared" ref="B121:G121" si="20">SUM(B109:B120)</f>
        <v>415461</v>
      </c>
      <c r="C121" s="155">
        <f t="shared" si="20"/>
        <v>182960526</v>
      </c>
      <c r="D121" s="155">
        <f t="shared" si="20"/>
        <v>390528</v>
      </c>
      <c r="E121" s="156">
        <f t="shared" si="20"/>
        <v>17712006.370000001</v>
      </c>
      <c r="F121" s="156">
        <f t="shared" si="20"/>
        <v>1722051.93</v>
      </c>
      <c r="G121" s="156">
        <f t="shared" si="20"/>
        <v>19434058.300000001</v>
      </c>
      <c r="H121" s="151">
        <f>E121/C121</f>
        <v>9.6807801973634477E-2</v>
      </c>
      <c r="I121" s="67">
        <f>+SUM(I109:I120)</f>
        <v>1</v>
      </c>
      <c r="J121" s="21" t="e">
        <f>AVERAGE(J109:J120)</f>
        <v>#DIV/0!</v>
      </c>
    </row>
    <row r="122" spans="1:10">
      <c r="A122" s="111"/>
      <c r="B122" s="82"/>
      <c r="C122" s="82"/>
      <c r="D122" s="82"/>
      <c r="E122" s="110"/>
      <c r="F122" s="109"/>
      <c r="G122" s="74"/>
      <c r="H122" s="74"/>
    </row>
    <row r="123" spans="1:10">
      <c r="A123" s="111"/>
      <c r="B123" s="82"/>
      <c r="C123" s="82"/>
      <c r="D123" s="82"/>
      <c r="E123" s="110"/>
      <c r="F123" s="109"/>
      <c r="G123" s="74"/>
      <c r="H123" s="74"/>
    </row>
    <row r="124" spans="1:10">
      <c r="A124" s="111"/>
      <c r="B124" s="82"/>
      <c r="C124" s="82"/>
      <c r="D124" s="82"/>
      <c r="E124" s="110"/>
      <c r="F124" s="109"/>
      <c r="G124" s="74"/>
      <c r="H124" s="74"/>
    </row>
    <row r="125" spans="1:10">
      <c r="A125" s="111"/>
      <c r="B125" s="82"/>
      <c r="C125" s="82"/>
      <c r="D125" s="82"/>
      <c r="E125" s="110"/>
      <c r="F125" s="109"/>
      <c r="G125" s="74"/>
      <c r="H125" s="74"/>
    </row>
    <row r="126" spans="1:10">
      <c r="A126" s="111"/>
      <c r="B126" s="82"/>
      <c r="C126" s="82"/>
      <c r="D126" s="82"/>
      <c r="E126" s="110"/>
      <c r="F126" s="109"/>
      <c r="G126" s="74"/>
      <c r="H126" s="74"/>
    </row>
    <row r="127" spans="1:10">
      <c r="A127" s="111"/>
      <c r="B127" s="105"/>
      <c r="C127" s="105"/>
      <c r="D127" s="82"/>
      <c r="E127" s="110"/>
      <c r="F127" s="109"/>
      <c r="G127" s="74"/>
      <c r="H127" s="74"/>
    </row>
    <row r="128" spans="1:10">
      <c r="A128" s="111"/>
      <c r="B128" s="105"/>
      <c r="C128" s="105"/>
      <c r="D128" s="82"/>
      <c r="E128" s="110"/>
      <c r="F128" s="109"/>
      <c r="G128" s="74"/>
      <c r="H128" s="74"/>
    </row>
    <row r="129" spans="1:8">
      <c r="A129" s="111"/>
      <c r="B129" s="105"/>
      <c r="C129" s="105"/>
      <c r="D129" s="82"/>
      <c r="E129" s="110"/>
      <c r="F129" s="109"/>
      <c r="G129" s="74"/>
      <c r="H129" s="74"/>
    </row>
    <row r="130" spans="1:8">
      <c r="A130" s="108"/>
      <c r="B130" s="107"/>
      <c r="C130" s="107"/>
      <c r="D130" s="107"/>
      <c r="E130" s="106"/>
      <c r="F130" s="109"/>
      <c r="G130" s="74"/>
      <c r="H130" s="74"/>
    </row>
    <row r="131" spans="1:8">
      <c r="A131" s="74"/>
      <c r="B131" s="74"/>
      <c r="C131" s="74"/>
      <c r="D131" s="74"/>
      <c r="E131" s="74"/>
      <c r="F131" s="74"/>
      <c r="G131" s="74"/>
      <c r="H131" s="74"/>
    </row>
    <row r="132" spans="1:8">
      <c r="A132" s="74"/>
      <c r="B132" s="74"/>
      <c r="C132" s="74"/>
      <c r="D132" s="74"/>
      <c r="E132" s="74"/>
      <c r="F132" s="74"/>
      <c r="G132" s="74"/>
      <c r="H132" s="74"/>
    </row>
    <row r="133" spans="1:8" ht="25.5">
      <c r="A133" s="206"/>
      <c r="B133" s="207"/>
      <c r="C133" s="207"/>
      <c r="D133" s="207"/>
      <c r="E133" s="207"/>
      <c r="F133" s="207"/>
      <c r="G133" s="74"/>
      <c r="H133" s="74"/>
    </row>
    <row r="134" spans="1:8">
      <c r="A134" s="113"/>
      <c r="B134" s="112"/>
      <c r="C134" s="113"/>
      <c r="D134" s="113"/>
      <c r="E134" s="113"/>
      <c r="F134" s="113"/>
      <c r="G134" s="74"/>
      <c r="H134" s="74"/>
    </row>
    <row r="135" spans="1:8">
      <c r="A135" s="111"/>
      <c r="B135" s="82"/>
      <c r="C135" s="82"/>
      <c r="D135" s="82"/>
      <c r="E135" s="110"/>
      <c r="F135" s="109"/>
      <c r="G135" s="74"/>
      <c r="H135" s="74"/>
    </row>
    <row r="136" spans="1:8">
      <c r="A136" s="111"/>
      <c r="B136" s="82"/>
      <c r="C136" s="82"/>
      <c r="D136" s="82"/>
      <c r="E136" s="110"/>
      <c r="F136" s="109"/>
      <c r="G136" s="74"/>
      <c r="H136" s="74"/>
    </row>
    <row r="137" spans="1:8">
      <c r="A137" s="111"/>
      <c r="B137" s="82"/>
      <c r="C137" s="82"/>
      <c r="D137" s="82"/>
      <c r="E137" s="110"/>
      <c r="F137" s="109"/>
      <c r="G137" s="74"/>
      <c r="H137" s="74"/>
    </row>
    <row r="138" spans="1:8">
      <c r="A138" s="111"/>
      <c r="B138" s="82"/>
      <c r="C138" s="82"/>
      <c r="D138" s="82"/>
      <c r="E138" s="110"/>
      <c r="F138" s="109"/>
      <c r="G138" s="74"/>
      <c r="H138" s="74"/>
    </row>
    <row r="139" spans="1:8">
      <c r="A139" s="111"/>
      <c r="B139" s="82"/>
      <c r="C139" s="82"/>
      <c r="D139" s="82"/>
      <c r="E139" s="110"/>
      <c r="F139" s="109"/>
      <c r="G139" s="74"/>
      <c r="H139" s="74"/>
    </row>
    <row r="140" spans="1:8">
      <c r="A140" s="111"/>
      <c r="B140" s="82"/>
      <c r="C140" s="82"/>
      <c r="D140" s="82"/>
      <c r="E140" s="110"/>
      <c r="F140" s="109"/>
      <c r="G140" s="74"/>
      <c r="H140" s="74"/>
    </row>
    <row r="141" spans="1:8">
      <c r="A141" s="111"/>
      <c r="B141" s="82"/>
      <c r="C141" s="82"/>
      <c r="D141" s="82"/>
      <c r="E141" s="110"/>
      <c r="F141" s="109"/>
      <c r="G141" s="74"/>
      <c r="H141" s="74"/>
    </row>
    <row r="142" spans="1:8">
      <c r="A142" s="111"/>
      <c r="B142" s="82"/>
      <c r="C142" s="82"/>
      <c r="D142" s="82"/>
      <c r="E142" s="110"/>
      <c r="F142" s="109"/>
      <c r="G142" s="74"/>
      <c r="H142" s="74"/>
    </row>
    <row r="143" spans="1:8">
      <c r="A143" s="111"/>
      <c r="B143" s="82"/>
      <c r="C143" s="82"/>
      <c r="D143" s="82"/>
      <c r="E143" s="110"/>
      <c r="F143" s="109"/>
      <c r="G143" s="74"/>
      <c r="H143" s="74"/>
    </row>
    <row r="144" spans="1:8">
      <c r="A144" s="111"/>
      <c r="B144" s="105"/>
      <c r="C144" s="105"/>
      <c r="D144" s="82"/>
      <c r="E144" s="110"/>
      <c r="F144" s="109"/>
      <c r="G144" s="74"/>
      <c r="H144" s="74"/>
    </row>
    <row r="145" spans="1:8">
      <c r="A145" s="111"/>
      <c r="B145" s="105"/>
      <c r="C145" s="105"/>
      <c r="D145" s="82"/>
      <c r="E145" s="110"/>
      <c r="F145" s="109"/>
      <c r="G145" s="74"/>
      <c r="H145" s="74"/>
    </row>
    <row r="146" spans="1:8">
      <c r="A146" s="111"/>
      <c r="B146" s="105"/>
      <c r="C146" s="105"/>
      <c r="D146" s="82"/>
      <c r="E146" s="110"/>
      <c r="F146" s="109"/>
      <c r="G146" s="74"/>
      <c r="H146" s="74"/>
    </row>
    <row r="147" spans="1:8">
      <c r="A147" s="108"/>
      <c r="B147" s="107"/>
      <c r="C147" s="107"/>
      <c r="D147" s="107"/>
      <c r="E147" s="106"/>
      <c r="F147" s="109"/>
      <c r="G147" s="74"/>
      <c r="H147" s="74"/>
    </row>
    <row r="148" spans="1:8">
      <c r="A148" s="74"/>
      <c r="B148" s="74"/>
      <c r="C148" s="74"/>
      <c r="D148" s="74"/>
      <c r="E148" s="74"/>
      <c r="F148" s="74"/>
      <c r="G148" s="74"/>
      <c r="H148" s="74"/>
    </row>
    <row r="149" spans="1:8">
      <c r="A149" s="74"/>
      <c r="B149" s="74"/>
      <c r="C149" s="74"/>
      <c r="D149" s="74"/>
      <c r="E149" s="74"/>
      <c r="F149" s="74"/>
      <c r="G149" s="74"/>
      <c r="H149" s="74"/>
    </row>
    <row r="150" spans="1:8">
      <c r="A150" s="74"/>
      <c r="B150" s="74"/>
      <c r="C150" s="74"/>
      <c r="D150" s="74"/>
      <c r="E150" s="74"/>
      <c r="F150" s="74"/>
      <c r="G150" s="74"/>
      <c r="H150" s="74"/>
    </row>
    <row r="151" spans="1:8">
      <c r="A151" s="74"/>
      <c r="B151" s="74"/>
      <c r="C151" s="74"/>
      <c r="D151" s="74"/>
      <c r="E151" s="74"/>
      <c r="F151" s="74"/>
      <c r="G151" s="74"/>
      <c r="H151" s="74"/>
    </row>
  </sheetData>
  <mergeCells count="8">
    <mergeCell ref="A133:F133"/>
    <mergeCell ref="A1:H1"/>
    <mergeCell ref="A19:H19"/>
    <mergeCell ref="A37:H37"/>
    <mergeCell ref="A55:H55"/>
    <mergeCell ref="A73:H73"/>
    <mergeCell ref="A90:H90"/>
    <mergeCell ref="A107:H107"/>
  </mergeCells>
  <pageMargins left="0.54" right="0.41" top="0.7" bottom="0.62" header="0.35" footer="0.35"/>
  <pageSetup scale="117" orientation="landscape" r:id="rId1"/>
  <headerFooter alignWithMargins="0"/>
  <rowBreaks count="2" manualBreakCount="2">
    <brk id="42" max="16383" man="1"/>
    <brk id="8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119"/>
  <sheetViews>
    <sheetView workbookViewId="0">
      <selection activeCell="A103" sqref="A103:G117"/>
    </sheetView>
  </sheetViews>
  <sheetFormatPr defaultRowHeight="12.75"/>
  <cols>
    <col min="1" max="1" width="13.28515625" customWidth="1"/>
    <col min="2" max="2" width="12.7109375" customWidth="1"/>
    <col min="3" max="3" width="14.42578125" customWidth="1"/>
    <col min="4" max="4" width="16.28515625" customWidth="1"/>
    <col min="5" max="5" width="15.140625" customWidth="1"/>
    <col min="6" max="6" width="14.28515625" customWidth="1"/>
    <col min="7" max="7" width="15.28515625" customWidth="1"/>
    <col min="8" max="8" width="17.42578125" customWidth="1"/>
  </cols>
  <sheetData>
    <row r="1" spans="1:8" ht="25.5">
      <c r="A1" s="208" t="s">
        <v>96</v>
      </c>
      <c r="B1" s="209"/>
      <c r="C1" s="209"/>
      <c r="D1" s="209"/>
      <c r="E1" s="209"/>
      <c r="F1" s="209"/>
      <c r="G1" s="209"/>
      <c r="H1" s="210"/>
    </row>
    <row r="2" spans="1:8" ht="15">
      <c r="A2" s="118"/>
      <c r="B2" s="119" t="s">
        <v>51</v>
      </c>
      <c r="C2" s="118" t="s">
        <v>49</v>
      </c>
      <c r="D2" s="118" t="s">
        <v>52</v>
      </c>
      <c r="E2" s="118" t="s">
        <v>94</v>
      </c>
      <c r="F2" s="118" t="s">
        <v>95</v>
      </c>
      <c r="G2" s="118" t="s">
        <v>53</v>
      </c>
      <c r="H2" s="118" t="s">
        <v>50</v>
      </c>
    </row>
    <row r="3" spans="1:8" ht="15">
      <c r="A3" s="120">
        <v>40544</v>
      </c>
      <c r="B3" s="126">
        <v>79973</v>
      </c>
      <c r="C3" s="126">
        <v>31851354</v>
      </c>
      <c r="D3" s="126">
        <v>61869</v>
      </c>
      <c r="E3" s="121">
        <v>2877407.76</v>
      </c>
      <c r="F3" s="121">
        <v>236307.32</v>
      </c>
      <c r="G3" s="121">
        <v>3113715.0799999996</v>
      </c>
      <c r="H3" s="122">
        <v>9.7757699091850211E-2</v>
      </c>
    </row>
    <row r="4" spans="1:8" ht="15">
      <c r="A4" s="120">
        <v>40575</v>
      </c>
      <c r="B4" s="126">
        <v>60129</v>
      </c>
      <c r="C4" s="126">
        <v>24032652</v>
      </c>
      <c r="D4" s="126">
        <v>63130</v>
      </c>
      <c r="E4" s="121">
        <v>2365419.2400000002</v>
      </c>
      <c r="F4" s="121">
        <v>239465.84</v>
      </c>
      <c r="G4" s="121">
        <v>2604885.08</v>
      </c>
      <c r="H4" s="122">
        <v>0.10838941453485866</v>
      </c>
    </row>
    <row r="5" spans="1:8" ht="15">
      <c r="A5" s="120">
        <v>40603</v>
      </c>
      <c r="B5" s="126">
        <v>46103</v>
      </c>
      <c r="C5" s="126">
        <v>22130833</v>
      </c>
      <c r="D5" s="126">
        <v>62499</v>
      </c>
      <c r="E5" s="121">
        <v>2240883.29</v>
      </c>
      <c r="F5" s="121">
        <v>237080.02</v>
      </c>
      <c r="G5" s="121">
        <v>2477963.31</v>
      </c>
      <c r="H5" s="122">
        <v>0.11196882241170046</v>
      </c>
    </row>
    <row r="6" spans="1:8" ht="15">
      <c r="A6" s="120">
        <v>40634</v>
      </c>
      <c r="B6" s="126">
        <v>52612</v>
      </c>
      <c r="C6" s="126">
        <v>23129569</v>
      </c>
      <c r="D6" s="126">
        <v>62080</v>
      </c>
      <c r="E6" s="121">
        <v>2306283.0699999998</v>
      </c>
      <c r="F6" s="121">
        <v>235881.68</v>
      </c>
      <c r="G6" s="121">
        <v>2542164.75</v>
      </c>
      <c r="H6" s="122">
        <v>0.1099097328618618</v>
      </c>
    </row>
    <row r="7" spans="1:8" ht="15">
      <c r="A7" s="120">
        <v>40668</v>
      </c>
      <c r="B7" s="126">
        <v>62557</v>
      </c>
      <c r="C7" s="126">
        <v>27409563</v>
      </c>
      <c r="D7" s="126">
        <v>60408</v>
      </c>
      <c r="E7" s="121">
        <v>2586547.98</v>
      </c>
      <c r="F7" s="121">
        <v>231824.57</v>
      </c>
      <c r="G7" s="121">
        <v>2818372.55</v>
      </c>
      <c r="H7" s="122">
        <v>0.10282442481844749</v>
      </c>
    </row>
    <row r="8" spans="1:8" ht="15">
      <c r="A8" s="120">
        <v>40699</v>
      </c>
      <c r="B8" s="126">
        <v>70301</v>
      </c>
      <c r="C8" s="126">
        <v>32977154</v>
      </c>
      <c r="D8" s="126">
        <v>60710</v>
      </c>
      <c r="E8" s="121">
        <v>2951128.01</v>
      </c>
      <c r="F8" s="121">
        <v>232933.84</v>
      </c>
      <c r="G8" s="121">
        <v>3184061.8499999996</v>
      </c>
      <c r="H8" s="122">
        <v>9.6553567054330991E-2</v>
      </c>
    </row>
    <row r="9" spans="1:8" ht="15">
      <c r="A9" s="120">
        <v>40729</v>
      </c>
      <c r="B9" s="126">
        <v>65474</v>
      </c>
      <c r="C9" s="126">
        <v>32627976</v>
      </c>
      <c r="D9" s="126">
        <v>60903</v>
      </c>
      <c r="E9" s="121">
        <v>2928262.95</v>
      </c>
      <c r="F9" s="121">
        <v>233881.78</v>
      </c>
      <c r="G9" s="121">
        <v>3162144.73</v>
      </c>
      <c r="H9" s="122">
        <v>9.6915135955720946E-2</v>
      </c>
    </row>
    <row r="10" spans="1:8" ht="15">
      <c r="A10" s="120">
        <v>40760</v>
      </c>
      <c r="B10" s="126">
        <v>69234</v>
      </c>
      <c r="C10" s="126">
        <v>34937001</v>
      </c>
      <c r="D10" s="126">
        <v>61024</v>
      </c>
      <c r="E10" s="121">
        <v>3079463.78</v>
      </c>
      <c r="F10" s="121">
        <v>234152.01</v>
      </c>
      <c r="G10" s="121">
        <v>3313615.79</v>
      </c>
      <c r="H10" s="122">
        <v>9.4845455968015122E-2</v>
      </c>
    </row>
    <row r="11" spans="1:8" ht="15">
      <c r="A11" s="120">
        <v>40791</v>
      </c>
      <c r="B11" s="126">
        <v>62640</v>
      </c>
      <c r="C11" s="126">
        <v>27651837</v>
      </c>
      <c r="D11" s="126">
        <v>60568</v>
      </c>
      <c r="E11" s="121">
        <v>2602412.69</v>
      </c>
      <c r="F11" s="121">
        <v>233217.43</v>
      </c>
      <c r="G11" s="121">
        <v>2835630.12</v>
      </c>
      <c r="H11" s="122">
        <v>0.10254762170050402</v>
      </c>
    </row>
    <row r="12" spans="1:8" ht="15">
      <c r="A12" s="120">
        <v>40821</v>
      </c>
      <c r="B12" s="127">
        <v>46366</v>
      </c>
      <c r="C12" s="127">
        <v>23388313</v>
      </c>
      <c r="D12" s="126">
        <v>61585</v>
      </c>
      <c r="E12" s="121">
        <v>2323226.29</v>
      </c>
      <c r="F12" s="121">
        <v>235121.58</v>
      </c>
      <c r="G12" s="121">
        <v>2558347.87</v>
      </c>
      <c r="H12" s="122">
        <v>0.10938573765452857</v>
      </c>
    </row>
    <row r="13" spans="1:8" ht="15">
      <c r="A13" s="120">
        <v>40852</v>
      </c>
      <c r="B13" s="127">
        <v>50431</v>
      </c>
      <c r="C13" s="127">
        <v>22757139</v>
      </c>
      <c r="D13" s="126">
        <v>61256</v>
      </c>
      <c r="E13" s="121">
        <v>2281895.41</v>
      </c>
      <c r="F13" s="121">
        <v>233738.68</v>
      </c>
      <c r="G13" s="121">
        <v>2515634.0900000003</v>
      </c>
      <c r="H13" s="122">
        <v>0.11054263411582627</v>
      </c>
    </row>
    <row r="14" spans="1:8" ht="15">
      <c r="A14" s="120">
        <v>40882</v>
      </c>
      <c r="B14" s="127">
        <v>61257</v>
      </c>
      <c r="C14" s="127">
        <v>25167124</v>
      </c>
      <c r="D14" s="126">
        <v>60697</v>
      </c>
      <c r="E14" s="121">
        <v>2439707.36</v>
      </c>
      <c r="F14" s="121">
        <v>232306.43</v>
      </c>
      <c r="G14" s="121">
        <v>2672013.79</v>
      </c>
      <c r="H14" s="122">
        <v>0.10617080402194545</v>
      </c>
    </row>
    <row r="15" spans="1:8" ht="15">
      <c r="A15" s="133" t="s">
        <v>19</v>
      </c>
      <c r="B15" s="134">
        <v>727077</v>
      </c>
      <c r="C15" s="134">
        <v>328060515</v>
      </c>
      <c r="D15" s="134">
        <v>736729</v>
      </c>
      <c r="E15" s="135">
        <v>30982637.830000002</v>
      </c>
      <c r="F15" s="135">
        <v>2815911.1800000006</v>
      </c>
      <c r="G15" s="125">
        <v>33798549.009999998</v>
      </c>
      <c r="H15" s="122">
        <v>9.4441837445752963E-2</v>
      </c>
    </row>
    <row r="16" spans="1:8" ht="15">
      <c r="A16" s="137"/>
      <c r="B16" s="138"/>
      <c r="C16" s="138"/>
      <c r="D16" s="138"/>
      <c r="E16" s="139"/>
      <c r="F16" s="139"/>
      <c r="G16" s="131"/>
      <c r="H16" s="132"/>
    </row>
    <row r="17" spans="1:8" ht="15">
      <c r="A17" s="129"/>
      <c r="B17" s="130"/>
      <c r="C17" s="130"/>
      <c r="D17" s="130"/>
      <c r="E17" s="131"/>
      <c r="F17" s="131"/>
      <c r="G17" s="131"/>
      <c r="H17" s="132"/>
    </row>
    <row r="18" spans="1:8" ht="15">
      <c r="A18" s="111"/>
      <c r="B18" s="136"/>
      <c r="C18" s="136"/>
      <c r="D18" s="82"/>
      <c r="E18" s="110"/>
      <c r="F18" s="109"/>
    </row>
    <row r="19" spans="1:8" ht="25.5">
      <c r="A19" s="208" t="s">
        <v>97</v>
      </c>
      <c r="B19" s="209"/>
      <c r="C19" s="209"/>
      <c r="D19" s="209"/>
      <c r="E19" s="209"/>
      <c r="F19" s="209"/>
      <c r="G19" s="209"/>
      <c r="H19" s="210"/>
    </row>
    <row r="20" spans="1:8" ht="15">
      <c r="A20" s="118"/>
      <c r="B20" s="119" t="s">
        <v>51</v>
      </c>
      <c r="C20" s="118" t="s">
        <v>49</v>
      </c>
      <c r="D20" s="118" t="s">
        <v>52</v>
      </c>
      <c r="E20" s="118" t="s">
        <v>94</v>
      </c>
      <c r="F20" s="118" t="s">
        <v>95</v>
      </c>
      <c r="G20" s="118" t="s">
        <v>53</v>
      </c>
      <c r="H20" s="118" t="s">
        <v>50</v>
      </c>
    </row>
    <row r="21" spans="1:8" ht="15">
      <c r="A21" s="120">
        <v>40909</v>
      </c>
      <c r="B21" s="126">
        <v>70644</v>
      </c>
      <c r="C21" s="126">
        <v>25334508</v>
      </c>
      <c r="D21" s="126">
        <v>60722</v>
      </c>
      <c r="E21" s="121">
        <v>2462431.73</v>
      </c>
      <c r="F21" s="121">
        <v>230131.14</v>
      </c>
      <c r="G21" s="121">
        <v>2692562.87</v>
      </c>
      <c r="H21" s="122">
        <v>0.10628044839078778</v>
      </c>
    </row>
    <row r="22" spans="1:8" ht="15">
      <c r="A22" s="120">
        <v>40940</v>
      </c>
      <c r="B22" s="126">
        <v>66843</v>
      </c>
      <c r="C22" s="126">
        <v>22472613</v>
      </c>
      <c r="D22" s="126">
        <v>59442</v>
      </c>
      <c r="E22" s="121">
        <v>2283842.4300000002</v>
      </c>
      <c r="F22" s="121">
        <v>227024.34</v>
      </c>
      <c r="G22" s="121">
        <v>2510866.77</v>
      </c>
      <c r="H22" s="122">
        <v>0.1117300765158017</v>
      </c>
    </row>
    <row r="23" spans="1:8" ht="15">
      <c r="A23" s="120">
        <v>40969</v>
      </c>
      <c r="B23" s="126">
        <v>44096</v>
      </c>
      <c r="C23" s="126">
        <v>23052445</v>
      </c>
      <c r="D23" s="126">
        <v>58004</v>
      </c>
      <c r="E23" s="121">
        <v>2320025.37</v>
      </c>
      <c r="F23" s="121">
        <v>218573.19</v>
      </c>
      <c r="G23" s="121">
        <v>2538598.56</v>
      </c>
      <c r="H23" s="122">
        <v>0.11012274663273246</v>
      </c>
    </row>
    <row r="24" spans="1:8" ht="15">
      <c r="A24" s="120">
        <v>41000</v>
      </c>
      <c r="B24" s="126">
        <v>54663</v>
      </c>
      <c r="C24" s="126">
        <v>22576393</v>
      </c>
      <c r="D24" s="126">
        <v>58567</v>
      </c>
      <c r="E24" s="121">
        <v>2290318.5499999998</v>
      </c>
      <c r="F24" s="121">
        <v>224719.6</v>
      </c>
      <c r="G24" s="121">
        <v>2515038.15</v>
      </c>
      <c r="H24" s="122">
        <v>0.11140123889586791</v>
      </c>
    </row>
    <row r="25" spans="1:8" ht="15">
      <c r="A25" s="120">
        <v>41034</v>
      </c>
      <c r="B25" s="126">
        <v>61595</v>
      </c>
      <c r="C25" s="126">
        <v>27942808</v>
      </c>
      <c r="D25" s="126">
        <v>58634</v>
      </c>
      <c r="E25" s="121">
        <v>3381240.75</v>
      </c>
      <c r="F25" s="121">
        <v>225242.85</v>
      </c>
      <c r="G25" s="121">
        <v>3606483.6</v>
      </c>
      <c r="H25" s="122">
        <v>0.12906661349138571</v>
      </c>
    </row>
    <row r="26" spans="1:8" ht="15">
      <c r="A26" s="120">
        <v>41065</v>
      </c>
      <c r="B26" s="126">
        <v>62723</v>
      </c>
      <c r="C26" s="126">
        <v>28825730</v>
      </c>
      <c r="D26" s="126">
        <v>59278</v>
      </c>
      <c r="E26" s="121">
        <v>2680292.58</v>
      </c>
      <c r="F26" s="121">
        <v>226821.59</v>
      </c>
      <c r="G26" s="121">
        <v>2907114.17</v>
      </c>
      <c r="H26" s="122">
        <v>0.10085136334795337</v>
      </c>
    </row>
    <row r="27" spans="1:8" ht="15">
      <c r="A27" s="120">
        <v>41095</v>
      </c>
      <c r="B27" s="126">
        <v>66243</v>
      </c>
      <c r="C27" s="126">
        <v>32608586</v>
      </c>
      <c r="D27" s="126">
        <v>59197</v>
      </c>
      <c r="E27" s="121">
        <v>2665259.31</v>
      </c>
      <c r="F27" s="121">
        <v>221654.35</v>
      </c>
      <c r="G27" s="121">
        <v>2886913.66</v>
      </c>
      <c r="H27" s="122">
        <v>8.8532316611336662E-2</v>
      </c>
    </row>
    <row r="28" spans="1:8" ht="15">
      <c r="A28" s="120">
        <v>41126</v>
      </c>
      <c r="B28" s="126">
        <v>65544</v>
      </c>
      <c r="C28" s="126">
        <v>30857455</v>
      </c>
      <c r="D28" s="126">
        <v>58806</v>
      </c>
      <c r="E28" s="121">
        <v>2569468.4900000002</v>
      </c>
      <c r="F28" s="121">
        <v>221020.33</v>
      </c>
      <c r="G28" s="121">
        <v>2790488.8200000003</v>
      </c>
      <c r="H28" s="122">
        <v>9.043159327300325E-2</v>
      </c>
    </row>
    <row r="29" spans="1:8" ht="15">
      <c r="A29" s="120">
        <v>41157</v>
      </c>
      <c r="B29" s="126">
        <v>59900</v>
      </c>
      <c r="C29" s="126">
        <v>27295395</v>
      </c>
      <c r="D29" s="126">
        <v>58866</v>
      </c>
      <c r="E29" s="121">
        <v>2374615.7599999998</v>
      </c>
      <c r="F29" s="121">
        <v>221029.24</v>
      </c>
      <c r="G29" s="121">
        <v>2595645</v>
      </c>
      <c r="H29" s="122">
        <v>9.5094612113142157E-2</v>
      </c>
    </row>
    <row r="30" spans="1:8" ht="15">
      <c r="A30" s="120">
        <v>41187</v>
      </c>
      <c r="B30" s="127">
        <v>48989</v>
      </c>
      <c r="C30" s="127">
        <v>24266224</v>
      </c>
      <c r="D30" s="126">
        <v>58545</v>
      </c>
      <c r="E30" s="121">
        <v>2208913.2599999998</v>
      </c>
      <c r="F30" s="121">
        <v>220005.33</v>
      </c>
      <c r="G30" s="121">
        <v>2428918.59</v>
      </c>
      <c r="H30" s="122">
        <v>0.10009462494041099</v>
      </c>
    </row>
    <row r="31" spans="1:8" ht="15">
      <c r="A31" s="120">
        <v>41218</v>
      </c>
      <c r="B31" s="127">
        <v>49365</v>
      </c>
      <c r="C31" s="127">
        <v>23178568</v>
      </c>
      <c r="D31" s="126">
        <v>58346</v>
      </c>
      <c r="E31" s="121">
        <v>2149416.02</v>
      </c>
      <c r="F31" s="121">
        <v>219136.28</v>
      </c>
      <c r="G31" s="121">
        <v>2368552.2999999998</v>
      </c>
      <c r="H31" s="122">
        <v>0.10218717135588358</v>
      </c>
    </row>
    <row r="32" spans="1:8" ht="15">
      <c r="A32" s="120">
        <v>41248</v>
      </c>
      <c r="B32" s="127">
        <v>57068</v>
      </c>
      <c r="C32" s="127">
        <v>25693660</v>
      </c>
      <c r="D32" s="126">
        <v>58284</v>
      </c>
      <c r="E32" s="121">
        <v>2286997.2400000002</v>
      </c>
      <c r="F32" s="121">
        <v>218916.06</v>
      </c>
      <c r="G32" s="121">
        <v>2505913.3000000003</v>
      </c>
      <c r="H32" s="122">
        <v>9.7530414117723993E-2</v>
      </c>
    </row>
    <row r="33" spans="1:8" ht="15">
      <c r="A33" s="133" t="s">
        <v>19</v>
      </c>
      <c r="B33" s="134">
        <v>707673</v>
      </c>
      <c r="C33" s="134">
        <v>314104385</v>
      </c>
      <c r="D33" s="134">
        <v>706691</v>
      </c>
      <c r="E33" s="135">
        <v>29672821.489999995</v>
      </c>
      <c r="F33" s="135">
        <v>2674274.2999999998</v>
      </c>
      <c r="G33" s="125">
        <v>32347095.790000003</v>
      </c>
      <c r="H33" s="122">
        <v>9.4468026894944476E-2</v>
      </c>
    </row>
    <row r="34" spans="1:8" ht="15">
      <c r="A34" s="137"/>
      <c r="B34" s="138"/>
      <c r="C34" s="138"/>
      <c r="D34" s="138"/>
      <c r="E34" s="139"/>
      <c r="F34" s="139"/>
      <c r="G34" s="131"/>
      <c r="H34" s="132"/>
    </row>
    <row r="35" spans="1:8" ht="15">
      <c r="A35" s="129"/>
      <c r="B35" s="130"/>
      <c r="C35" s="130"/>
      <c r="D35" s="130"/>
      <c r="E35" s="131"/>
      <c r="F35" s="131"/>
      <c r="G35" s="131"/>
      <c r="H35" s="132"/>
    </row>
    <row r="36" spans="1:8" ht="15">
      <c r="A36" s="141"/>
      <c r="B36" s="142"/>
      <c r="C36" s="142"/>
      <c r="D36" s="143"/>
      <c r="E36" s="144"/>
      <c r="F36" s="145"/>
    </row>
    <row r="37" spans="1:8" ht="25.5">
      <c r="A37" s="211" t="s">
        <v>98</v>
      </c>
      <c r="B37" s="212"/>
      <c r="C37" s="212"/>
      <c r="D37" s="212"/>
      <c r="E37" s="212"/>
      <c r="F37" s="212"/>
      <c r="G37" s="212"/>
      <c r="H37" s="213"/>
    </row>
    <row r="38" spans="1:8">
      <c r="A38" s="3"/>
      <c r="B38" s="147" t="s">
        <v>51</v>
      </c>
      <c r="C38" s="3" t="s">
        <v>49</v>
      </c>
      <c r="D38" s="3" t="s">
        <v>52</v>
      </c>
      <c r="E38" s="3" t="s">
        <v>94</v>
      </c>
      <c r="F38" s="3" t="s">
        <v>95</v>
      </c>
      <c r="G38" s="3" t="s">
        <v>53</v>
      </c>
      <c r="H38" s="3" t="s">
        <v>50</v>
      </c>
    </row>
    <row r="39" spans="1:8">
      <c r="A39" s="148">
        <v>41275</v>
      </c>
      <c r="B39" s="149">
        <v>57581</v>
      </c>
      <c r="C39" s="149">
        <v>24917444</v>
      </c>
      <c r="D39" s="149">
        <v>58600</v>
      </c>
      <c r="E39" s="150">
        <v>2193480.54</v>
      </c>
      <c r="F39" s="150">
        <v>223676.06</v>
      </c>
      <c r="G39" s="150">
        <f>E39+F39</f>
        <v>2417156.6</v>
      </c>
      <c r="H39" s="151">
        <f t="shared" ref="H39:H50" si="0">G39/C39</f>
        <v>9.7006603084971318E-2</v>
      </c>
    </row>
    <row r="40" spans="1:8">
      <c r="A40" s="148">
        <v>41306</v>
      </c>
      <c r="B40" s="149">
        <v>60632</v>
      </c>
      <c r="C40" s="149">
        <v>22515414</v>
      </c>
      <c r="D40" s="149">
        <v>57108</v>
      </c>
      <c r="E40" s="150">
        <v>2071726.72</v>
      </c>
      <c r="F40" s="150">
        <v>220015.92</v>
      </c>
      <c r="G40" s="150">
        <f t="shared" ref="G40:G50" si="1">E40+F40</f>
        <v>2291742.64</v>
      </c>
      <c r="H40" s="151">
        <f t="shared" si="0"/>
        <v>0.10178549859220888</v>
      </c>
    </row>
    <row r="41" spans="1:8">
      <c r="A41" s="148">
        <v>41334</v>
      </c>
      <c r="B41" s="149">
        <v>61473</v>
      </c>
      <c r="C41" s="149">
        <v>24361046</v>
      </c>
      <c r="D41" s="149">
        <v>55639</v>
      </c>
      <c r="E41" s="150">
        <v>1234809.8999999999</v>
      </c>
      <c r="F41" s="150">
        <v>216300.16</v>
      </c>
      <c r="G41" s="150">
        <f t="shared" si="1"/>
        <v>1451110.0599999998</v>
      </c>
      <c r="H41" s="151">
        <f t="shared" si="0"/>
        <v>5.9566820735037398E-2</v>
      </c>
    </row>
    <row r="42" spans="1:8">
      <c r="A42" s="148">
        <v>41365</v>
      </c>
      <c r="B42" s="149">
        <v>45697</v>
      </c>
      <c r="C42" s="149">
        <v>21950706</v>
      </c>
      <c r="D42" s="149">
        <v>55119</v>
      </c>
      <c r="E42" s="150">
        <v>210510.99</v>
      </c>
      <c r="F42" s="150">
        <v>215169.25</v>
      </c>
      <c r="G42" s="150">
        <f t="shared" si="1"/>
        <v>425680.24</v>
      </c>
      <c r="H42" s="151">
        <f t="shared" si="0"/>
        <v>1.9392553478689935E-2</v>
      </c>
    </row>
    <row r="43" spans="1:8">
      <c r="A43" s="148">
        <v>41399</v>
      </c>
      <c r="B43" s="149">
        <v>56912</v>
      </c>
      <c r="C43" s="149">
        <v>25381308</v>
      </c>
      <c r="D43" s="149">
        <v>56630</v>
      </c>
      <c r="E43" s="150">
        <v>2151024.8199999998</v>
      </c>
      <c r="F43" s="150">
        <v>218657.38</v>
      </c>
      <c r="G43" s="150">
        <f t="shared" si="1"/>
        <v>2369682.1999999997</v>
      </c>
      <c r="H43" s="151">
        <f t="shared" si="0"/>
        <v>9.3363281356500613E-2</v>
      </c>
    </row>
    <row r="44" spans="1:8">
      <c r="A44" s="148">
        <v>41430</v>
      </c>
      <c r="B44" s="149">
        <v>64280</v>
      </c>
      <c r="C44" s="149">
        <v>29535698</v>
      </c>
      <c r="D44" s="149">
        <v>55599</v>
      </c>
      <c r="E44" s="150">
        <v>2361602.06</v>
      </c>
      <c r="F44" s="150">
        <v>216399.48</v>
      </c>
      <c r="G44" s="150">
        <f t="shared" si="1"/>
        <v>2578001.54</v>
      </c>
      <c r="H44" s="151">
        <f t="shared" si="0"/>
        <v>8.7284259881042936E-2</v>
      </c>
    </row>
    <row r="45" spans="1:8">
      <c r="A45" s="148">
        <v>41460</v>
      </c>
      <c r="B45" s="149">
        <v>61879</v>
      </c>
      <c r="C45" s="149">
        <v>29550909</v>
      </c>
      <c r="D45" s="149">
        <v>55207</v>
      </c>
      <c r="E45" s="150">
        <v>2362373.08</v>
      </c>
      <c r="F45" s="150">
        <v>215735.94</v>
      </c>
      <c r="G45" s="150">
        <f t="shared" si="1"/>
        <v>2578109.02</v>
      </c>
      <c r="H45" s="151">
        <f t="shared" si="0"/>
        <v>8.7242968397351156E-2</v>
      </c>
    </row>
    <row r="46" spans="1:8">
      <c r="A46" s="148">
        <v>41491</v>
      </c>
      <c r="B46" s="149">
        <v>63972</v>
      </c>
      <c r="C46" s="149">
        <v>30742395</v>
      </c>
      <c r="D46" s="149">
        <v>55338</v>
      </c>
      <c r="E46" s="150">
        <v>2422766.98</v>
      </c>
      <c r="F46" s="150">
        <v>216053.69</v>
      </c>
      <c r="G46" s="150">
        <f t="shared" si="1"/>
        <v>2638820.67</v>
      </c>
      <c r="H46" s="151">
        <f t="shared" si="0"/>
        <v>8.5836535182115772E-2</v>
      </c>
    </row>
    <row r="47" spans="1:8">
      <c r="A47" s="148">
        <v>41522</v>
      </c>
      <c r="B47" s="149">
        <v>61904</v>
      </c>
      <c r="C47" s="149">
        <v>28268462</v>
      </c>
      <c r="D47" s="149">
        <v>55100</v>
      </c>
      <c r="E47" s="150">
        <v>2297368.5499999998</v>
      </c>
      <c r="F47" s="150">
        <v>215559.8</v>
      </c>
      <c r="G47" s="150">
        <f t="shared" si="1"/>
        <v>2512928.3499999996</v>
      </c>
      <c r="H47" s="151">
        <f t="shared" si="0"/>
        <v>8.88951210009232E-2</v>
      </c>
    </row>
    <row r="48" spans="1:8">
      <c r="A48" s="148">
        <v>41552</v>
      </c>
      <c r="B48" s="152">
        <v>55085</v>
      </c>
      <c r="C48" s="152">
        <v>23925987</v>
      </c>
      <c r="D48" s="149">
        <v>54730</v>
      </c>
      <c r="E48" s="150">
        <v>2077257.68</v>
      </c>
      <c r="F48" s="150">
        <v>214496.07</v>
      </c>
      <c r="G48" s="150">
        <f t="shared" si="1"/>
        <v>2291753.75</v>
      </c>
      <c r="H48" s="151">
        <f t="shared" si="0"/>
        <v>9.5785128947867434E-2</v>
      </c>
    </row>
    <row r="49" spans="1:8">
      <c r="A49" s="148">
        <v>41583</v>
      </c>
      <c r="B49" s="153">
        <v>54034</v>
      </c>
      <c r="C49" s="153">
        <v>23090567</v>
      </c>
      <c r="D49" s="4">
        <v>54648</v>
      </c>
      <c r="E49" s="150">
        <v>2034912</v>
      </c>
      <c r="F49" s="150">
        <v>213969.71</v>
      </c>
      <c r="G49" s="150">
        <f t="shared" si="1"/>
        <v>2248881.71</v>
      </c>
      <c r="H49" s="151">
        <f t="shared" si="0"/>
        <v>9.7393957887651691E-2</v>
      </c>
    </row>
    <row r="50" spans="1:8">
      <c r="A50" s="148">
        <v>41613</v>
      </c>
      <c r="B50" s="153">
        <v>58226</v>
      </c>
      <c r="C50" s="153">
        <v>25616104</v>
      </c>
      <c r="D50" s="4">
        <v>55539</v>
      </c>
      <c r="E50" s="150">
        <v>2162926.13</v>
      </c>
      <c r="F50" s="150">
        <v>216067.71</v>
      </c>
      <c r="G50" s="150">
        <f t="shared" si="1"/>
        <v>2378993.84</v>
      </c>
      <c r="H50" s="151">
        <f t="shared" si="0"/>
        <v>9.2871025195712817E-2</v>
      </c>
    </row>
    <row r="51" spans="1:8">
      <c r="A51" s="154" t="s">
        <v>19</v>
      </c>
      <c r="B51" s="155">
        <f t="shared" ref="B51:G51" si="2">SUM(B39:B50)</f>
        <v>701675</v>
      </c>
      <c r="C51" s="155">
        <f t="shared" si="2"/>
        <v>309856040</v>
      </c>
      <c r="D51" s="155">
        <f t="shared" si="2"/>
        <v>669257</v>
      </c>
      <c r="E51" s="156">
        <f t="shared" si="2"/>
        <v>23580759.449999999</v>
      </c>
      <c r="F51" s="156">
        <f t="shared" si="2"/>
        <v>2602101.17</v>
      </c>
      <c r="G51" s="156">
        <f t="shared" si="2"/>
        <v>26182860.620000001</v>
      </c>
      <c r="H51" s="151">
        <f>E51/C51</f>
        <v>7.6102306897099695E-2</v>
      </c>
    </row>
    <row r="53" spans="1:8">
      <c r="D53" t="s">
        <v>100</v>
      </c>
      <c r="E53" t="s">
        <v>100</v>
      </c>
    </row>
    <row r="54" spans="1:8" ht="15">
      <c r="A54" s="120">
        <v>40544</v>
      </c>
      <c r="B54" s="126">
        <v>79973</v>
      </c>
      <c r="C54" s="126">
        <v>31851354</v>
      </c>
    </row>
    <row r="55" spans="1:8" ht="15">
      <c r="A55" s="120">
        <v>40575</v>
      </c>
      <c r="B55" s="126">
        <v>60129</v>
      </c>
      <c r="C55" s="126">
        <v>24032652</v>
      </c>
    </row>
    <row r="56" spans="1:8" ht="15">
      <c r="A56" s="120">
        <v>40603</v>
      </c>
      <c r="B56" s="126">
        <v>46103</v>
      </c>
      <c r="C56" s="126">
        <v>22130833</v>
      </c>
    </row>
    <row r="57" spans="1:8" ht="15">
      <c r="A57" s="120">
        <v>40634</v>
      </c>
      <c r="B57" s="126">
        <v>52612</v>
      </c>
      <c r="C57" s="126">
        <v>23129569</v>
      </c>
    </row>
    <row r="58" spans="1:8" ht="15">
      <c r="A58" s="120">
        <v>40668</v>
      </c>
      <c r="B58" s="126">
        <v>62557</v>
      </c>
      <c r="C58" s="126">
        <v>27409563</v>
      </c>
    </row>
    <row r="59" spans="1:8" ht="15">
      <c r="A59" s="120">
        <v>40699</v>
      </c>
      <c r="B59" s="126">
        <v>70301</v>
      </c>
      <c r="C59" s="126">
        <v>32977154</v>
      </c>
    </row>
    <row r="60" spans="1:8" ht="15">
      <c r="A60" s="120">
        <v>40729</v>
      </c>
      <c r="B60" s="126">
        <v>65474</v>
      </c>
      <c r="C60" s="126">
        <v>32627976</v>
      </c>
      <c r="D60">
        <f>SUM(B55:B60)/6</f>
        <v>59529.333333333336</v>
      </c>
      <c r="E60">
        <f>SUM(C55:C60)/6</f>
        <v>27051291.166666668</v>
      </c>
      <c r="F60">
        <f>B60/D60</f>
        <v>1.0998611328868682</v>
      </c>
      <c r="G60">
        <f>C60/E60</f>
        <v>1.2061522608652808</v>
      </c>
    </row>
    <row r="61" spans="1:8" ht="15">
      <c r="A61" s="120">
        <v>40760</v>
      </c>
      <c r="B61" s="126">
        <v>69234</v>
      </c>
      <c r="C61" s="126">
        <v>34937001</v>
      </c>
      <c r="D61">
        <f t="shared" ref="D61:D88" si="3">SUM(B56:B61)/6</f>
        <v>61046.833333333336</v>
      </c>
      <c r="E61">
        <f t="shared" ref="E61:E89" si="4">SUM(C56:C61)/6</f>
        <v>28868682.666666668</v>
      </c>
      <c r="F61">
        <f t="shared" ref="F61:F89" si="5">B61/D61</f>
        <v>1.1341128805479945</v>
      </c>
      <c r="G61">
        <f t="shared" ref="G61:G89" si="6">C61/E61</f>
        <v>1.2102041995958526</v>
      </c>
    </row>
    <row r="62" spans="1:8" ht="15">
      <c r="A62" s="120">
        <v>40791</v>
      </c>
      <c r="B62" s="126">
        <v>62640</v>
      </c>
      <c r="C62" s="126">
        <v>27651837</v>
      </c>
      <c r="D62">
        <f t="shared" si="3"/>
        <v>63803</v>
      </c>
      <c r="E62">
        <f t="shared" si="4"/>
        <v>29788850</v>
      </c>
      <c r="F62">
        <f t="shared" si="5"/>
        <v>0.98177201698979677</v>
      </c>
      <c r="G62">
        <f t="shared" si="6"/>
        <v>0.92826131253808053</v>
      </c>
    </row>
    <row r="63" spans="1:8" ht="15">
      <c r="A63" s="120">
        <v>40821</v>
      </c>
      <c r="B63" s="127">
        <v>46366</v>
      </c>
      <c r="C63" s="127">
        <v>23388313</v>
      </c>
      <c r="D63">
        <f t="shared" si="3"/>
        <v>62762</v>
      </c>
      <c r="E63">
        <f t="shared" si="4"/>
        <v>29831974</v>
      </c>
      <c r="F63">
        <f t="shared" si="5"/>
        <v>0.73875912176157543</v>
      </c>
      <c r="G63">
        <f t="shared" si="6"/>
        <v>0.78400152132071443</v>
      </c>
    </row>
    <row r="64" spans="1:8" ht="15">
      <c r="A64" s="120">
        <v>40852</v>
      </c>
      <c r="B64" s="127">
        <v>50431</v>
      </c>
      <c r="C64" s="127">
        <v>22757139</v>
      </c>
      <c r="D64">
        <f t="shared" si="3"/>
        <v>60741</v>
      </c>
      <c r="E64">
        <f t="shared" si="4"/>
        <v>29056570</v>
      </c>
      <c r="F64">
        <f t="shared" si="5"/>
        <v>0.8302629196094895</v>
      </c>
      <c r="G64">
        <f t="shared" si="6"/>
        <v>0.78320114865588053</v>
      </c>
    </row>
    <row r="65" spans="1:7" ht="15">
      <c r="A65" s="120">
        <v>40882</v>
      </c>
      <c r="B65" s="127">
        <v>61257</v>
      </c>
      <c r="C65" s="127">
        <v>25167124</v>
      </c>
      <c r="D65">
        <f t="shared" si="3"/>
        <v>59233.666666666664</v>
      </c>
      <c r="E65">
        <f t="shared" si="4"/>
        <v>27754898.333333332</v>
      </c>
      <c r="F65">
        <f t="shared" si="5"/>
        <v>1.034158502203139</v>
      </c>
      <c r="G65">
        <f t="shared" si="6"/>
        <v>0.90676332868330334</v>
      </c>
    </row>
    <row r="66" spans="1:7" ht="15">
      <c r="A66" s="120">
        <v>40909</v>
      </c>
      <c r="B66" s="126">
        <v>70644</v>
      </c>
      <c r="C66" s="126">
        <v>25334508</v>
      </c>
      <c r="D66">
        <f t="shared" si="3"/>
        <v>60095.333333333336</v>
      </c>
      <c r="E66">
        <f t="shared" si="4"/>
        <v>26539320.333333332</v>
      </c>
      <c r="F66">
        <f t="shared" si="5"/>
        <v>1.1755322099331063</v>
      </c>
      <c r="G66">
        <f t="shared" si="6"/>
        <v>0.9546027434689015</v>
      </c>
    </row>
    <row r="67" spans="1:7" ht="15">
      <c r="A67" s="120">
        <v>40940</v>
      </c>
      <c r="B67" s="126">
        <v>66843</v>
      </c>
      <c r="C67" s="126">
        <v>22472613</v>
      </c>
      <c r="D67">
        <f t="shared" si="3"/>
        <v>59696.833333333336</v>
      </c>
      <c r="E67">
        <f t="shared" si="4"/>
        <v>24461922.333333332</v>
      </c>
      <c r="F67">
        <f t="shared" si="5"/>
        <v>1.119707633849925</v>
      </c>
      <c r="G67">
        <f t="shared" si="6"/>
        <v>0.91867730972955564</v>
      </c>
    </row>
    <row r="68" spans="1:7" ht="15">
      <c r="A68" s="120">
        <v>40969</v>
      </c>
      <c r="B68" s="126">
        <v>44096</v>
      </c>
      <c r="C68" s="126">
        <v>23052445</v>
      </c>
      <c r="D68">
        <f t="shared" si="3"/>
        <v>56606.166666666664</v>
      </c>
      <c r="E68">
        <f t="shared" si="4"/>
        <v>23695357</v>
      </c>
      <c r="F68">
        <f t="shared" si="5"/>
        <v>0.77899639909668272</v>
      </c>
      <c r="G68">
        <f t="shared" si="6"/>
        <v>0.97286759595983296</v>
      </c>
    </row>
    <row r="69" spans="1:7" ht="15">
      <c r="A69" s="120">
        <v>41000</v>
      </c>
      <c r="B69" s="126">
        <v>54663</v>
      </c>
      <c r="C69" s="126">
        <v>22576393</v>
      </c>
      <c r="D69">
        <f t="shared" si="3"/>
        <v>57989</v>
      </c>
      <c r="E69">
        <f t="shared" si="4"/>
        <v>23560037</v>
      </c>
      <c r="F69">
        <f t="shared" si="5"/>
        <v>0.94264429460759802</v>
      </c>
      <c r="G69">
        <f t="shared" si="6"/>
        <v>0.95824947133996441</v>
      </c>
    </row>
    <row r="70" spans="1:7" ht="15">
      <c r="A70" s="120">
        <v>41034</v>
      </c>
      <c r="B70" s="126">
        <v>61595</v>
      </c>
      <c r="C70" s="126">
        <v>27942808</v>
      </c>
      <c r="D70">
        <f t="shared" si="3"/>
        <v>59849.666666666664</v>
      </c>
      <c r="E70">
        <f t="shared" si="4"/>
        <v>24424315.166666668</v>
      </c>
      <c r="F70">
        <f t="shared" si="5"/>
        <v>1.0291619557892275</v>
      </c>
      <c r="G70">
        <f t="shared" si="6"/>
        <v>1.144056969840253</v>
      </c>
    </row>
    <row r="71" spans="1:7" ht="15">
      <c r="A71" s="120">
        <v>41065</v>
      </c>
      <c r="B71" s="126">
        <v>62723</v>
      </c>
      <c r="C71" s="126">
        <v>28825730</v>
      </c>
      <c r="D71">
        <f t="shared" si="3"/>
        <v>60094</v>
      </c>
      <c r="E71">
        <f t="shared" si="4"/>
        <v>25034082.833333332</v>
      </c>
      <c r="F71">
        <f t="shared" si="5"/>
        <v>1.0437481279329051</v>
      </c>
      <c r="G71">
        <f t="shared" si="6"/>
        <v>1.1514594000471239</v>
      </c>
    </row>
    <row r="72" spans="1:7" ht="15">
      <c r="A72" s="120">
        <v>41095</v>
      </c>
      <c r="B72" s="126">
        <v>66243</v>
      </c>
      <c r="C72" s="126">
        <v>32608586</v>
      </c>
      <c r="D72">
        <f t="shared" si="3"/>
        <v>59360.5</v>
      </c>
      <c r="E72">
        <f t="shared" si="4"/>
        <v>26246429.166666668</v>
      </c>
      <c r="F72">
        <f t="shared" si="5"/>
        <v>1.1159441042444049</v>
      </c>
      <c r="G72">
        <f t="shared" si="6"/>
        <v>1.2424008535764308</v>
      </c>
    </row>
    <row r="73" spans="1:7" ht="15">
      <c r="A73" s="120">
        <v>41126</v>
      </c>
      <c r="B73" s="126">
        <v>65544</v>
      </c>
      <c r="C73" s="126">
        <v>30857455</v>
      </c>
      <c r="D73">
        <f t="shared" si="3"/>
        <v>59144</v>
      </c>
      <c r="E73">
        <f t="shared" si="4"/>
        <v>27643902.833333332</v>
      </c>
      <c r="F73">
        <f t="shared" si="5"/>
        <v>1.1082104693629109</v>
      </c>
      <c r="G73">
        <f t="shared" si="6"/>
        <v>1.1162481356573042</v>
      </c>
    </row>
    <row r="74" spans="1:7" ht="15">
      <c r="A74" s="120">
        <v>41157</v>
      </c>
      <c r="B74" s="126">
        <v>59900</v>
      </c>
      <c r="C74" s="126">
        <v>27295395</v>
      </c>
      <c r="D74">
        <f t="shared" si="3"/>
        <v>61778</v>
      </c>
      <c r="E74">
        <f t="shared" si="4"/>
        <v>28351061.166666668</v>
      </c>
      <c r="F74">
        <f t="shared" si="5"/>
        <v>0.96960082877399723</v>
      </c>
      <c r="G74">
        <f t="shared" si="6"/>
        <v>0.96276449193697722</v>
      </c>
    </row>
    <row r="75" spans="1:7" ht="15">
      <c r="A75" s="120">
        <v>41187</v>
      </c>
      <c r="B75" s="127">
        <v>48989</v>
      </c>
      <c r="C75" s="127">
        <v>24266224</v>
      </c>
      <c r="D75">
        <f t="shared" si="3"/>
        <v>60832.333333333336</v>
      </c>
      <c r="E75">
        <f t="shared" si="4"/>
        <v>28632699.666666668</v>
      </c>
      <c r="F75">
        <f t="shared" si="5"/>
        <v>0.8053118681402982</v>
      </c>
      <c r="G75">
        <f t="shared" si="6"/>
        <v>0.84750038531120453</v>
      </c>
    </row>
    <row r="76" spans="1:7" ht="15">
      <c r="A76" s="120">
        <v>41218</v>
      </c>
      <c r="B76" s="127">
        <v>49365</v>
      </c>
      <c r="C76" s="127">
        <v>23178568</v>
      </c>
      <c r="D76">
        <f t="shared" si="3"/>
        <v>58794</v>
      </c>
      <c r="E76">
        <f t="shared" si="4"/>
        <v>27838659.666666668</v>
      </c>
      <c r="F76">
        <f t="shared" si="5"/>
        <v>0.8396264924992346</v>
      </c>
      <c r="G76">
        <f t="shared" si="6"/>
        <v>0.83260359074519141</v>
      </c>
    </row>
    <row r="77" spans="1:7" ht="15">
      <c r="A77" s="120">
        <v>41248</v>
      </c>
      <c r="B77" s="127">
        <v>57068</v>
      </c>
      <c r="C77" s="127">
        <v>25693660</v>
      </c>
      <c r="D77">
        <f t="shared" si="3"/>
        <v>57851.5</v>
      </c>
      <c r="E77">
        <f t="shared" si="4"/>
        <v>27316648</v>
      </c>
      <c r="F77">
        <f t="shared" si="5"/>
        <v>0.9864567038019757</v>
      </c>
      <c r="G77">
        <f t="shared" si="6"/>
        <v>0.94058612169399403</v>
      </c>
    </row>
    <row r="78" spans="1:7">
      <c r="A78" s="148">
        <v>41275</v>
      </c>
      <c r="B78" s="149">
        <v>57581</v>
      </c>
      <c r="C78" s="149">
        <v>24917444</v>
      </c>
      <c r="D78">
        <f t="shared" si="3"/>
        <v>56407.833333333336</v>
      </c>
      <c r="E78">
        <f t="shared" si="4"/>
        <v>26034791</v>
      </c>
      <c r="F78">
        <f t="shared" si="5"/>
        <v>1.0207979388205539</v>
      </c>
      <c r="G78">
        <f t="shared" si="6"/>
        <v>0.95708254389290082</v>
      </c>
    </row>
    <row r="79" spans="1:7">
      <c r="A79" s="148">
        <v>41306</v>
      </c>
      <c r="B79" s="149">
        <v>60632</v>
      </c>
      <c r="C79" s="149">
        <v>22515414</v>
      </c>
      <c r="D79">
        <f t="shared" si="3"/>
        <v>55589.166666666664</v>
      </c>
      <c r="E79">
        <f t="shared" si="4"/>
        <v>24644450.833333332</v>
      </c>
      <c r="F79">
        <f t="shared" si="5"/>
        <v>1.0907161167493666</v>
      </c>
      <c r="G79">
        <f t="shared" si="6"/>
        <v>0.91360988939328847</v>
      </c>
    </row>
    <row r="80" spans="1:7">
      <c r="A80" s="148">
        <v>41334</v>
      </c>
      <c r="B80" s="149">
        <v>61473</v>
      </c>
      <c r="C80" s="149">
        <v>24361046</v>
      </c>
      <c r="D80">
        <f t="shared" si="3"/>
        <v>55851.333333333336</v>
      </c>
      <c r="E80">
        <f t="shared" si="4"/>
        <v>24155392.666666668</v>
      </c>
      <c r="F80">
        <f t="shared" si="5"/>
        <v>1.1006541174785442</v>
      </c>
      <c r="G80">
        <f t="shared" si="6"/>
        <v>1.0085137648628302</v>
      </c>
    </row>
    <row r="81" spans="1:7">
      <c r="A81" s="148">
        <v>41365</v>
      </c>
      <c r="B81" s="149">
        <v>45697</v>
      </c>
      <c r="C81" s="149">
        <v>21950706</v>
      </c>
      <c r="D81">
        <f t="shared" si="3"/>
        <v>55302.666666666664</v>
      </c>
      <c r="E81">
        <f t="shared" si="4"/>
        <v>23769473</v>
      </c>
      <c r="F81">
        <f t="shared" si="5"/>
        <v>0.82630735106203446</v>
      </c>
      <c r="G81">
        <f t="shared" si="6"/>
        <v>0.92348307427766696</v>
      </c>
    </row>
    <row r="82" spans="1:7">
      <c r="A82" s="148">
        <v>41399</v>
      </c>
      <c r="B82" s="149">
        <v>56912</v>
      </c>
      <c r="C82" s="149">
        <v>25381308</v>
      </c>
      <c r="D82">
        <f t="shared" si="3"/>
        <v>56560.5</v>
      </c>
      <c r="E82">
        <f t="shared" si="4"/>
        <v>24136596.333333332</v>
      </c>
      <c r="F82">
        <f t="shared" si="5"/>
        <v>1.0062145843830943</v>
      </c>
      <c r="G82">
        <f t="shared" si="6"/>
        <v>1.051569477712468</v>
      </c>
    </row>
    <row r="83" spans="1:7">
      <c r="A83" s="148">
        <v>41430</v>
      </c>
      <c r="B83" s="149">
        <v>64280</v>
      </c>
      <c r="C83" s="149">
        <v>29535698</v>
      </c>
      <c r="D83">
        <f t="shared" si="3"/>
        <v>57762.5</v>
      </c>
      <c r="E83">
        <f t="shared" si="4"/>
        <v>24776936</v>
      </c>
      <c r="F83">
        <f t="shared" si="5"/>
        <v>1.1128327201904349</v>
      </c>
      <c r="G83">
        <f t="shared" si="6"/>
        <v>1.192064184207442</v>
      </c>
    </row>
    <row r="84" spans="1:7">
      <c r="A84" s="148">
        <v>41460</v>
      </c>
      <c r="B84" s="149">
        <v>61879</v>
      </c>
      <c r="C84" s="149">
        <v>29550909</v>
      </c>
      <c r="D84">
        <f t="shared" si="3"/>
        <v>58478.833333333336</v>
      </c>
      <c r="E84">
        <f t="shared" si="4"/>
        <v>25549180.166666668</v>
      </c>
      <c r="F84">
        <f t="shared" si="5"/>
        <v>1.0581435448153604</v>
      </c>
      <c r="G84">
        <f t="shared" si="6"/>
        <v>1.1566284635056228</v>
      </c>
    </row>
    <row r="85" spans="1:7">
      <c r="A85" s="148">
        <v>41491</v>
      </c>
      <c r="B85" s="149">
        <v>63972</v>
      </c>
      <c r="C85" s="149">
        <v>30742395</v>
      </c>
      <c r="D85">
        <f t="shared" si="3"/>
        <v>59035.5</v>
      </c>
      <c r="E85">
        <f t="shared" si="4"/>
        <v>26920343.666666668</v>
      </c>
      <c r="F85">
        <f t="shared" si="5"/>
        <v>1.0836191782910283</v>
      </c>
      <c r="G85">
        <f t="shared" si="6"/>
        <v>1.1419763202379127</v>
      </c>
    </row>
    <row r="86" spans="1:7">
      <c r="A86" s="148">
        <v>41522</v>
      </c>
      <c r="B86" s="149">
        <v>61904</v>
      </c>
      <c r="C86" s="149">
        <v>28268462</v>
      </c>
      <c r="D86">
        <f t="shared" si="3"/>
        <v>59107.333333333336</v>
      </c>
      <c r="E86">
        <f t="shared" si="4"/>
        <v>27571579.666666668</v>
      </c>
      <c r="F86">
        <f t="shared" si="5"/>
        <v>1.0473150539696146</v>
      </c>
      <c r="G86">
        <f t="shared" si="6"/>
        <v>1.0252753865305673</v>
      </c>
    </row>
    <row r="87" spans="1:7">
      <c r="A87" s="148">
        <v>41552</v>
      </c>
      <c r="B87" s="152">
        <v>55085</v>
      </c>
      <c r="C87" s="152">
        <v>23925987</v>
      </c>
      <c r="D87">
        <f t="shared" si="3"/>
        <v>60672</v>
      </c>
      <c r="E87">
        <f t="shared" si="4"/>
        <v>27900793.166666668</v>
      </c>
      <c r="F87">
        <f t="shared" si="5"/>
        <v>0.90791468881856541</v>
      </c>
      <c r="G87">
        <f t="shared" si="6"/>
        <v>0.85753787919493973</v>
      </c>
    </row>
    <row r="88" spans="1:7">
      <c r="A88" s="148">
        <v>41583</v>
      </c>
      <c r="B88" s="153">
        <v>54034</v>
      </c>
      <c r="C88" s="153">
        <v>23090567</v>
      </c>
      <c r="D88">
        <f t="shared" si="3"/>
        <v>60192.333333333336</v>
      </c>
      <c r="E88">
        <f t="shared" si="4"/>
        <v>27519003</v>
      </c>
      <c r="F88">
        <f t="shared" si="5"/>
        <v>0.89768907446684787</v>
      </c>
      <c r="G88">
        <f t="shared" si="6"/>
        <v>0.83907716424174228</v>
      </c>
    </row>
    <row r="89" spans="1:7">
      <c r="A89" s="148">
        <v>41613</v>
      </c>
      <c r="B89" s="153">
        <v>58226</v>
      </c>
      <c r="C89" s="153">
        <v>25616104</v>
      </c>
      <c r="D89">
        <f>SUM(B84:B89)/6</f>
        <v>59183.333333333336</v>
      </c>
      <c r="E89">
        <f t="shared" si="4"/>
        <v>26865737.333333332</v>
      </c>
      <c r="F89">
        <f t="shared" si="5"/>
        <v>0.98382427485215429</v>
      </c>
      <c r="G89">
        <f t="shared" si="6"/>
        <v>0.95348598410575303</v>
      </c>
    </row>
    <row r="103" spans="1:7">
      <c r="B103" s="204" t="s">
        <v>104</v>
      </c>
      <c r="C103" s="204"/>
      <c r="F103" s="204" t="s">
        <v>105</v>
      </c>
      <c r="G103" s="204"/>
    </row>
    <row r="104" spans="1:7">
      <c r="A104" t="s">
        <v>12</v>
      </c>
      <c r="B104" t="s">
        <v>102</v>
      </c>
      <c r="C104" t="s">
        <v>101</v>
      </c>
      <c r="D104" t="s">
        <v>106</v>
      </c>
      <c r="E104" t="s">
        <v>106</v>
      </c>
      <c r="F104" t="s">
        <v>102</v>
      </c>
      <c r="G104" t="s">
        <v>101</v>
      </c>
    </row>
    <row r="105" spans="1:7">
      <c r="A105" s="148">
        <v>41640</v>
      </c>
      <c r="B105">
        <f>FORECAST(A105,$D$60:$D$89,$A$60:$A$89)</f>
        <v>57596.482945987285</v>
      </c>
      <c r="C105">
        <f>FORECAST(A105,$E$60:$E$89,$A$60:$A$89)</f>
        <v>25724743.200069442</v>
      </c>
      <c r="D105">
        <f>SUM(F66,F78)/2</f>
        <v>1.0981650743768301</v>
      </c>
      <c r="E105">
        <f>SUM(G66,G78)/2</f>
        <v>0.95584264368090111</v>
      </c>
      <c r="F105">
        <f>B105*D105</f>
        <v>63250.44597822395</v>
      </c>
      <c r="G105">
        <f>C105*E105</f>
        <v>24588806.548366658</v>
      </c>
    </row>
    <row r="106" spans="1:7">
      <c r="A106" s="148">
        <v>41671</v>
      </c>
      <c r="B106">
        <f>FORECAST(A106,$D$60:$D$89,$A$60:$A$89)</f>
        <v>57496.451969893591</v>
      </c>
      <c r="C106">
        <f t="shared" ref="C106:C116" si="7">FORECAST(A106,$E$60:$E$89,$A$60:$A$89)</f>
        <v>25671491.326206863</v>
      </c>
      <c r="D106">
        <f>SUM(F67,F79)/2</f>
        <v>1.1052118752996458</v>
      </c>
      <c r="E106">
        <f>SUM(G67,G79)/2</f>
        <v>0.916143599561422</v>
      </c>
      <c r="F106">
        <f t="shared" ref="F106:F116" si="8">B106*D106</f>
        <v>63545.761504722112</v>
      </c>
      <c r="G106">
        <f t="shared" ref="G106:G116" si="9">C106*E106</f>
        <v>23518772.469700977</v>
      </c>
    </row>
    <row r="107" spans="1:7">
      <c r="A107" s="148">
        <v>41699</v>
      </c>
      <c r="B107">
        <f t="shared" ref="B107:B116" si="10">FORECAST(A107,$D$60:$D$89,$A$60:$A$89)</f>
        <v>57406.101410841249</v>
      </c>
      <c r="C107">
        <f t="shared" si="7"/>
        <v>25623392.859492287</v>
      </c>
      <c r="D107">
        <f t="shared" ref="D107:E116" si="11">SUM(F68,F80)/2</f>
        <v>0.93982525828761343</v>
      </c>
      <c r="E107">
        <f t="shared" si="11"/>
        <v>0.99069068041133157</v>
      </c>
      <c r="F107">
        <f t="shared" si="8"/>
        <v>53951.704085728808</v>
      </c>
      <c r="G107">
        <f t="shared" si="9"/>
        <v>25384856.506417267</v>
      </c>
    </row>
    <row r="108" spans="1:7">
      <c r="A108" s="148">
        <v>41730</v>
      </c>
      <c r="B108">
        <f t="shared" si="10"/>
        <v>57306.070434747555</v>
      </c>
      <c r="C108">
        <f t="shared" si="7"/>
        <v>25570140.985629708</v>
      </c>
      <c r="D108">
        <f t="shared" si="11"/>
        <v>0.88447582283481618</v>
      </c>
      <c r="E108">
        <f t="shared" si="11"/>
        <v>0.94086627280881574</v>
      </c>
      <c r="F108">
        <f t="shared" si="8"/>
        <v>50685.833801203276</v>
      </c>
      <c r="G108">
        <f t="shared" si="9"/>
        <v>24058083.24434536</v>
      </c>
    </row>
    <row r="109" spans="1:7">
      <c r="A109" s="148">
        <v>41760</v>
      </c>
      <c r="B109">
        <f t="shared" si="10"/>
        <v>57209.266264334292</v>
      </c>
      <c r="C109">
        <f t="shared" si="7"/>
        <v>25518606.914149806</v>
      </c>
      <c r="D109">
        <f t="shared" si="11"/>
        <v>1.0176882700861609</v>
      </c>
      <c r="E109">
        <f t="shared" si="11"/>
        <v>1.0978132237763605</v>
      </c>
      <c r="F109">
        <f t="shared" si="8"/>
        <v>58221.199217448928</v>
      </c>
      <c r="G109">
        <f t="shared" si="9"/>
        <v>28014664.122704521</v>
      </c>
    </row>
    <row r="110" spans="1:7">
      <c r="A110" s="148">
        <v>41791</v>
      </c>
      <c r="B110">
        <f t="shared" si="10"/>
        <v>57109.235288240598</v>
      </c>
      <c r="C110">
        <f t="shared" si="7"/>
        <v>25465355.040287226</v>
      </c>
      <c r="D110">
        <f t="shared" si="11"/>
        <v>1.07829042406167</v>
      </c>
      <c r="E110">
        <f t="shared" si="11"/>
        <v>1.1717617921272829</v>
      </c>
      <c r="F110">
        <f t="shared" si="8"/>
        <v>61580.341536794644</v>
      </c>
      <c r="G110">
        <f t="shared" si="9"/>
        <v>29839330.059164498</v>
      </c>
    </row>
    <row r="111" spans="1:7">
      <c r="A111" s="148">
        <v>41821</v>
      </c>
      <c r="B111">
        <f t="shared" si="10"/>
        <v>57012.431117827364</v>
      </c>
      <c r="C111">
        <f t="shared" si="7"/>
        <v>25413820.96880731</v>
      </c>
      <c r="D111">
        <f t="shared" si="11"/>
        <v>1.0870438245298826</v>
      </c>
      <c r="E111">
        <f t="shared" si="11"/>
        <v>1.1995146585410268</v>
      </c>
      <c r="F111">
        <f t="shared" si="8"/>
        <v>61975.011168069548</v>
      </c>
      <c r="G111">
        <f t="shared" si="9"/>
        <v>30484250.781621687</v>
      </c>
    </row>
    <row r="112" spans="1:7">
      <c r="A112" s="148">
        <v>41852</v>
      </c>
      <c r="B112">
        <f t="shared" si="10"/>
        <v>56912.400141733669</v>
      </c>
      <c r="C112">
        <f t="shared" si="7"/>
        <v>25360569.09494473</v>
      </c>
      <c r="D112">
        <f t="shared" si="11"/>
        <v>1.0959148238269696</v>
      </c>
      <c r="E112">
        <f t="shared" si="11"/>
        <v>1.1291122279476085</v>
      </c>
      <c r="F112">
        <f t="shared" si="8"/>
        <v>62371.142974898052</v>
      </c>
      <c r="G112">
        <f t="shared" si="9"/>
        <v>28634928.672812309</v>
      </c>
    </row>
    <row r="113" spans="1:7">
      <c r="A113" s="148">
        <v>41883</v>
      </c>
      <c r="B113">
        <f t="shared" si="10"/>
        <v>56812.369165639975</v>
      </c>
      <c r="C113">
        <f t="shared" si="7"/>
        <v>25307317.221082166</v>
      </c>
      <c r="D113">
        <f t="shared" si="11"/>
        <v>1.0084579413718058</v>
      </c>
      <c r="E113">
        <f t="shared" si="11"/>
        <v>0.9940199392337723</v>
      </c>
      <c r="F113">
        <f t="shared" si="8"/>
        <v>57292.884853236341</v>
      </c>
      <c r="G113">
        <f t="shared" si="9"/>
        <v>25155977.926269893</v>
      </c>
    </row>
    <row r="114" spans="1:7">
      <c r="A114" s="148">
        <v>41913</v>
      </c>
      <c r="B114">
        <f t="shared" si="10"/>
        <v>56715.564995226712</v>
      </c>
      <c r="C114">
        <f t="shared" si="7"/>
        <v>25255783.149602249</v>
      </c>
      <c r="D114">
        <f t="shared" si="11"/>
        <v>0.85661327847943181</v>
      </c>
      <c r="E114">
        <f t="shared" si="11"/>
        <v>0.85251913225307208</v>
      </c>
      <c r="F114">
        <f t="shared" si="8"/>
        <v>48583.306071374456</v>
      </c>
      <c r="G114">
        <f t="shared" si="9"/>
        <v>21531038.33507067</v>
      </c>
    </row>
    <row r="115" spans="1:7">
      <c r="A115" s="148">
        <v>41944</v>
      </c>
      <c r="B115">
        <f t="shared" si="10"/>
        <v>56615.534019133047</v>
      </c>
      <c r="C115">
        <f t="shared" si="7"/>
        <v>25202531.27573967</v>
      </c>
      <c r="D115">
        <f t="shared" si="11"/>
        <v>0.86865778348304123</v>
      </c>
      <c r="E115">
        <f t="shared" si="11"/>
        <v>0.83584037749346685</v>
      </c>
      <c r="F115">
        <f t="shared" si="8"/>
        <v>49179.52429176883</v>
      </c>
      <c r="G115">
        <f t="shared" si="9"/>
        <v>21065293.255305149</v>
      </c>
    </row>
    <row r="116" spans="1:7">
      <c r="A116" s="148">
        <v>41974</v>
      </c>
      <c r="B116" s="157">
        <f t="shared" si="10"/>
        <v>56518.729848719784</v>
      </c>
      <c r="C116" s="158">
        <f t="shared" si="7"/>
        <v>25150997.204259768</v>
      </c>
      <c r="D116" s="158">
        <f t="shared" si="11"/>
        <v>0.98514048932706499</v>
      </c>
      <c r="E116" s="158">
        <f t="shared" si="11"/>
        <v>0.94703605289987358</v>
      </c>
      <c r="F116" s="158">
        <f t="shared" si="8"/>
        <v>55678.889179312006</v>
      </c>
      <c r="G116" s="158">
        <f t="shared" si="9"/>
        <v>23818901.118817925</v>
      </c>
    </row>
    <row r="117" spans="1:7">
      <c r="A117" s="92" t="s">
        <v>103</v>
      </c>
      <c r="B117">
        <f>SUM(B105:B116)</f>
        <v>684710.63760232506</v>
      </c>
      <c r="C117">
        <f>SUM(C105:C116)</f>
        <v>305264749.24027121</v>
      </c>
      <c r="D117" s="92" t="s">
        <v>107</v>
      </c>
      <c r="E117" s="92" t="s">
        <v>107</v>
      </c>
      <c r="F117">
        <f>SUM(F105:F116)</f>
        <v>686316.04466278094</v>
      </c>
      <c r="G117">
        <f>SUM(G105:G116)</f>
        <v>306094903.04059696</v>
      </c>
    </row>
    <row r="119" spans="1:7">
      <c r="A119" s="92"/>
    </row>
  </sheetData>
  <mergeCells count="5">
    <mergeCell ref="A1:H1"/>
    <mergeCell ref="A19:H19"/>
    <mergeCell ref="A37:H37"/>
    <mergeCell ref="B103:C103"/>
    <mergeCell ref="F103:G103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P234"/>
  <sheetViews>
    <sheetView topLeftCell="A55" zoomScale="130" zoomScaleNormal="130" workbookViewId="0">
      <selection activeCell="B72" sqref="B72"/>
    </sheetView>
  </sheetViews>
  <sheetFormatPr defaultRowHeight="12.75"/>
  <cols>
    <col min="1" max="1" width="16.28515625" customWidth="1"/>
    <col min="2" max="2" width="17.7109375" customWidth="1"/>
    <col min="3" max="4" width="18.140625" customWidth="1"/>
    <col min="5" max="5" width="18.28515625" customWidth="1"/>
    <col min="6" max="6" width="13.7109375" customWidth="1"/>
    <col min="7" max="7" width="14.140625" customWidth="1"/>
    <col min="8" max="8" width="8.7109375" customWidth="1"/>
    <col min="9" max="9" width="9.42578125" customWidth="1"/>
    <col min="10" max="10" width="10.42578125" bestFit="1" customWidth="1"/>
    <col min="13" max="13" width="10.42578125" bestFit="1" customWidth="1"/>
    <col min="15" max="15" width="10.42578125" bestFit="1" customWidth="1"/>
  </cols>
  <sheetData>
    <row r="1" spans="1:7" ht="15">
      <c r="A1" s="1" t="s">
        <v>108</v>
      </c>
      <c r="B1" s="119" t="s">
        <v>51</v>
      </c>
      <c r="C1" s="118" t="s">
        <v>49</v>
      </c>
    </row>
    <row r="2" spans="1:7" ht="15">
      <c r="A2" s="120">
        <v>40544</v>
      </c>
      <c r="B2" s="126">
        <v>79973</v>
      </c>
      <c r="C2" s="126">
        <v>31851354</v>
      </c>
    </row>
    <row r="3" spans="1:7" ht="15">
      <c r="A3" s="120">
        <v>40575</v>
      </c>
      <c r="B3" s="126">
        <v>60129</v>
      </c>
      <c r="C3" s="126">
        <v>24032652</v>
      </c>
    </row>
    <row r="4" spans="1:7" ht="15">
      <c r="A4" s="120">
        <v>40603</v>
      </c>
      <c r="B4" s="126">
        <v>46103</v>
      </c>
      <c r="C4" s="126">
        <v>22130833</v>
      </c>
    </row>
    <row r="5" spans="1:7" ht="15">
      <c r="A5" s="120">
        <v>40634</v>
      </c>
      <c r="B5" s="126">
        <v>52612</v>
      </c>
      <c r="C5" s="126">
        <v>23129569</v>
      </c>
    </row>
    <row r="6" spans="1:7" ht="15">
      <c r="A6" s="120">
        <v>40664</v>
      </c>
      <c r="B6" s="126">
        <v>62557</v>
      </c>
      <c r="C6" s="126">
        <v>27409563</v>
      </c>
    </row>
    <row r="7" spans="1:7" ht="15">
      <c r="A7" s="120">
        <v>40695</v>
      </c>
      <c r="B7" s="126">
        <v>70301</v>
      </c>
      <c r="C7" s="126">
        <v>32977154</v>
      </c>
    </row>
    <row r="8" spans="1:7" ht="15">
      <c r="A8" s="120">
        <v>40725</v>
      </c>
      <c r="B8" s="126">
        <v>65474</v>
      </c>
      <c r="C8" s="126">
        <v>32627976</v>
      </c>
    </row>
    <row r="9" spans="1:7" ht="15">
      <c r="A9" s="120">
        <v>40756</v>
      </c>
      <c r="B9" s="126">
        <v>69234</v>
      </c>
      <c r="C9" s="126">
        <v>34937001</v>
      </c>
    </row>
    <row r="10" spans="1:7" ht="15">
      <c r="A10" s="120">
        <v>40787</v>
      </c>
      <c r="B10" s="126">
        <v>62640</v>
      </c>
      <c r="C10" s="126">
        <v>27651837</v>
      </c>
    </row>
    <row r="11" spans="1:7" ht="15">
      <c r="A11" s="120">
        <v>40817</v>
      </c>
      <c r="B11" s="127">
        <v>46366</v>
      </c>
      <c r="C11" s="127">
        <v>23388313</v>
      </c>
    </row>
    <row r="12" spans="1:7" ht="15">
      <c r="A12" s="120">
        <v>40848</v>
      </c>
      <c r="B12" s="127">
        <v>50431</v>
      </c>
      <c r="C12" s="127">
        <v>22757139</v>
      </c>
      <c r="F12" s="168" t="s">
        <v>168</v>
      </c>
      <c r="G12" s="168" t="s">
        <v>169</v>
      </c>
    </row>
    <row r="13" spans="1:7" ht="15">
      <c r="A13" s="120">
        <v>40878</v>
      </c>
      <c r="B13" s="127">
        <v>61257</v>
      </c>
      <c r="C13" s="127">
        <v>25167124</v>
      </c>
      <c r="D13" s="160">
        <f>AVERAGE(B2:B13)</f>
        <v>60589.75</v>
      </c>
      <c r="E13" s="160">
        <f>AVERAGE(C2:C13)</f>
        <v>27338376.25</v>
      </c>
      <c r="F13">
        <f>ROUND(B13/D13,3)</f>
        <v>1.0109999999999999</v>
      </c>
      <c r="G13">
        <f>ROUND(C13/E13,3)</f>
        <v>0.92100000000000004</v>
      </c>
    </row>
    <row r="14" spans="1:7" ht="15">
      <c r="A14" s="120">
        <v>40909</v>
      </c>
      <c r="B14" s="126">
        <v>70644</v>
      </c>
      <c r="C14" s="126">
        <v>25334508</v>
      </c>
      <c r="D14" s="160">
        <f t="shared" ref="D14:D49" si="0">AVERAGE(B3:B14)</f>
        <v>59812.333333333336</v>
      </c>
      <c r="E14" s="160">
        <f t="shared" ref="E14:E49" si="1">AVERAGE(C3:C14)</f>
        <v>26795305.75</v>
      </c>
      <c r="F14">
        <f t="shared" ref="F14:F63" si="2">ROUND(B14/D14,3)</f>
        <v>1.181</v>
      </c>
      <c r="G14">
        <f t="shared" ref="G14:G63" si="3">ROUND(C14/E14,3)</f>
        <v>0.94499999999999995</v>
      </c>
    </row>
    <row r="15" spans="1:7" ht="15">
      <c r="A15" s="120">
        <v>40940</v>
      </c>
      <c r="B15" s="126">
        <v>66843</v>
      </c>
      <c r="C15" s="126">
        <v>22472613</v>
      </c>
      <c r="D15" s="160">
        <f t="shared" si="0"/>
        <v>60371.833333333336</v>
      </c>
      <c r="E15" s="160">
        <f t="shared" si="1"/>
        <v>26665302.5</v>
      </c>
      <c r="F15">
        <f t="shared" si="2"/>
        <v>1.107</v>
      </c>
      <c r="G15">
        <f t="shared" si="3"/>
        <v>0.84299999999999997</v>
      </c>
    </row>
    <row r="16" spans="1:7" ht="15">
      <c r="A16" s="120">
        <v>40969</v>
      </c>
      <c r="B16" s="126">
        <v>44096</v>
      </c>
      <c r="C16" s="126">
        <v>23052445</v>
      </c>
      <c r="D16" s="160">
        <f t="shared" si="0"/>
        <v>60204.583333333336</v>
      </c>
      <c r="E16" s="160">
        <f t="shared" si="1"/>
        <v>26742103.5</v>
      </c>
      <c r="F16">
        <f t="shared" si="2"/>
        <v>0.73199999999999998</v>
      </c>
      <c r="G16">
        <f t="shared" si="3"/>
        <v>0.86199999999999999</v>
      </c>
    </row>
    <row r="17" spans="1:7" ht="15">
      <c r="A17" s="120">
        <v>41000</v>
      </c>
      <c r="B17" s="126">
        <v>54663</v>
      </c>
      <c r="C17" s="126">
        <v>22576393</v>
      </c>
      <c r="D17" s="160">
        <f t="shared" si="0"/>
        <v>60375.5</v>
      </c>
      <c r="E17" s="160">
        <f t="shared" si="1"/>
        <v>26696005.5</v>
      </c>
      <c r="F17">
        <f t="shared" si="2"/>
        <v>0.90500000000000003</v>
      </c>
      <c r="G17">
        <f t="shared" si="3"/>
        <v>0.84599999999999997</v>
      </c>
    </row>
    <row r="18" spans="1:7" ht="15">
      <c r="A18" s="120">
        <v>41030</v>
      </c>
      <c r="B18" s="126">
        <v>61595</v>
      </c>
      <c r="C18" s="126">
        <v>27942808</v>
      </c>
      <c r="D18" s="160">
        <f t="shared" si="0"/>
        <v>60295.333333333336</v>
      </c>
      <c r="E18" s="160">
        <f t="shared" si="1"/>
        <v>26740442.583333332</v>
      </c>
      <c r="F18">
        <f t="shared" si="2"/>
        <v>1.022</v>
      </c>
      <c r="G18">
        <f t="shared" si="3"/>
        <v>1.0449999999999999</v>
      </c>
    </row>
    <row r="19" spans="1:7" ht="15">
      <c r="A19" s="120">
        <v>41061</v>
      </c>
      <c r="B19" s="126">
        <v>62723</v>
      </c>
      <c r="C19" s="126">
        <v>28825730</v>
      </c>
      <c r="D19" s="160">
        <f t="shared" si="0"/>
        <v>59663.833333333336</v>
      </c>
      <c r="E19" s="160">
        <f t="shared" si="1"/>
        <v>26394490.583333332</v>
      </c>
      <c r="F19">
        <f t="shared" si="2"/>
        <v>1.0509999999999999</v>
      </c>
      <c r="G19">
        <f t="shared" si="3"/>
        <v>1.0920000000000001</v>
      </c>
    </row>
    <row r="20" spans="1:7" ht="15">
      <c r="A20" s="120">
        <v>41091</v>
      </c>
      <c r="B20" s="126">
        <v>66243</v>
      </c>
      <c r="C20" s="126">
        <v>32608586</v>
      </c>
      <c r="D20" s="160">
        <f t="shared" si="0"/>
        <v>59727.916666666664</v>
      </c>
      <c r="E20" s="160">
        <f t="shared" si="1"/>
        <v>26392874.75</v>
      </c>
      <c r="F20">
        <f t="shared" si="2"/>
        <v>1.109</v>
      </c>
      <c r="G20">
        <f t="shared" si="3"/>
        <v>1.236</v>
      </c>
    </row>
    <row r="21" spans="1:7" ht="15">
      <c r="A21" s="120">
        <v>41122</v>
      </c>
      <c r="B21" s="126">
        <v>65544</v>
      </c>
      <c r="C21" s="126">
        <v>30857455</v>
      </c>
      <c r="D21" s="160">
        <f t="shared" si="0"/>
        <v>59420.416666666664</v>
      </c>
      <c r="E21" s="160">
        <f t="shared" si="1"/>
        <v>26052912.583333332</v>
      </c>
      <c r="F21">
        <f t="shared" si="2"/>
        <v>1.103</v>
      </c>
      <c r="G21">
        <f t="shared" si="3"/>
        <v>1.1839999999999999</v>
      </c>
    </row>
    <row r="22" spans="1:7" ht="15">
      <c r="A22" s="120">
        <v>41153</v>
      </c>
      <c r="B22" s="126">
        <v>59900</v>
      </c>
      <c r="C22" s="126">
        <v>27295395</v>
      </c>
      <c r="D22" s="160">
        <f t="shared" si="0"/>
        <v>59192.083333333336</v>
      </c>
      <c r="E22" s="160">
        <f t="shared" si="1"/>
        <v>26023209.083333332</v>
      </c>
      <c r="F22">
        <f t="shared" si="2"/>
        <v>1.012</v>
      </c>
      <c r="G22">
        <f t="shared" si="3"/>
        <v>1.0489999999999999</v>
      </c>
    </row>
    <row r="23" spans="1:7" ht="15">
      <c r="A23" s="120">
        <v>41183</v>
      </c>
      <c r="B23" s="127">
        <v>48989</v>
      </c>
      <c r="C23" s="127">
        <v>24266224</v>
      </c>
      <c r="D23" s="160">
        <f t="shared" si="0"/>
        <v>59410.666666666664</v>
      </c>
      <c r="E23" s="160">
        <f t="shared" si="1"/>
        <v>26096368.333333332</v>
      </c>
      <c r="F23">
        <f t="shared" si="2"/>
        <v>0.82499999999999996</v>
      </c>
      <c r="G23">
        <f t="shared" si="3"/>
        <v>0.93</v>
      </c>
    </row>
    <row r="24" spans="1:7" ht="15">
      <c r="A24" s="120">
        <v>41214</v>
      </c>
      <c r="B24" s="127">
        <v>49365</v>
      </c>
      <c r="C24" s="127">
        <v>23178568</v>
      </c>
      <c r="D24" s="160">
        <f t="shared" si="0"/>
        <v>59321.833333333336</v>
      </c>
      <c r="E24" s="160">
        <f t="shared" si="1"/>
        <v>26131487.416666668</v>
      </c>
      <c r="F24">
        <f t="shared" si="2"/>
        <v>0.83199999999999996</v>
      </c>
      <c r="G24">
        <f t="shared" si="3"/>
        <v>0.88700000000000001</v>
      </c>
    </row>
    <row r="25" spans="1:7" ht="15">
      <c r="A25" s="120">
        <v>41244</v>
      </c>
      <c r="B25" s="127">
        <v>57068</v>
      </c>
      <c r="C25" s="127">
        <v>25693660</v>
      </c>
      <c r="D25" s="160">
        <f t="shared" si="0"/>
        <v>58972.75</v>
      </c>
      <c r="E25" s="160">
        <f t="shared" si="1"/>
        <v>26175365.416666668</v>
      </c>
      <c r="F25">
        <f t="shared" si="2"/>
        <v>0.96799999999999997</v>
      </c>
      <c r="G25">
        <f t="shared" si="3"/>
        <v>0.98199999999999998</v>
      </c>
    </row>
    <row r="26" spans="1:7" ht="15">
      <c r="A26" s="120">
        <v>41275</v>
      </c>
      <c r="B26" s="149">
        <v>57581</v>
      </c>
      <c r="C26" s="149">
        <v>24917444</v>
      </c>
      <c r="D26" s="160">
        <f t="shared" si="0"/>
        <v>57884.166666666664</v>
      </c>
      <c r="E26" s="160">
        <f t="shared" si="1"/>
        <v>26140610.083333332</v>
      </c>
      <c r="F26">
        <f t="shared" si="2"/>
        <v>0.995</v>
      </c>
      <c r="G26">
        <f t="shared" si="3"/>
        <v>0.95299999999999996</v>
      </c>
    </row>
    <row r="27" spans="1:7" ht="15">
      <c r="A27" s="120">
        <v>41306</v>
      </c>
      <c r="B27" s="149">
        <v>60632</v>
      </c>
      <c r="C27" s="149">
        <v>22515414</v>
      </c>
      <c r="D27" s="160">
        <f t="shared" si="0"/>
        <v>57366.583333333336</v>
      </c>
      <c r="E27" s="160">
        <f t="shared" si="1"/>
        <v>26144176.833333332</v>
      </c>
      <c r="F27">
        <f t="shared" si="2"/>
        <v>1.0569999999999999</v>
      </c>
      <c r="G27">
        <f t="shared" si="3"/>
        <v>0.86099999999999999</v>
      </c>
    </row>
    <row r="28" spans="1:7" ht="15">
      <c r="A28" s="120">
        <v>41334</v>
      </c>
      <c r="B28" s="149">
        <v>61473</v>
      </c>
      <c r="C28" s="149">
        <v>24361046</v>
      </c>
      <c r="D28" s="160">
        <f t="shared" si="0"/>
        <v>58814.666666666664</v>
      </c>
      <c r="E28" s="160">
        <f t="shared" si="1"/>
        <v>26253226.916666668</v>
      </c>
      <c r="F28">
        <f t="shared" si="2"/>
        <v>1.0449999999999999</v>
      </c>
      <c r="G28">
        <f t="shared" si="3"/>
        <v>0.92800000000000005</v>
      </c>
    </row>
    <row r="29" spans="1:7" ht="15">
      <c r="A29" s="120">
        <v>41365</v>
      </c>
      <c r="B29" s="149">
        <v>45697</v>
      </c>
      <c r="C29" s="149">
        <v>21950706</v>
      </c>
      <c r="D29" s="160">
        <f t="shared" si="0"/>
        <v>58067.5</v>
      </c>
      <c r="E29" s="160">
        <f t="shared" si="1"/>
        <v>26201086.333333332</v>
      </c>
      <c r="F29">
        <f t="shared" si="2"/>
        <v>0.78700000000000003</v>
      </c>
      <c r="G29">
        <f t="shared" si="3"/>
        <v>0.83799999999999997</v>
      </c>
    </row>
    <row r="30" spans="1:7" ht="15">
      <c r="A30" s="120">
        <v>41395</v>
      </c>
      <c r="B30" s="149">
        <v>56912</v>
      </c>
      <c r="C30" s="149">
        <v>25381308</v>
      </c>
      <c r="D30" s="160">
        <f t="shared" si="0"/>
        <v>57677.25</v>
      </c>
      <c r="E30" s="160">
        <f t="shared" si="1"/>
        <v>25987628</v>
      </c>
      <c r="F30">
        <f t="shared" si="2"/>
        <v>0.98699999999999999</v>
      </c>
      <c r="G30">
        <f t="shared" si="3"/>
        <v>0.97699999999999998</v>
      </c>
    </row>
    <row r="31" spans="1:7" ht="15">
      <c r="A31" s="120">
        <v>41426</v>
      </c>
      <c r="B31" s="149">
        <v>64280</v>
      </c>
      <c r="C31" s="149">
        <v>29535698</v>
      </c>
      <c r="D31" s="160">
        <f t="shared" si="0"/>
        <v>57807</v>
      </c>
      <c r="E31" s="160">
        <f t="shared" si="1"/>
        <v>26046792</v>
      </c>
      <c r="F31">
        <f t="shared" si="2"/>
        <v>1.1120000000000001</v>
      </c>
      <c r="G31">
        <f t="shared" si="3"/>
        <v>1.1339999999999999</v>
      </c>
    </row>
    <row r="32" spans="1:7" ht="15">
      <c r="A32" s="120">
        <v>41456</v>
      </c>
      <c r="B32" s="149">
        <v>61879</v>
      </c>
      <c r="C32" s="149">
        <v>29550909</v>
      </c>
      <c r="D32" s="160">
        <f t="shared" si="0"/>
        <v>57443.333333333336</v>
      </c>
      <c r="E32" s="160">
        <f t="shared" si="1"/>
        <v>25791985.583333332</v>
      </c>
      <c r="F32">
        <f t="shared" si="2"/>
        <v>1.077</v>
      </c>
      <c r="G32">
        <f t="shared" si="3"/>
        <v>1.1459999999999999</v>
      </c>
    </row>
    <row r="33" spans="1:7" ht="15">
      <c r="A33" s="120">
        <v>41487</v>
      </c>
      <c r="B33" s="149">
        <v>63972</v>
      </c>
      <c r="C33" s="149">
        <v>30742395</v>
      </c>
      <c r="D33" s="160">
        <f t="shared" si="0"/>
        <v>57312.333333333336</v>
      </c>
      <c r="E33" s="160">
        <f t="shared" si="1"/>
        <v>25782397.25</v>
      </c>
      <c r="F33">
        <f t="shared" si="2"/>
        <v>1.1160000000000001</v>
      </c>
      <c r="G33">
        <f t="shared" si="3"/>
        <v>1.1919999999999999</v>
      </c>
    </row>
    <row r="34" spans="1:7" ht="15">
      <c r="A34" s="120">
        <v>41518</v>
      </c>
      <c r="B34" s="149">
        <v>61904</v>
      </c>
      <c r="C34" s="149">
        <v>28268462</v>
      </c>
      <c r="D34" s="160">
        <f t="shared" si="0"/>
        <v>57479.333333333336</v>
      </c>
      <c r="E34" s="160">
        <f t="shared" si="1"/>
        <v>25863486.166666668</v>
      </c>
      <c r="F34">
        <f t="shared" si="2"/>
        <v>1.077</v>
      </c>
      <c r="G34">
        <f t="shared" si="3"/>
        <v>1.093</v>
      </c>
    </row>
    <row r="35" spans="1:7" ht="15">
      <c r="A35" s="120">
        <v>41548</v>
      </c>
      <c r="B35" s="152">
        <v>55085</v>
      </c>
      <c r="C35" s="152">
        <v>23925987</v>
      </c>
      <c r="D35" s="160">
        <f t="shared" si="0"/>
        <v>57987.333333333336</v>
      </c>
      <c r="E35" s="160">
        <f t="shared" si="1"/>
        <v>25835133.083333332</v>
      </c>
      <c r="F35">
        <f t="shared" si="2"/>
        <v>0.95</v>
      </c>
      <c r="G35">
        <f t="shared" si="3"/>
        <v>0.92600000000000005</v>
      </c>
    </row>
    <row r="36" spans="1:7" ht="15">
      <c r="A36" s="120">
        <v>41579</v>
      </c>
      <c r="B36" s="153">
        <v>54034</v>
      </c>
      <c r="C36" s="153">
        <v>23090567</v>
      </c>
      <c r="D36" s="160">
        <f t="shared" si="0"/>
        <v>58376.416666666664</v>
      </c>
      <c r="E36" s="160">
        <f t="shared" si="1"/>
        <v>25827799.666666668</v>
      </c>
      <c r="F36">
        <f t="shared" si="2"/>
        <v>0.92600000000000005</v>
      </c>
      <c r="G36">
        <f t="shared" si="3"/>
        <v>0.89400000000000002</v>
      </c>
    </row>
    <row r="37" spans="1:7" ht="15">
      <c r="A37" s="120">
        <v>41609</v>
      </c>
      <c r="B37" s="153">
        <v>58226</v>
      </c>
      <c r="C37" s="153">
        <v>25616104</v>
      </c>
      <c r="D37" s="160">
        <f t="shared" si="0"/>
        <v>58472.916666666664</v>
      </c>
      <c r="E37" s="160">
        <f t="shared" si="1"/>
        <v>25821336.666666668</v>
      </c>
      <c r="F37">
        <f t="shared" si="2"/>
        <v>0.996</v>
      </c>
      <c r="G37">
        <f t="shared" si="3"/>
        <v>0.99199999999999999</v>
      </c>
    </row>
    <row r="38" spans="1:7" ht="15">
      <c r="A38" s="120">
        <v>41640</v>
      </c>
      <c r="B38" s="149">
        <v>80416</v>
      </c>
      <c r="C38" s="149">
        <v>32651753</v>
      </c>
      <c r="D38" s="160">
        <f t="shared" si="0"/>
        <v>60375.833333333336</v>
      </c>
      <c r="E38" s="160">
        <f t="shared" si="1"/>
        <v>26465862.416666668</v>
      </c>
      <c r="F38">
        <f t="shared" si="2"/>
        <v>1.3320000000000001</v>
      </c>
      <c r="G38">
        <f t="shared" si="3"/>
        <v>1.234</v>
      </c>
    </row>
    <row r="39" spans="1:7" ht="15">
      <c r="A39" s="120">
        <v>41671</v>
      </c>
      <c r="B39" s="149">
        <v>60352</v>
      </c>
      <c r="C39" s="149">
        <v>22559528</v>
      </c>
      <c r="D39" s="160">
        <f t="shared" si="0"/>
        <v>60352.5</v>
      </c>
      <c r="E39" s="160">
        <f t="shared" si="1"/>
        <v>26469538.583333332</v>
      </c>
      <c r="F39">
        <f t="shared" si="2"/>
        <v>1</v>
      </c>
      <c r="G39">
        <f t="shared" si="3"/>
        <v>0.85199999999999998</v>
      </c>
    </row>
    <row r="40" spans="1:7" ht="15">
      <c r="A40" s="120">
        <v>41699</v>
      </c>
      <c r="B40" s="149">
        <v>47686</v>
      </c>
      <c r="C40" s="149">
        <v>23396311</v>
      </c>
      <c r="D40" s="160">
        <f t="shared" si="0"/>
        <v>59203.583333333336</v>
      </c>
      <c r="E40" s="160">
        <f t="shared" si="1"/>
        <v>26389144</v>
      </c>
      <c r="F40">
        <f t="shared" si="2"/>
        <v>0.80500000000000005</v>
      </c>
      <c r="G40">
        <f t="shared" si="3"/>
        <v>0.88700000000000001</v>
      </c>
    </row>
    <row r="41" spans="1:7" ht="15">
      <c r="A41" s="120">
        <v>41730</v>
      </c>
      <c r="B41" s="149">
        <v>38849</v>
      </c>
      <c r="C41" s="149">
        <v>18952601</v>
      </c>
      <c r="D41" s="160">
        <f t="shared" si="0"/>
        <v>58632.916666666664</v>
      </c>
      <c r="E41" s="160">
        <f t="shared" si="1"/>
        <v>26139301.916666668</v>
      </c>
      <c r="F41">
        <f t="shared" si="2"/>
        <v>0.66300000000000003</v>
      </c>
      <c r="G41">
        <f t="shared" si="3"/>
        <v>0.72499999999999998</v>
      </c>
    </row>
    <row r="42" spans="1:7" ht="15">
      <c r="A42" s="120">
        <v>41764</v>
      </c>
      <c r="B42" s="149">
        <v>54606</v>
      </c>
      <c r="C42" s="149">
        <v>25562899</v>
      </c>
      <c r="D42" s="160">
        <f t="shared" si="0"/>
        <v>58440.75</v>
      </c>
      <c r="E42" s="160">
        <f t="shared" si="1"/>
        <v>26154434.5</v>
      </c>
      <c r="F42">
        <f t="shared" si="2"/>
        <v>0.93400000000000005</v>
      </c>
      <c r="G42">
        <f t="shared" si="3"/>
        <v>0.97699999999999998</v>
      </c>
    </row>
    <row r="43" spans="1:7" ht="15">
      <c r="A43" s="120">
        <v>41795</v>
      </c>
      <c r="B43" s="149">
        <v>63415</v>
      </c>
      <c r="C43" s="149">
        <v>29040143</v>
      </c>
      <c r="D43" s="160">
        <f t="shared" si="0"/>
        <v>58368.666666666664</v>
      </c>
      <c r="E43" s="160">
        <f t="shared" si="1"/>
        <v>26113138.25</v>
      </c>
      <c r="F43">
        <f t="shared" si="2"/>
        <v>1.0860000000000001</v>
      </c>
      <c r="G43">
        <f t="shared" si="3"/>
        <v>1.1120000000000001</v>
      </c>
    </row>
    <row r="44" spans="1:7" ht="15">
      <c r="A44" s="120">
        <v>41825</v>
      </c>
      <c r="B44" s="149">
        <v>64897</v>
      </c>
      <c r="C44" s="149">
        <v>30776863</v>
      </c>
      <c r="D44" s="160">
        <f t="shared" si="0"/>
        <v>58620.166666666664</v>
      </c>
      <c r="E44" s="160">
        <f t="shared" si="1"/>
        <v>26215301.083333332</v>
      </c>
      <c r="F44">
        <f t="shared" si="2"/>
        <v>1.107</v>
      </c>
      <c r="G44">
        <f t="shared" si="3"/>
        <v>1.1739999999999999</v>
      </c>
    </row>
    <row r="45" spans="1:7" ht="15">
      <c r="A45" s="120">
        <v>41856</v>
      </c>
      <c r="B45" s="149">
        <v>64448</v>
      </c>
      <c r="C45" s="149">
        <v>32087806</v>
      </c>
      <c r="D45" s="160">
        <f t="shared" si="0"/>
        <v>58659.833333333336</v>
      </c>
      <c r="E45" s="160">
        <f t="shared" si="1"/>
        <v>26327418.666666668</v>
      </c>
      <c r="F45">
        <f t="shared" si="2"/>
        <v>1.099</v>
      </c>
      <c r="G45">
        <f t="shared" si="3"/>
        <v>1.2190000000000001</v>
      </c>
    </row>
    <row r="46" spans="1:7" ht="15">
      <c r="A46" s="120">
        <v>41887</v>
      </c>
      <c r="B46" s="149">
        <v>63815</v>
      </c>
      <c r="C46" s="149">
        <v>27520883</v>
      </c>
      <c r="D46" s="160">
        <f t="shared" si="0"/>
        <v>58819.083333333336</v>
      </c>
      <c r="E46" s="160">
        <f t="shared" si="1"/>
        <v>26265120.416666668</v>
      </c>
      <c r="F46">
        <f t="shared" si="2"/>
        <v>1.085</v>
      </c>
      <c r="G46">
        <f t="shared" si="3"/>
        <v>1.048</v>
      </c>
    </row>
    <row r="47" spans="1:7" ht="15">
      <c r="A47" s="120">
        <v>41917</v>
      </c>
      <c r="B47" s="152">
        <v>52685</v>
      </c>
      <c r="C47" s="152">
        <v>21326010</v>
      </c>
      <c r="D47" s="160">
        <f t="shared" si="0"/>
        <v>58619.083333333336</v>
      </c>
      <c r="E47" s="160">
        <f t="shared" si="1"/>
        <v>26048455.666666668</v>
      </c>
      <c r="F47">
        <f t="shared" si="2"/>
        <v>0.89900000000000002</v>
      </c>
      <c r="G47">
        <f t="shared" si="3"/>
        <v>0.81899999999999995</v>
      </c>
    </row>
    <row r="48" spans="1:7" ht="15">
      <c r="A48" s="120">
        <v>41948</v>
      </c>
      <c r="B48" s="153">
        <v>70220</v>
      </c>
      <c r="C48" s="153">
        <v>24694074</v>
      </c>
      <c r="D48" s="160">
        <f t="shared" si="0"/>
        <v>59967.916666666664</v>
      </c>
      <c r="E48" s="160">
        <f t="shared" si="1"/>
        <v>26182081.25</v>
      </c>
      <c r="F48">
        <f t="shared" si="2"/>
        <v>1.171</v>
      </c>
      <c r="G48">
        <f t="shared" si="3"/>
        <v>0.94299999999999995</v>
      </c>
    </row>
    <row r="49" spans="1:7" ht="15">
      <c r="A49" s="120">
        <v>41978</v>
      </c>
      <c r="B49" s="153">
        <v>56482</v>
      </c>
      <c r="C49" s="153">
        <v>24754801</v>
      </c>
      <c r="D49" s="160">
        <f t="shared" si="0"/>
        <v>59822.583333333336</v>
      </c>
      <c r="E49" s="160">
        <f t="shared" si="1"/>
        <v>26110306</v>
      </c>
      <c r="F49">
        <f t="shared" si="2"/>
        <v>0.94399999999999995</v>
      </c>
      <c r="G49">
        <f t="shared" si="3"/>
        <v>0.94799999999999995</v>
      </c>
    </row>
    <row r="50" spans="1:7" ht="15">
      <c r="A50" s="120">
        <v>42005</v>
      </c>
      <c r="B50" s="149">
        <v>74944</v>
      </c>
      <c r="C50" s="149">
        <v>27519518</v>
      </c>
      <c r="D50" s="160">
        <f t="shared" ref="D50:D61" si="4">AVERAGE(B39:B50)</f>
        <v>59366.583333333336</v>
      </c>
      <c r="E50" s="160">
        <f t="shared" ref="E50:E61" si="5">AVERAGE(C39:C50)</f>
        <v>25682619.75</v>
      </c>
      <c r="F50">
        <f t="shared" ref="F50:F61" si="6">ROUND(B50/D50,3)</f>
        <v>1.262</v>
      </c>
      <c r="G50">
        <f t="shared" ref="G50:G61" si="7">ROUND(C50/E50,3)</f>
        <v>1.0720000000000001</v>
      </c>
    </row>
    <row r="51" spans="1:7" ht="15">
      <c r="A51" s="120">
        <f>EDATE(A50,1)</f>
        <v>42036</v>
      </c>
      <c r="B51" s="149">
        <v>69841</v>
      </c>
      <c r="C51" s="149">
        <v>25318858</v>
      </c>
      <c r="D51" s="160">
        <f t="shared" si="4"/>
        <v>60157.333333333336</v>
      </c>
      <c r="E51" s="160">
        <f t="shared" si="5"/>
        <v>25912563.916666668</v>
      </c>
      <c r="F51">
        <f t="shared" si="6"/>
        <v>1.161</v>
      </c>
      <c r="G51">
        <f t="shared" si="7"/>
        <v>0.97699999999999998</v>
      </c>
    </row>
    <row r="52" spans="1:7" ht="15">
      <c r="A52" s="120">
        <f t="shared" ref="A52:A61" si="8">EDATE(A51,1)</f>
        <v>42064</v>
      </c>
      <c r="B52" s="149">
        <v>50613</v>
      </c>
      <c r="C52" s="149">
        <v>21757928</v>
      </c>
      <c r="D52" s="160">
        <f t="shared" si="4"/>
        <v>60401.25</v>
      </c>
      <c r="E52" s="160">
        <f t="shared" si="5"/>
        <v>25776032</v>
      </c>
      <c r="F52">
        <f t="shared" si="6"/>
        <v>0.83799999999999997</v>
      </c>
      <c r="G52">
        <f t="shared" si="7"/>
        <v>0.84399999999999997</v>
      </c>
    </row>
    <row r="53" spans="1:7" ht="15">
      <c r="A53" s="120">
        <f t="shared" si="8"/>
        <v>42095</v>
      </c>
      <c r="B53" s="149">
        <v>48408</v>
      </c>
      <c r="C53" s="149">
        <v>22465423</v>
      </c>
      <c r="D53" s="160">
        <f t="shared" si="4"/>
        <v>61197.833333333336</v>
      </c>
      <c r="E53" s="160">
        <f t="shared" si="5"/>
        <v>26068767.166666668</v>
      </c>
      <c r="F53">
        <f t="shared" si="6"/>
        <v>0.79100000000000004</v>
      </c>
      <c r="G53">
        <f t="shared" si="7"/>
        <v>0.86199999999999999</v>
      </c>
    </row>
    <row r="54" spans="1:7" ht="15">
      <c r="A54" s="120">
        <f t="shared" si="8"/>
        <v>42125</v>
      </c>
      <c r="B54" s="149">
        <v>58248</v>
      </c>
      <c r="C54" s="149">
        <v>26605236</v>
      </c>
      <c r="D54" s="160">
        <f t="shared" si="4"/>
        <v>61501.333333333336</v>
      </c>
      <c r="E54" s="160">
        <f t="shared" si="5"/>
        <v>26155628.583333332</v>
      </c>
      <c r="F54">
        <f t="shared" si="6"/>
        <v>0.94699999999999995</v>
      </c>
      <c r="G54">
        <f t="shared" si="7"/>
        <v>1.0169999999999999</v>
      </c>
    </row>
    <row r="55" spans="1:7" ht="15">
      <c r="A55" s="120">
        <f t="shared" si="8"/>
        <v>42156</v>
      </c>
      <c r="B55" s="149">
        <v>66721</v>
      </c>
      <c r="C55" s="149">
        <v>29770105</v>
      </c>
      <c r="D55" s="160">
        <f t="shared" si="4"/>
        <v>61776.833333333336</v>
      </c>
      <c r="E55" s="160">
        <f t="shared" si="5"/>
        <v>26216458.75</v>
      </c>
      <c r="F55">
        <f t="shared" si="6"/>
        <v>1.08</v>
      </c>
      <c r="G55">
        <f t="shared" si="7"/>
        <v>1.1359999999999999</v>
      </c>
    </row>
    <row r="56" spans="1:7" ht="15">
      <c r="A56" s="120">
        <f t="shared" si="8"/>
        <v>42186</v>
      </c>
      <c r="B56" s="149">
        <v>68460</v>
      </c>
      <c r="C56" s="149">
        <v>33084608</v>
      </c>
      <c r="D56" s="160">
        <f t="shared" si="4"/>
        <v>62073.75</v>
      </c>
      <c r="E56" s="160">
        <f t="shared" si="5"/>
        <v>26408770.833333332</v>
      </c>
      <c r="F56">
        <f t="shared" si="6"/>
        <v>1.103</v>
      </c>
      <c r="G56">
        <f t="shared" si="7"/>
        <v>1.2529999999999999</v>
      </c>
    </row>
    <row r="57" spans="1:7" ht="15">
      <c r="A57" s="120">
        <f t="shared" si="8"/>
        <v>42217</v>
      </c>
      <c r="B57" s="149">
        <v>65680</v>
      </c>
      <c r="C57" s="149">
        <v>32164697</v>
      </c>
      <c r="D57" s="160">
        <f t="shared" si="4"/>
        <v>62176.416666666664</v>
      </c>
      <c r="E57" s="160">
        <f t="shared" si="5"/>
        <v>26415178.416666668</v>
      </c>
      <c r="F57">
        <f t="shared" si="6"/>
        <v>1.056</v>
      </c>
      <c r="G57">
        <f t="shared" si="7"/>
        <v>1.218</v>
      </c>
    </row>
    <row r="58" spans="1:7" ht="15">
      <c r="A58" s="120">
        <f t="shared" si="8"/>
        <v>42248</v>
      </c>
      <c r="B58" s="149">
        <v>63888</v>
      </c>
      <c r="C58" s="149">
        <v>27125234</v>
      </c>
      <c r="D58" s="160">
        <f t="shared" si="4"/>
        <v>62182.5</v>
      </c>
      <c r="E58" s="160">
        <f t="shared" si="5"/>
        <v>26382207.666666668</v>
      </c>
      <c r="F58">
        <f t="shared" si="6"/>
        <v>1.0269999999999999</v>
      </c>
      <c r="G58">
        <f t="shared" si="7"/>
        <v>1.028</v>
      </c>
    </row>
    <row r="59" spans="1:7" ht="15">
      <c r="A59" s="120">
        <f t="shared" si="8"/>
        <v>42278</v>
      </c>
      <c r="B59" s="149">
        <v>48051</v>
      </c>
      <c r="C59" s="152">
        <v>23046822</v>
      </c>
      <c r="D59" s="160">
        <f t="shared" si="4"/>
        <v>61796.333333333336</v>
      </c>
      <c r="E59" s="160">
        <f t="shared" si="5"/>
        <v>26525608.666666668</v>
      </c>
      <c r="F59">
        <f t="shared" si="6"/>
        <v>0.77800000000000002</v>
      </c>
      <c r="G59">
        <f t="shared" si="7"/>
        <v>0.86899999999999999</v>
      </c>
    </row>
    <row r="60" spans="1:7" ht="15">
      <c r="A60" s="120">
        <f t="shared" si="8"/>
        <v>42309</v>
      </c>
      <c r="B60" s="153">
        <v>49304</v>
      </c>
      <c r="C60" s="153">
        <v>22292503</v>
      </c>
      <c r="D60" s="160">
        <f t="shared" si="4"/>
        <v>60053.333333333336</v>
      </c>
      <c r="E60" s="160">
        <f t="shared" si="5"/>
        <v>26325477.75</v>
      </c>
      <c r="F60">
        <f t="shared" si="6"/>
        <v>0.82099999999999995</v>
      </c>
      <c r="G60">
        <f t="shared" si="7"/>
        <v>0.84699999999999998</v>
      </c>
    </row>
    <row r="61" spans="1:7" ht="15">
      <c r="A61" s="120">
        <f t="shared" si="8"/>
        <v>42339</v>
      </c>
      <c r="B61" s="153">
        <v>47939</v>
      </c>
      <c r="C61" s="153">
        <v>23396033</v>
      </c>
      <c r="D61" s="160">
        <f t="shared" si="4"/>
        <v>59341.416666666664</v>
      </c>
      <c r="E61" s="160">
        <f t="shared" si="5"/>
        <v>26212247.083333332</v>
      </c>
      <c r="F61">
        <f t="shared" si="6"/>
        <v>0.80800000000000005</v>
      </c>
      <c r="G61">
        <f t="shared" si="7"/>
        <v>0.89300000000000002</v>
      </c>
    </row>
    <row r="62" spans="1:7" ht="15">
      <c r="A62" s="166"/>
      <c r="B62" s="105"/>
      <c r="C62" s="105"/>
      <c r="D62" s="160"/>
      <c r="E62" s="160"/>
    </row>
    <row r="63" spans="1:7">
      <c r="D63" s="160"/>
      <c r="F63" t="e">
        <f t="shared" si="2"/>
        <v>#DIV/0!</v>
      </c>
      <c r="G63" t="e">
        <f t="shared" si="3"/>
        <v>#DIV/0!</v>
      </c>
    </row>
    <row r="64" spans="1:7">
      <c r="B64" t="s">
        <v>111</v>
      </c>
      <c r="C64" t="s">
        <v>112</v>
      </c>
      <c r="D64" t="s">
        <v>101</v>
      </c>
    </row>
    <row r="65" spans="1:11">
      <c r="A65" s="167" t="s">
        <v>148</v>
      </c>
      <c r="B65" s="167">
        <v>2011</v>
      </c>
      <c r="C65" s="107">
        <f>'NW Fl History'!B33</f>
        <v>727077</v>
      </c>
      <c r="D65" s="107">
        <f>'NW Fl History'!C33</f>
        <v>328060515</v>
      </c>
    </row>
    <row r="66" spans="1:11">
      <c r="A66" s="101" t="s">
        <v>149</v>
      </c>
      <c r="B66" s="167">
        <v>2012</v>
      </c>
      <c r="C66" s="107">
        <f>'NW Fl History'!B51</f>
        <v>707673</v>
      </c>
      <c r="D66" s="107">
        <f>'NW Fl History'!C51</f>
        <v>314104385</v>
      </c>
    </row>
    <row r="67" spans="1:11">
      <c r="B67" s="167">
        <v>2013</v>
      </c>
      <c r="C67" s="107">
        <f>'NW Fl History'!B69</f>
        <v>701675</v>
      </c>
      <c r="D67" s="107">
        <f>'NW Fl History'!C69</f>
        <v>309856040</v>
      </c>
      <c r="F67" s="107"/>
    </row>
    <row r="68" spans="1:11">
      <c r="B68" s="167">
        <v>2014</v>
      </c>
      <c r="C68" s="107">
        <f>'NW Fl History'!B87</f>
        <v>717871</v>
      </c>
      <c r="D68" s="107">
        <f>'NW Fl History'!C87</f>
        <v>313323672</v>
      </c>
    </row>
    <row r="69" spans="1:11">
      <c r="B69" s="167">
        <v>2015</v>
      </c>
      <c r="C69" s="107">
        <v>712097</v>
      </c>
      <c r="D69" s="107">
        <v>314546965</v>
      </c>
    </row>
    <row r="70" spans="1:11">
      <c r="B70">
        <v>2016</v>
      </c>
      <c r="C70" s="107">
        <v>722342</v>
      </c>
      <c r="D70" s="107">
        <v>310666058</v>
      </c>
    </row>
    <row r="71" spans="1:11">
      <c r="B71">
        <v>2017</v>
      </c>
      <c r="C71" s="107">
        <v>727102</v>
      </c>
      <c r="D71" s="107">
        <v>309628429</v>
      </c>
    </row>
    <row r="72" spans="1:11">
      <c r="B72">
        <v>2018</v>
      </c>
      <c r="C72" s="107">
        <v>710062</v>
      </c>
      <c r="D72" s="107">
        <v>313563949</v>
      </c>
    </row>
    <row r="73" spans="1:11">
      <c r="B73">
        <v>2019</v>
      </c>
      <c r="C73" s="107">
        <v>717162</v>
      </c>
      <c r="D73" s="107">
        <v>316699588</v>
      </c>
    </row>
    <row r="74" spans="1:11">
      <c r="B74">
        <v>2020</v>
      </c>
      <c r="C74" s="107">
        <v>724337</v>
      </c>
      <c r="D74" s="107">
        <v>319866585</v>
      </c>
    </row>
    <row r="75" spans="1:11">
      <c r="B75">
        <v>2121</v>
      </c>
      <c r="C75" s="107">
        <v>731576</v>
      </c>
      <c r="D75" s="107">
        <v>323065251</v>
      </c>
    </row>
    <row r="78" spans="1:11">
      <c r="A78" s="216" t="s">
        <v>157</v>
      </c>
      <c r="B78" s="216"/>
      <c r="C78" s="216"/>
      <c r="D78" s="216"/>
      <c r="E78" s="216"/>
      <c r="F78" s="216"/>
      <c r="G78" s="216"/>
    </row>
    <row r="79" spans="1:11">
      <c r="B79" s="216" t="s">
        <v>109</v>
      </c>
      <c r="C79" s="216"/>
      <c r="D79" s="160"/>
      <c r="F79" s="216" t="s">
        <v>110</v>
      </c>
      <c r="G79" s="216"/>
    </row>
    <row r="80" spans="1:11">
      <c r="A80" s="170" t="s">
        <v>163</v>
      </c>
      <c r="B80" s="174" t="s">
        <v>161</v>
      </c>
      <c r="C80" s="174" t="s">
        <v>162</v>
      </c>
      <c r="D80" s="173" t="s">
        <v>106</v>
      </c>
      <c r="E80" s="173" t="s">
        <v>106</v>
      </c>
      <c r="F80" s="174" t="s">
        <v>161</v>
      </c>
      <c r="G80" s="174" t="s">
        <v>162</v>
      </c>
      <c r="H80" s="217" t="s">
        <v>160</v>
      </c>
      <c r="I80" s="204"/>
      <c r="J80" s="204" t="s">
        <v>139</v>
      </c>
      <c r="K80" s="204"/>
    </row>
    <row r="81" spans="1:11">
      <c r="A81" s="148">
        <v>42370</v>
      </c>
      <c r="B81" s="181">
        <f>ROUND(FORECAST(A81,$D$13:$D$61,$A$13:$A$61),0)</f>
        <v>60298</v>
      </c>
      <c r="C81" s="181">
        <f>ROUND(FORECAST(A81,$E$13:$E$61,$A$13:$A$61),0)</f>
        <v>26041587</v>
      </c>
      <c r="D81" s="198">
        <f>ROUND(SUM(F14,F26,F38,F50)/4,3)</f>
        <v>1.1930000000000001</v>
      </c>
      <c r="E81" s="173">
        <f>ROUND(SUM(G14,G26,G38,G50)/4,3)</f>
        <v>1.0509999999999999</v>
      </c>
      <c r="F81" s="181">
        <f>ROUND(B81*D81,0)</f>
        <v>71936</v>
      </c>
      <c r="G81" s="181">
        <f>ROUND(C81*E81,0)</f>
        <v>27369708</v>
      </c>
      <c r="H81" s="176">
        <f>MAX(F81:F92)</f>
        <v>71936</v>
      </c>
      <c r="I81" s="92" t="s">
        <v>32</v>
      </c>
      <c r="J81" s="176">
        <f>MAX(F86:F88)</f>
        <v>66486</v>
      </c>
      <c r="K81" s="101" t="s">
        <v>38</v>
      </c>
    </row>
    <row r="82" spans="1:11">
      <c r="A82" s="178">
        <f>EDATE(A81,1)</f>
        <v>42401</v>
      </c>
      <c r="B82" s="181">
        <f t="shared" ref="B82:B91" si="9">ROUND(FORECAST(A82,$D$13:$D$61,$A$13:$A$61),0)</f>
        <v>60332</v>
      </c>
      <c r="C82" s="181">
        <f t="shared" ref="C82:C91" si="10">ROUND(FORECAST(A82,$E$13:$E$61,$A$13:$A$61),0)</f>
        <v>26034214</v>
      </c>
      <c r="D82" s="173">
        <f t="shared" ref="D82:D92" si="11">ROUND(SUM(F15,F27,F39,F51)/4,3)</f>
        <v>1.081</v>
      </c>
      <c r="E82" s="173">
        <f t="shared" ref="E82:E92" si="12">ROUND(SUM(G15,G27,G39,G51)/4,3)</f>
        <v>0.88300000000000001</v>
      </c>
      <c r="F82" s="181">
        <f t="shared" ref="F82:F92" si="13">ROUND(B82*D82,0)</f>
        <v>65219</v>
      </c>
      <c r="G82" s="181">
        <f t="shared" ref="G82:G92" si="14">ROUND(C82*E82,0)</f>
        <v>22988211</v>
      </c>
      <c r="I82" s="160"/>
    </row>
    <row r="83" spans="1:11">
      <c r="A83" s="148">
        <f t="shared" ref="A83:A92" si="15">EDATE(A82,1)</f>
        <v>42430</v>
      </c>
      <c r="B83" s="181">
        <f t="shared" si="9"/>
        <v>60364</v>
      </c>
      <c r="C83" s="181">
        <f t="shared" si="10"/>
        <v>26027317</v>
      </c>
      <c r="D83" s="173">
        <f t="shared" si="11"/>
        <v>0.85499999999999998</v>
      </c>
      <c r="E83" s="173">
        <f t="shared" si="12"/>
        <v>0.88</v>
      </c>
      <c r="F83" s="181">
        <f t="shared" si="13"/>
        <v>51611</v>
      </c>
      <c r="G83" s="181">
        <f t="shared" si="14"/>
        <v>22904039</v>
      </c>
      <c r="I83" s="160"/>
    </row>
    <row r="84" spans="1:11">
      <c r="A84" s="148">
        <f t="shared" si="15"/>
        <v>42461</v>
      </c>
      <c r="B84" s="181">
        <f t="shared" si="9"/>
        <v>60398</v>
      </c>
      <c r="C84" s="181">
        <f t="shared" si="10"/>
        <v>26019945</v>
      </c>
      <c r="D84" s="173">
        <f t="shared" si="11"/>
        <v>0.78700000000000003</v>
      </c>
      <c r="E84" s="173">
        <f t="shared" si="12"/>
        <v>0.81799999999999995</v>
      </c>
      <c r="F84" s="181">
        <f t="shared" si="13"/>
        <v>47533</v>
      </c>
      <c r="G84" s="181">
        <f t="shared" si="14"/>
        <v>21284315</v>
      </c>
      <c r="I84" s="160"/>
    </row>
    <row r="85" spans="1:11">
      <c r="A85" s="148">
        <f t="shared" si="15"/>
        <v>42491</v>
      </c>
      <c r="B85" s="181">
        <f t="shared" si="9"/>
        <v>60430</v>
      </c>
      <c r="C85" s="181">
        <f t="shared" si="10"/>
        <v>26012810</v>
      </c>
      <c r="D85" s="173">
        <f t="shared" si="11"/>
        <v>0.97299999999999998</v>
      </c>
      <c r="E85" s="173">
        <f t="shared" si="12"/>
        <v>1.004</v>
      </c>
      <c r="F85" s="181">
        <f t="shared" si="13"/>
        <v>58798</v>
      </c>
      <c r="G85" s="181">
        <f t="shared" si="14"/>
        <v>26116861</v>
      </c>
      <c r="I85" s="160"/>
    </row>
    <row r="86" spans="1:11">
      <c r="A86" s="148">
        <f t="shared" si="15"/>
        <v>42522</v>
      </c>
      <c r="B86" s="181">
        <f t="shared" si="9"/>
        <v>60464</v>
      </c>
      <c r="C86" s="181">
        <f t="shared" si="10"/>
        <v>26005437</v>
      </c>
      <c r="D86" s="173">
        <f t="shared" si="11"/>
        <v>1.0820000000000001</v>
      </c>
      <c r="E86" s="173">
        <f t="shared" si="12"/>
        <v>1.119</v>
      </c>
      <c r="F86" s="181">
        <f t="shared" si="13"/>
        <v>65422</v>
      </c>
      <c r="G86" s="181">
        <f t="shared" si="14"/>
        <v>29100084</v>
      </c>
      <c r="I86" s="160"/>
    </row>
    <row r="87" spans="1:11">
      <c r="A87" s="148">
        <f t="shared" si="15"/>
        <v>42552</v>
      </c>
      <c r="B87" s="181">
        <f t="shared" si="9"/>
        <v>60497</v>
      </c>
      <c r="C87" s="181">
        <f t="shared" si="10"/>
        <v>25998302</v>
      </c>
      <c r="D87" s="173">
        <f t="shared" si="11"/>
        <v>1.099</v>
      </c>
      <c r="E87" s="173">
        <f t="shared" si="12"/>
        <v>1.202</v>
      </c>
      <c r="F87" s="181">
        <f t="shared" si="13"/>
        <v>66486</v>
      </c>
      <c r="G87" s="181">
        <f t="shared" si="14"/>
        <v>31249959</v>
      </c>
      <c r="I87" s="160"/>
    </row>
    <row r="88" spans="1:11">
      <c r="A88" s="148">
        <f t="shared" si="15"/>
        <v>42583</v>
      </c>
      <c r="B88" s="181">
        <f t="shared" si="9"/>
        <v>60531</v>
      </c>
      <c r="C88" s="181">
        <f t="shared" si="10"/>
        <v>25990930</v>
      </c>
      <c r="D88" s="173">
        <f t="shared" si="11"/>
        <v>1.0940000000000001</v>
      </c>
      <c r="E88" s="173">
        <f t="shared" si="12"/>
        <v>1.2030000000000001</v>
      </c>
      <c r="F88" s="181">
        <f t="shared" si="13"/>
        <v>66221</v>
      </c>
      <c r="G88" s="181">
        <f t="shared" si="14"/>
        <v>31267089</v>
      </c>
      <c r="I88" s="160"/>
    </row>
    <row r="89" spans="1:11">
      <c r="A89" s="148">
        <f t="shared" si="15"/>
        <v>42614</v>
      </c>
      <c r="B89" s="181">
        <f t="shared" si="9"/>
        <v>60564</v>
      </c>
      <c r="C89" s="181">
        <f t="shared" si="10"/>
        <v>25983557</v>
      </c>
      <c r="D89" s="173">
        <f t="shared" si="11"/>
        <v>1.05</v>
      </c>
      <c r="E89" s="173">
        <f t="shared" si="12"/>
        <v>1.0549999999999999</v>
      </c>
      <c r="F89" s="181">
        <f t="shared" si="13"/>
        <v>63592</v>
      </c>
      <c r="G89" s="181">
        <f t="shared" si="14"/>
        <v>27412653</v>
      </c>
    </row>
    <row r="90" spans="1:11">
      <c r="A90" s="148">
        <f t="shared" si="15"/>
        <v>42644</v>
      </c>
      <c r="B90" s="181">
        <f t="shared" si="9"/>
        <v>60597</v>
      </c>
      <c r="C90" s="181">
        <f t="shared" si="10"/>
        <v>25976422</v>
      </c>
      <c r="D90" s="173">
        <f t="shared" si="11"/>
        <v>0.86299999999999999</v>
      </c>
      <c r="E90" s="173">
        <f t="shared" si="12"/>
        <v>0.88600000000000001</v>
      </c>
      <c r="F90" s="181">
        <f t="shared" si="13"/>
        <v>52295</v>
      </c>
      <c r="G90" s="181">
        <f t="shared" si="14"/>
        <v>23015110</v>
      </c>
    </row>
    <row r="91" spans="1:11">
      <c r="A91" s="148">
        <f t="shared" si="15"/>
        <v>42675</v>
      </c>
      <c r="B91" s="181">
        <f t="shared" si="9"/>
        <v>60631</v>
      </c>
      <c r="C91" s="181">
        <f t="shared" si="10"/>
        <v>25969050</v>
      </c>
      <c r="D91" s="173">
        <f t="shared" si="11"/>
        <v>0.93799999999999994</v>
      </c>
      <c r="E91" s="173">
        <f t="shared" si="12"/>
        <v>0.89300000000000002</v>
      </c>
      <c r="F91" s="181">
        <f t="shared" si="13"/>
        <v>56872</v>
      </c>
      <c r="G91" s="181">
        <f t="shared" si="14"/>
        <v>23190362</v>
      </c>
    </row>
    <row r="92" spans="1:11">
      <c r="A92" s="148">
        <f t="shared" si="15"/>
        <v>42705</v>
      </c>
      <c r="B92" s="183">
        <f>ROUND(FORECAST(A92,$D$13:$D$61,$A$13:$A$61),0)</f>
        <v>60664</v>
      </c>
      <c r="C92" s="182">
        <f>ROUND(FORECAST(A92,$E$13:$E$61,$A$13:$A$61),0)</f>
        <v>25961915</v>
      </c>
      <c r="D92" s="180">
        <f t="shared" si="11"/>
        <v>0.92900000000000005</v>
      </c>
      <c r="E92" s="180">
        <f t="shared" si="12"/>
        <v>0.95399999999999996</v>
      </c>
      <c r="F92" s="182">
        <f t="shared" si="13"/>
        <v>56357</v>
      </c>
      <c r="G92" s="182">
        <f t="shared" si="14"/>
        <v>24767667</v>
      </c>
    </row>
    <row r="93" spans="1:11">
      <c r="A93" s="169" t="s">
        <v>117</v>
      </c>
      <c r="B93" s="176">
        <f>SUM(B81:B92)</f>
        <v>725770</v>
      </c>
      <c r="C93" s="176">
        <f>SUM(C81:C92)</f>
        <v>312021486</v>
      </c>
      <c r="D93" s="92" t="s">
        <v>107</v>
      </c>
      <c r="E93" s="92" t="s">
        <v>107</v>
      </c>
      <c r="F93" s="176">
        <f>SUM(F81:F92)</f>
        <v>722342</v>
      </c>
      <c r="G93" s="176">
        <f>SUM(G81:G92)</f>
        <v>310666058</v>
      </c>
    </row>
    <row r="96" spans="1:11">
      <c r="A96" s="216" t="s">
        <v>158</v>
      </c>
      <c r="B96" s="216"/>
      <c r="C96" s="216"/>
      <c r="D96" s="216"/>
      <c r="E96" s="216"/>
      <c r="F96" s="216"/>
      <c r="G96" s="216"/>
    </row>
    <row r="97" spans="1:11">
      <c r="B97" s="216" t="s">
        <v>109</v>
      </c>
      <c r="C97" s="216"/>
      <c r="D97" s="185"/>
      <c r="E97" s="168"/>
      <c r="F97" s="216" t="s">
        <v>110</v>
      </c>
      <c r="G97" s="216"/>
    </row>
    <row r="98" spans="1:11">
      <c r="A98" s="170" t="s">
        <v>163</v>
      </c>
      <c r="B98" s="174" t="s">
        <v>161</v>
      </c>
      <c r="C98" s="174" t="s">
        <v>162</v>
      </c>
      <c r="D98" s="173" t="s">
        <v>106</v>
      </c>
      <c r="E98" s="173" t="s">
        <v>106</v>
      </c>
      <c r="F98" s="174" t="s">
        <v>161</v>
      </c>
      <c r="G98" s="174" t="s">
        <v>162</v>
      </c>
      <c r="H98" s="217" t="s">
        <v>160</v>
      </c>
      <c r="I98" s="204"/>
      <c r="J98" s="204" t="s">
        <v>139</v>
      </c>
      <c r="K98" s="204"/>
    </row>
    <row r="99" spans="1:11">
      <c r="A99" s="148">
        <f>EDATE(A92,1)</f>
        <v>42736</v>
      </c>
      <c r="B99" s="176">
        <f>ROUND(FORECAST(A99,$D$13:$D$61,$A$13:$A$61),0)</f>
        <v>60698</v>
      </c>
      <c r="C99" s="176">
        <f>ROUND(FORECAST(A99,$E$13:$E$61,$A$13:$A$61),0)</f>
        <v>25954542</v>
      </c>
      <c r="D99" s="173">
        <v>1.1930000000000001</v>
      </c>
      <c r="E99" s="173">
        <v>1.0509999999999999</v>
      </c>
      <c r="F99" s="176">
        <f>ROUND(B99*D99,0)</f>
        <v>72413</v>
      </c>
      <c r="G99" s="176">
        <f>ROUND(C99*E99,0)</f>
        <v>27278224</v>
      </c>
      <c r="H99" s="176">
        <f>MAX(F99:F110)</f>
        <v>72413</v>
      </c>
      <c r="I99" s="92" t="s">
        <v>32</v>
      </c>
      <c r="J99" s="176">
        <f>MAX(F104:F106)</f>
        <v>66924</v>
      </c>
      <c r="K99" s="101" t="s">
        <v>38</v>
      </c>
    </row>
    <row r="100" spans="1:11">
      <c r="A100" s="148">
        <f>EDATE(A99,1)</f>
        <v>42767</v>
      </c>
      <c r="B100" s="176">
        <f t="shared" ref="B100:B110" si="16">ROUND(FORECAST(A100,$D$13:$D$61,$A$13:$A$61),0)</f>
        <v>60731</v>
      </c>
      <c r="C100" s="176">
        <f t="shared" ref="C100:C110" si="17">ROUND(FORECAST(A100,$E$13:$E$61,$A$13:$A$61),0)</f>
        <v>25947170</v>
      </c>
      <c r="D100" s="173">
        <v>1.081</v>
      </c>
      <c r="E100" s="173">
        <v>0.88300000000000001</v>
      </c>
      <c r="F100" s="176">
        <f t="shared" ref="F100:F110" si="18">ROUND(B100*D100,0)</f>
        <v>65650</v>
      </c>
      <c r="G100" s="176">
        <f t="shared" ref="G100:G110" si="19">ROUND(C100*E100,0)</f>
        <v>22911351</v>
      </c>
    </row>
    <row r="101" spans="1:11">
      <c r="A101" s="148">
        <f t="shared" ref="A101:A110" si="20">EDATE(A100,1)</f>
        <v>42795</v>
      </c>
      <c r="B101" s="176">
        <f t="shared" si="16"/>
        <v>60762</v>
      </c>
      <c r="C101" s="176">
        <f t="shared" si="17"/>
        <v>25940510</v>
      </c>
      <c r="D101" s="173">
        <v>0.85499999999999998</v>
      </c>
      <c r="E101" s="173">
        <v>0.88</v>
      </c>
      <c r="F101" s="176">
        <f t="shared" si="18"/>
        <v>51952</v>
      </c>
      <c r="G101" s="176">
        <f t="shared" si="19"/>
        <v>22827649</v>
      </c>
    </row>
    <row r="102" spans="1:11">
      <c r="A102" s="148">
        <f t="shared" si="20"/>
        <v>42826</v>
      </c>
      <c r="B102" s="176">
        <f t="shared" si="16"/>
        <v>60796</v>
      </c>
      <c r="C102" s="176">
        <f t="shared" si="17"/>
        <v>25933138</v>
      </c>
      <c r="D102" s="173">
        <v>0.78700000000000003</v>
      </c>
      <c r="E102" s="173">
        <v>0.81799999999999995</v>
      </c>
      <c r="F102" s="176">
        <f t="shared" si="18"/>
        <v>47846</v>
      </c>
      <c r="G102" s="176">
        <f t="shared" si="19"/>
        <v>21213307</v>
      </c>
    </row>
    <row r="103" spans="1:11">
      <c r="A103" s="148">
        <f t="shared" si="20"/>
        <v>42856</v>
      </c>
      <c r="B103" s="176">
        <f t="shared" si="16"/>
        <v>60828</v>
      </c>
      <c r="C103" s="176">
        <f t="shared" si="17"/>
        <v>25926003</v>
      </c>
      <c r="D103" s="173">
        <v>0.97299999999999998</v>
      </c>
      <c r="E103" s="173">
        <v>1.004</v>
      </c>
      <c r="F103" s="176">
        <f t="shared" si="18"/>
        <v>59186</v>
      </c>
      <c r="G103" s="176">
        <f t="shared" si="19"/>
        <v>26029707</v>
      </c>
    </row>
    <row r="104" spans="1:11">
      <c r="A104" s="148">
        <f t="shared" si="20"/>
        <v>42887</v>
      </c>
      <c r="B104" s="176">
        <f t="shared" si="16"/>
        <v>60862</v>
      </c>
      <c r="C104" s="176">
        <f t="shared" si="17"/>
        <v>25918630</v>
      </c>
      <c r="D104" s="173">
        <v>1.0820000000000001</v>
      </c>
      <c r="E104" s="173">
        <v>1.119</v>
      </c>
      <c r="F104" s="176">
        <f t="shared" si="18"/>
        <v>65853</v>
      </c>
      <c r="G104" s="176">
        <f t="shared" si="19"/>
        <v>29002947</v>
      </c>
    </row>
    <row r="105" spans="1:11">
      <c r="A105" s="148">
        <f t="shared" si="20"/>
        <v>42917</v>
      </c>
      <c r="B105" s="176">
        <f t="shared" si="16"/>
        <v>60895</v>
      </c>
      <c r="C105" s="176">
        <f t="shared" si="17"/>
        <v>25911496</v>
      </c>
      <c r="D105" s="173">
        <v>1.099</v>
      </c>
      <c r="E105" s="173">
        <v>1.202</v>
      </c>
      <c r="F105" s="176">
        <f t="shared" si="18"/>
        <v>66924</v>
      </c>
      <c r="G105" s="176">
        <f t="shared" si="19"/>
        <v>31145618</v>
      </c>
    </row>
    <row r="106" spans="1:11">
      <c r="A106" s="148">
        <f t="shared" si="20"/>
        <v>42948</v>
      </c>
      <c r="B106" s="176">
        <f t="shared" si="16"/>
        <v>60929</v>
      </c>
      <c r="C106" s="176">
        <f t="shared" si="17"/>
        <v>25904123</v>
      </c>
      <c r="D106" s="173">
        <v>1.0940000000000001</v>
      </c>
      <c r="E106" s="173">
        <v>1.2030000000000001</v>
      </c>
      <c r="F106" s="176">
        <f t="shared" si="18"/>
        <v>66656</v>
      </c>
      <c r="G106" s="176">
        <f t="shared" si="19"/>
        <v>31162660</v>
      </c>
    </row>
    <row r="107" spans="1:11">
      <c r="A107" s="148">
        <f t="shared" si="20"/>
        <v>42979</v>
      </c>
      <c r="B107" s="176">
        <f t="shared" si="16"/>
        <v>60963</v>
      </c>
      <c r="C107" s="176">
        <f t="shared" si="17"/>
        <v>25896750</v>
      </c>
      <c r="D107" s="173">
        <v>1.05</v>
      </c>
      <c r="E107" s="173">
        <v>1.0549999999999999</v>
      </c>
      <c r="F107" s="176">
        <f t="shared" si="18"/>
        <v>64011</v>
      </c>
      <c r="G107" s="176">
        <f t="shared" si="19"/>
        <v>27321071</v>
      </c>
      <c r="H107" s="159"/>
    </row>
    <row r="108" spans="1:11">
      <c r="A108" s="148">
        <f t="shared" si="20"/>
        <v>43009</v>
      </c>
      <c r="B108" s="176">
        <f t="shared" si="16"/>
        <v>60995</v>
      </c>
      <c r="C108" s="176">
        <f t="shared" si="17"/>
        <v>25889615</v>
      </c>
      <c r="D108" s="173">
        <v>0.86299999999999999</v>
      </c>
      <c r="E108" s="173">
        <v>0.88600000000000001</v>
      </c>
      <c r="F108" s="176">
        <f t="shared" si="18"/>
        <v>52639</v>
      </c>
      <c r="G108" s="176">
        <f t="shared" si="19"/>
        <v>22938199</v>
      </c>
    </row>
    <row r="109" spans="1:11">
      <c r="A109" s="148">
        <f t="shared" si="20"/>
        <v>43040</v>
      </c>
      <c r="B109" s="176">
        <f t="shared" si="16"/>
        <v>61029</v>
      </c>
      <c r="C109" s="176">
        <f t="shared" si="17"/>
        <v>25882243</v>
      </c>
      <c r="D109" s="173">
        <v>0.93799999999999994</v>
      </c>
      <c r="E109" s="173">
        <v>0.89300000000000002</v>
      </c>
      <c r="F109" s="176">
        <f t="shared" si="18"/>
        <v>57245</v>
      </c>
      <c r="G109" s="176">
        <f t="shared" si="19"/>
        <v>23112843</v>
      </c>
    </row>
    <row r="110" spans="1:11">
      <c r="A110" s="148">
        <f t="shared" si="20"/>
        <v>43070</v>
      </c>
      <c r="B110" s="184">
        <f t="shared" si="16"/>
        <v>61062</v>
      </c>
      <c r="C110" s="177">
        <f t="shared" si="17"/>
        <v>25875108</v>
      </c>
      <c r="D110" s="180">
        <v>0.92900000000000005</v>
      </c>
      <c r="E110" s="180">
        <v>0.95399999999999996</v>
      </c>
      <c r="F110" s="177">
        <f t="shared" si="18"/>
        <v>56727</v>
      </c>
      <c r="G110" s="177">
        <f t="shared" si="19"/>
        <v>24684853</v>
      </c>
    </row>
    <row r="111" spans="1:11">
      <c r="A111" s="169" t="s">
        <v>119</v>
      </c>
      <c r="B111" s="176">
        <f>SUM(B99:B110)</f>
        <v>730550</v>
      </c>
      <c r="C111" s="176">
        <f>SUM(C99:C110)</f>
        <v>310979328</v>
      </c>
      <c r="D111" s="173" t="s">
        <v>107</v>
      </c>
      <c r="E111" s="173" t="s">
        <v>107</v>
      </c>
      <c r="F111" s="176">
        <f>SUM(F99:F110)</f>
        <v>727102</v>
      </c>
      <c r="G111" s="176">
        <f>SUM(G99:G110)</f>
        <v>309628429</v>
      </c>
    </row>
    <row r="114" spans="1:16">
      <c r="A114" s="216" t="s">
        <v>120</v>
      </c>
      <c r="B114" s="216"/>
      <c r="C114" s="216"/>
      <c r="D114" s="216"/>
      <c r="E114" s="216"/>
      <c r="F114" s="216"/>
      <c r="G114" s="216"/>
    </row>
    <row r="115" spans="1:16">
      <c r="A115" s="216" t="s">
        <v>114</v>
      </c>
      <c r="B115" s="216"/>
      <c r="C115" s="216"/>
      <c r="D115" s="216"/>
      <c r="E115" s="216"/>
      <c r="F115" s="216"/>
      <c r="G115" s="216"/>
    </row>
    <row r="116" spans="1:16">
      <c r="B116" s="216" t="s">
        <v>109</v>
      </c>
      <c r="C116" s="216"/>
      <c r="D116" s="185"/>
      <c r="E116" s="168"/>
      <c r="F116" s="216" t="s">
        <v>110</v>
      </c>
      <c r="G116" s="216"/>
    </row>
    <row r="117" spans="1:16">
      <c r="A117" s="170" t="s">
        <v>163</v>
      </c>
      <c r="B117" s="174" t="s">
        <v>161</v>
      </c>
      <c r="C117" s="174" t="s">
        <v>162</v>
      </c>
      <c r="D117" s="173" t="s">
        <v>106</v>
      </c>
      <c r="E117" s="173" t="s">
        <v>106</v>
      </c>
      <c r="F117" s="174" t="s">
        <v>161</v>
      </c>
      <c r="G117" s="174" t="s">
        <v>162</v>
      </c>
      <c r="J117" s="1" t="s">
        <v>115</v>
      </c>
      <c r="K117" t="s">
        <v>116</v>
      </c>
      <c r="M117" s="217" t="s">
        <v>160</v>
      </c>
      <c r="N117" s="204"/>
      <c r="O117" s="204" t="s">
        <v>139</v>
      </c>
      <c r="P117" s="204"/>
    </row>
    <row r="118" spans="1:16">
      <c r="A118" s="148">
        <f>EDATE(A110,1)</f>
        <v>43101</v>
      </c>
      <c r="B118" s="176">
        <f>ROUND(C118/(J118*K118),0)</f>
        <v>66775</v>
      </c>
      <c r="C118" s="176">
        <f>ROUND(C99*(1+H118),0)</f>
        <v>26214087</v>
      </c>
      <c r="D118" s="173">
        <v>1.1930000000000001</v>
      </c>
      <c r="E118" s="173">
        <v>1.0509999999999999</v>
      </c>
      <c r="F118" s="176">
        <f>ROUND(B118*D118*(1+$I118),0)</f>
        <v>80061</v>
      </c>
      <c r="G118" s="176">
        <f>ROUND(C118*E118*(1+$I118),0)</f>
        <v>27688760</v>
      </c>
      <c r="H118" s="161">
        <v>0.01</v>
      </c>
      <c r="I118" s="161">
        <v>5.0000000000000001E-3</v>
      </c>
      <c r="J118" s="67">
        <f>AVERAGE('NW Fl History'!J75,'NW Fl History'!J57,'NW Fl History'!J39,'NW Fl History'!J21,'NW Fl History'!J92)</f>
        <v>0.52765600000000001</v>
      </c>
      <c r="K118">
        <v>744</v>
      </c>
      <c r="M118" s="176">
        <f>MAX(F118:F129)</f>
        <v>80061</v>
      </c>
      <c r="N118" s="169" t="s">
        <v>32</v>
      </c>
      <c r="O118" s="176">
        <f>MAX(F123:F125)</f>
        <v>62091</v>
      </c>
      <c r="P118" t="s">
        <v>37</v>
      </c>
    </row>
    <row r="119" spans="1:16">
      <c r="A119" s="148">
        <f>EDATE(A118,1)</f>
        <v>43132</v>
      </c>
      <c r="B119" s="176">
        <f t="shared" ref="B119:B129" si="21">ROUND(C119/(J119*K119),0)</f>
        <v>71076</v>
      </c>
      <c r="C119" s="176">
        <f t="shared" ref="C119:C129" si="22">ROUND(C100*(1+H119),0)</f>
        <v>26206642</v>
      </c>
      <c r="D119" s="173">
        <v>1.081</v>
      </c>
      <c r="E119" s="173">
        <v>0.88300000000000001</v>
      </c>
      <c r="F119" s="176">
        <f t="shared" ref="F119:G129" si="23">ROUND(B119*D119*(1+$I119),0)</f>
        <v>77217</v>
      </c>
      <c r="G119" s="176">
        <f t="shared" si="23"/>
        <v>23256167</v>
      </c>
      <c r="H119" s="161">
        <v>0.01</v>
      </c>
      <c r="I119" s="161">
        <v>5.0000000000000001E-3</v>
      </c>
      <c r="J119" s="67">
        <f>AVERAGE('NW Fl History'!J76,'NW Fl History'!J58,'NW Fl History'!J40,'NW Fl History'!J22,'NW Fl History'!J93)</f>
        <v>0.548678</v>
      </c>
      <c r="K119">
        <v>672</v>
      </c>
    </row>
    <row r="120" spans="1:16">
      <c r="A120" s="148">
        <f t="shared" ref="A120:A129" si="24">EDATE(A119,1)</f>
        <v>43160</v>
      </c>
      <c r="B120" s="176">
        <f t="shared" si="21"/>
        <v>56475</v>
      </c>
      <c r="C120" s="176">
        <f t="shared" si="22"/>
        <v>26199915</v>
      </c>
      <c r="D120" s="173">
        <v>0.85499999999999998</v>
      </c>
      <c r="E120" s="173">
        <v>0.88</v>
      </c>
      <c r="F120" s="176">
        <f t="shared" si="23"/>
        <v>48286</v>
      </c>
      <c r="G120" s="176">
        <f t="shared" si="23"/>
        <v>23055925</v>
      </c>
      <c r="H120" s="161">
        <v>0.01</v>
      </c>
      <c r="I120" s="161"/>
      <c r="J120" s="67">
        <f>AVERAGE('NW Fl History'!J77,'NW Fl History'!J59,'NW Fl History'!J41,'NW Fl History'!J23,'NW Fl History'!J94)</f>
        <v>0.62355399999999994</v>
      </c>
      <c r="K120">
        <v>744</v>
      </c>
    </row>
    <row r="121" spans="1:16">
      <c r="A121" s="148">
        <f t="shared" si="24"/>
        <v>43191</v>
      </c>
      <c r="B121" s="176">
        <f t="shared" si="21"/>
        <v>57316</v>
      </c>
      <c r="C121" s="176">
        <f t="shared" si="22"/>
        <v>26192469</v>
      </c>
      <c r="D121" s="173">
        <v>0.78700000000000003</v>
      </c>
      <c r="E121" s="173">
        <v>0.81799999999999995</v>
      </c>
      <c r="F121" s="176">
        <f t="shared" si="23"/>
        <v>45108</v>
      </c>
      <c r="G121" s="176">
        <f t="shared" si="23"/>
        <v>21425440</v>
      </c>
      <c r="H121" s="161">
        <v>0.01</v>
      </c>
      <c r="I121" s="161"/>
      <c r="J121" s="67">
        <f>AVERAGE('NW Fl History'!J78,'NW Fl History'!J60,'NW Fl History'!J42,'NW Fl History'!J24,'NW Fl History'!J95)</f>
        <v>0.6347020000000001</v>
      </c>
      <c r="K121">
        <v>720</v>
      </c>
    </row>
    <row r="122" spans="1:16">
      <c r="A122" s="148">
        <f t="shared" si="24"/>
        <v>43221</v>
      </c>
      <c r="B122" s="176">
        <f t="shared" si="21"/>
        <v>57864</v>
      </c>
      <c r="C122" s="176">
        <f t="shared" si="22"/>
        <v>26185263</v>
      </c>
      <c r="D122" s="173">
        <v>0.97299999999999998</v>
      </c>
      <c r="E122" s="173">
        <v>1.004</v>
      </c>
      <c r="F122" s="176">
        <f t="shared" si="23"/>
        <v>56302</v>
      </c>
      <c r="G122" s="176">
        <f t="shared" si="23"/>
        <v>26290004</v>
      </c>
      <c r="H122" s="161">
        <v>0.01</v>
      </c>
      <c r="I122" s="161"/>
      <c r="J122" s="67">
        <f>AVERAGE('NW Fl History'!J79,'NW Fl History'!J61,'NW Fl History'!J43,'NW Fl History'!J25,'NW Fl History'!J96)</f>
        <v>0.60824599999999995</v>
      </c>
      <c r="K122">
        <v>744</v>
      </c>
    </row>
    <row r="123" spans="1:16">
      <c r="A123" s="148">
        <f t="shared" si="24"/>
        <v>43252</v>
      </c>
      <c r="B123" s="176">
        <f t="shared" si="21"/>
        <v>57100</v>
      </c>
      <c r="C123" s="176">
        <f t="shared" si="22"/>
        <v>26177816</v>
      </c>
      <c r="D123" s="173">
        <v>1.0820000000000001</v>
      </c>
      <c r="E123" s="173">
        <v>1.119</v>
      </c>
      <c r="F123" s="176">
        <f t="shared" si="23"/>
        <v>62091</v>
      </c>
      <c r="G123" s="176">
        <f t="shared" si="23"/>
        <v>29439441</v>
      </c>
      <c r="H123" s="161">
        <v>0.01</v>
      </c>
      <c r="I123" s="161">
        <v>5.0000000000000001E-3</v>
      </c>
      <c r="J123" s="67">
        <f>AVERAGE('NW Fl History'!J80,'NW Fl History'!J62,'NW Fl History'!J44,'NW Fl History'!J26,'NW Fl History'!J97)</f>
        <v>0.63674200000000003</v>
      </c>
      <c r="K123">
        <v>720</v>
      </c>
    </row>
    <row r="124" spans="1:16">
      <c r="A124" s="148">
        <f t="shared" si="24"/>
        <v>43282</v>
      </c>
      <c r="B124" s="176">
        <f t="shared" si="21"/>
        <v>53945</v>
      </c>
      <c r="C124" s="176">
        <f t="shared" si="22"/>
        <v>26170611</v>
      </c>
      <c r="D124" s="173">
        <v>1.099</v>
      </c>
      <c r="E124" s="173">
        <v>1.202</v>
      </c>
      <c r="F124" s="176">
        <f t="shared" si="23"/>
        <v>59582</v>
      </c>
      <c r="G124" s="176">
        <f t="shared" si="23"/>
        <v>31614360</v>
      </c>
      <c r="H124" s="161">
        <v>0.01</v>
      </c>
      <c r="I124" s="161">
        <v>5.0000000000000001E-3</v>
      </c>
      <c r="J124" s="67">
        <f>AVERAGE('NW Fl History'!J81,'NW Fl History'!J63,'NW Fl History'!J45,'NW Fl History'!J27,'NW Fl History'!J98)</f>
        <v>0.65205999999999997</v>
      </c>
      <c r="K124">
        <v>744</v>
      </c>
    </row>
    <row r="125" spans="1:16">
      <c r="A125" s="148">
        <f t="shared" si="24"/>
        <v>43313</v>
      </c>
      <c r="B125" s="176">
        <f t="shared" si="21"/>
        <v>53535</v>
      </c>
      <c r="C125" s="176">
        <f t="shared" si="22"/>
        <v>26163164</v>
      </c>
      <c r="D125" s="173">
        <v>1.0940000000000001</v>
      </c>
      <c r="E125" s="173">
        <v>1.2030000000000001</v>
      </c>
      <c r="F125" s="176">
        <f t="shared" si="23"/>
        <v>58860</v>
      </c>
      <c r="G125" s="176">
        <f t="shared" si="23"/>
        <v>31631658</v>
      </c>
      <c r="H125" s="161">
        <v>0.01</v>
      </c>
      <c r="I125" s="161">
        <v>5.0000000000000001E-3</v>
      </c>
      <c r="J125" s="67">
        <f>AVERAGE('NW Fl History'!J82,'NW Fl History'!J64,'NW Fl History'!J46,'NW Fl History'!J28,'NW Fl History'!J99)</f>
        <v>0.65687399999999996</v>
      </c>
      <c r="K125">
        <v>744</v>
      </c>
    </row>
    <row r="126" spans="1:16">
      <c r="A126" s="148">
        <f t="shared" si="24"/>
        <v>43344</v>
      </c>
      <c r="B126" s="176">
        <f t="shared" si="21"/>
        <v>59186</v>
      </c>
      <c r="C126" s="176">
        <f t="shared" si="22"/>
        <v>26155718</v>
      </c>
      <c r="D126" s="173">
        <v>1.05</v>
      </c>
      <c r="E126" s="173">
        <v>1.0549999999999999</v>
      </c>
      <c r="F126" s="176">
        <f t="shared" si="23"/>
        <v>62145</v>
      </c>
      <c r="G126" s="176">
        <f t="shared" si="23"/>
        <v>27594282</v>
      </c>
      <c r="H126" s="161">
        <v>0.01</v>
      </c>
      <c r="I126" s="161"/>
      <c r="J126" s="67">
        <f>AVERAGE('NW Fl History'!J83,'NW Fl History'!J65,'NW Fl History'!J47,'NW Fl History'!J29,'NW Fl History'!J100)</f>
        <v>0.61377999999999999</v>
      </c>
      <c r="K126">
        <v>720</v>
      </c>
    </row>
    <row r="127" spans="1:16">
      <c r="A127" s="148">
        <f t="shared" si="24"/>
        <v>43374</v>
      </c>
      <c r="B127" s="176">
        <f t="shared" si="21"/>
        <v>56390</v>
      </c>
      <c r="C127" s="176">
        <f t="shared" si="22"/>
        <v>26148511</v>
      </c>
      <c r="D127" s="173">
        <v>0.86299999999999999</v>
      </c>
      <c r="E127" s="173">
        <v>0.88600000000000001</v>
      </c>
      <c r="F127" s="176">
        <f t="shared" si="23"/>
        <v>48665</v>
      </c>
      <c r="G127" s="176">
        <f t="shared" si="23"/>
        <v>23167581</v>
      </c>
      <c r="H127" s="161">
        <v>0.01</v>
      </c>
      <c r="I127" s="161"/>
      <c r="J127" s="67">
        <f>AVERAGE('NW Fl History'!J84,'NW Fl History'!J66,'NW Fl History'!J48,'NW Fl History'!J30,'NW Fl History'!J101)</f>
        <v>0.62326000000000004</v>
      </c>
      <c r="K127">
        <v>744</v>
      </c>
    </row>
    <row r="128" spans="1:16">
      <c r="A128" s="148">
        <f t="shared" si="24"/>
        <v>43405</v>
      </c>
      <c r="B128" s="176">
        <f t="shared" si="21"/>
        <v>60738</v>
      </c>
      <c r="C128" s="176">
        <f t="shared" si="22"/>
        <v>26141065</v>
      </c>
      <c r="D128" s="173">
        <v>0.93799999999999994</v>
      </c>
      <c r="E128" s="173">
        <v>0.89300000000000002</v>
      </c>
      <c r="F128" s="176">
        <f t="shared" si="23"/>
        <v>56972</v>
      </c>
      <c r="G128" s="176">
        <f t="shared" si="23"/>
        <v>23343971</v>
      </c>
      <c r="H128" s="161">
        <v>0.01</v>
      </c>
      <c r="I128" s="161"/>
      <c r="J128" s="67">
        <f>AVERAGE('NW Fl History'!J85,'NW Fl History'!J67,'NW Fl History'!J49,'NW Fl History'!J31,'NW Fl History'!J102)</f>
        <v>0.59775999999999996</v>
      </c>
      <c r="K128">
        <v>720</v>
      </c>
    </row>
    <row r="129" spans="1:16">
      <c r="A129" s="148">
        <f t="shared" si="24"/>
        <v>43435</v>
      </c>
      <c r="B129" s="177">
        <f t="shared" si="21"/>
        <v>58666</v>
      </c>
      <c r="C129" s="177">
        <f t="shared" si="22"/>
        <v>26133859</v>
      </c>
      <c r="D129" s="180">
        <v>0.92900000000000005</v>
      </c>
      <c r="E129" s="180">
        <v>0.95399999999999996</v>
      </c>
      <c r="F129" s="177">
        <f t="shared" si="23"/>
        <v>54773</v>
      </c>
      <c r="G129" s="177">
        <f t="shared" si="23"/>
        <v>25056360</v>
      </c>
      <c r="H129" s="161">
        <v>0.01</v>
      </c>
      <c r="I129" s="161">
        <v>5.0000000000000001E-3</v>
      </c>
      <c r="J129" s="67">
        <f>AVERAGE('NW Fl History'!J86,'NW Fl History'!J68,'NW Fl History'!J50,'NW Fl History'!J32,'NW Fl History'!J103)</f>
        <v>0.59874400000000005</v>
      </c>
      <c r="K129">
        <v>744</v>
      </c>
    </row>
    <row r="130" spans="1:16">
      <c r="A130" s="169" t="s">
        <v>121</v>
      </c>
      <c r="B130" s="176">
        <f>SUM(B118:B129)</f>
        <v>709066</v>
      </c>
      <c r="C130" s="176">
        <f>SUM(C118:C129)</f>
        <v>314089120</v>
      </c>
      <c r="D130" s="92" t="s">
        <v>107</v>
      </c>
      <c r="E130" s="92" t="s">
        <v>107</v>
      </c>
      <c r="F130" s="176">
        <f>SUM(F118:F129)</f>
        <v>710062</v>
      </c>
      <c r="G130" s="176">
        <f>SUM(G118:G129)</f>
        <v>313563949</v>
      </c>
    </row>
    <row r="132" spans="1:16">
      <c r="A132" s="216" t="s">
        <v>122</v>
      </c>
      <c r="B132" s="216"/>
      <c r="C132" s="216"/>
      <c r="D132" s="216"/>
      <c r="E132" s="216"/>
      <c r="F132" s="216"/>
      <c r="G132" s="216"/>
      <c r="H132" s="159"/>
      <c r="I132" s="159"/>
      <c r="J132" s="159"/>
    </row>
    <row r="133" spans="1:16">
      <c r="A133" s="216" t="s">
        <v>118</v>
      </c>
      <c r="B133" s="216"/>
      <c r="C133" s="216"/>
      <c r="D133" s="216"/>
      <c r="E133" s="216"/>
      <c r="F133" s="216"/>
      <c r="G133" s="216"/>
      <c r="H133" s="159"/>
      <c r="I133" s="159"/>
      <c r="J133" s="159"/>
    </row>
    <row r="134" spans="1:16">
      <c r="B134" s="204" t="s">
        <v>109</v>
      </c>
      <c r="C134" s="204"/>
      <c r="D134" s="160"/>
      <c r="F134" s="204" t="s">
        <v>110</v>
      </c>
      <c r="G134" s="204"/>
    </row>
    <row r="135" spans="1:16">
      <c r="A135" s="170" t="s">
        <v>163</v>
      </c>
      <c r="B135" s="174" t="s">
        <v>161</v>
      </c>
      <c r="C135" s="174" t="s">
        <v>162</v>
      </c>
      <c r="D135" s="173" t="s">
        <v>106</v>
      </c>
      <c r="E135" s="173" t="s">
        <v>106</v>
      </c>
      <c r="F135" s="174" t="s">
        <v>161</v>
      </c>
      <c r="G135" s="174" t="s">
        <v>162</v>
      </c>
      <c r="J135" t="s">
        <v>115</v>
      </c>
      <c r="K135" t="s">
        <v>116</v>
      </c>
      <c r="M135" s="217" t="s">
        <v>160</v>
      </c>
      <c r="N135" s="204"/>
      <c r="O135" s="204" t="s">
        <v>139</v>
      </c>
      <c r="P135" s="204"/>
    </row>
    <row r="136" spans="1:16">
      <c r="A136" s="148">
        <f>EDATE(A129,1)</f>
        <v>43466</v>
      </c>
      <c r="B136" s="176">
        <f>ROUND(C136/(J136*K136),0)</f>
        <v>67442</v>
      </c>
      <c r="C136" s="176">
        <f>ROUND(C118*(1+H136),0)</f>
        <v>26476228</v>
      </c>
      <c r="D136" s="173">
        <v>1.1930000000000001</v>
      </c>
      <c r="E136" s="173">
        <v>1.0509999999999999</v>
      </c>
      <c r="F136" s="176">
        <f>ROUND(B136*D136*(1+$I136),0)</f>
        <v>80861</v>
      </c>
      <c r="G136" s="176">
        <f>ROUND(C136*E136*(1+$I136),0)</f>
        <v>27965648</v>
      </c>
      <c r="H136" s="161">
        <v>0.01</v>
      </c>
      <c r="I136" s="161">
        <v>5.0000000000000001E-3</v>
      </c>
      <c r="J136" s="67">
        <v>0.52765600000000001</v>
      </c>
      <c r="K136">
        <v>744</v>
      </c>
      <c r="M136" s="176">
        <f>MAX(F136:F147)</f>
        <v>80861</v>
      </c>
      <c r="N136" s="169" t="s">
        <v>32</v>
      </c>
      <c r="O136" s="176">
        <f>MAX(F141:F143)</f>
        <v>62712</v>
      </c>
      <c r="P136" t="s">
        <v>37</v>
      </c>
    </row>
    <row r="137" spans="1:16">
      <c r="A137" s="148">
        <f>EDATE(A136,1)</f>
        <v>43497</v>
      </c>
      <c r="B137" s="176">
        <f t="shared" ref="B137:B147" si="25">ROUND(C137/(J137*K137),0)</f>
        <v>71787</v>
      </c>
      <c r="C137" s="176">
        <f t="shared" ref="C137:C147" si="26">ROUND(C119*(1+H137),0)</f>
        <v>26468708</v>
      </c>
      <c r="D137" s="173">
        <v>1.081</v>
      </c>
      <c r="E137" s="173">
        <v>0.88300000000000001</v>
      </c>
      <c r="F137" s="176">
        <f t="shared" ref="F137:G147" si="27">ROUND(B137*D137*(1+$I137),0)</f>
        <v>77990</v>
      </c>
      <c r="G137" s="176">
        <f t="shared" si="27"/>
        <v>23488729</v>
      </c>
      <c r="H137" s="161">
        <v>0.01</v>
      </c>
      <c r="I137" s="161">
        <v>5.0000000000000001E-3</v>
      </c>
      <c r="J137" s="67">
        <v>0.548678</v>
      </c>
      <c r="K137">
        <v>672</v>
      </c>
    </row>
    <row r="138" spans="1:16">
      <c r="A138" s="148">
        <f t="shared" ref="A138:A147" si="28">EDATE(A137,1)</f>
        <v>43525</v>
      </c>
      <c r="B138" s="176">
        <f t="shared" si="25"/>
        <v>57039</v>
      </c>
      <c r="C138" s="176">
        <f t="shared" si="26"/>
        <v>26461914</v>
      </c>
      <c r="D138" s="173">
        <v>0.85499999999999998</v>
      </c>
      <c r="E138" s="173">
        <v>0.88</v>
      </c>
      <c r="F138" s="176">
        <f t="shared" si="27"/>
        <v>48768</v>
      </c>
      <c r="G138" s="176">
        <f t="shared" si="27"/>
        <v>23286484</v>
      </c>
      <c r="H138" s="161">
        <v>0.01</v>
      </c>
      <c r="I138" s="161"/>
      <c r="J138" s="67">
        <v>0.62355399999999994</v>
      </c>
      <c r="K138">
        <v>744</v>
      </c>
    </row>
    <row r="139" spans="1:16">
      <c r="A139" s="148">
        <f t="shared" si="28"/>
        <v>43556</v>
      </c>
      <c r="B139" s="176">
        <f t="shared" si="25"/>
        <v>57889</v>
      </c>
      <c r="C139" s="176">
        <f t="shared" si="26"/>
        <v>26454394</v>
      </c>
      <c r="D139" s="173">
        <v>0.78700000000000003</v>
      </c>
      <c r="E139" s="173">
        <v>0.81799999999999995</v>
      </c>
      <c r="F139" s="176">
        <f t="shared" si="27"/>
        <v>45559</v>
      </c>
      <c r="G139" s="176">
        <f t="shared" si="27"/>
        <v>21639694</v>
      </c>
      <c r="H139" s="161">
        <v>0.01</v>
      </c>
      <c r="I139" s="161"/>
      <c r="J139" s="67">
        <v>0.6347020000000001</v>
      </c>
      <c r="K139">
        <v>720</v>
      </c>
    </row>
    <row r="140" spans="1:16">
      <c r="A140" s="148">
        <f t="shared" si="28"/>
        <v>43586</v>
      </c>
      <c r="B140" s="176">
        <f t="shared" si="25"/>
        <v>58442</v>
      </c>
      <c r="C140" s="176">
        <f t="shared" si="26"/>
        <v>26447116</v>
      </c>
      <c r="D140" s="173">
        <v>0.97299999999999998</v>
      </c>
      <c r="E140" s="173">
        <v>1.004</v>
      </c>
      <c r="F140" s="176">
        <f t="shared" si="27"/>
        <v>56864</v>
      </c>
      <c r="G140" s="176">
        <f t="shared" si="27"/>
        <v>26552904</v>
      </c>
      <c r="H140" s="161">
        <v>0.01</v>
      </c>
      <c r="I140" s="161"/>
      <c r="J140" s="67">
        <v>0.60824599999999995</v>
      </c>
      <c r="K140">
        <v>744</v>
      </c>
    </row>
    <row r="141" spans="1:16">
      <c r="A141" s="148">
        <f t="shared" si="28"/>
        <v>43617</v>
      </c>
      <c r="B141" s="176">
        <f t="shared" si="25"/>
        <v>57671</v>
      </c>
      <c r="C141" s="176">
        <f t="shared" si="26"/>
        <v>26439594</v>
      </c>
      <c r="D141" s="173">
        <v>1.0820000000000001</v>
      </c>
      <c r="E141" s="173">
        <v>1.119</v>
      </c>
      <c r="F141" s="176">
        <f t="shared" si="27"/>
        <v>62712</v>
      </c>
      <c r="G141" s="176">
        <f t="shared" si="27"/>
        <v>29733835</v>
      </c>
      <c r="H141" s="161">
        <v>0.01</v>
      </c>
      <c r="I141" s="161">
        <v>5.0000000000000001E-3</v>
      </c>
      <c r="J141" s="67">
        <v>0.63674200000000003</v>
      </c>
      <c r="K141">
        <v>720</v>
      </c>
    </row>
    <row r="142" spans="1:16">
      <c r="A142" s="148">
        <f t="shared" si="28"/>
        <v>43647</v>
      </c>
      <c r="B142" s="176">
        <f t="shared" si="25"/>
        <v>54485</v>
      </c>
      <c r="C142" s="176">
        <f t="shared" si="26"/>
        <v>26432317</v>
      </c>
      <c r="D142" s="173">
        <v>1.099</v>
      </c>
      <c r="E142" s="173">
        <v>1.202</v>
      </c>
      <c r="F142" s="176">
        <f t="shared" si="27"/>
        <v>60178</v>
      </c>
      <c r="G142" s="176">
        <f t="shared" si="27"/>
        <v>31930503</v>
      </c>
      <c r="H142" s="161">
        <v>0.01</v>
      </c>
      <c r="I142" s="161">
        <v>5.0000000000000001E-3</v>
      </c>
      <c r="J142" s="67">
        <v>0.65205999999999997</v>
      </c>
      <c r="K142">
        <v>744</v>
      </c>
    </row>
    <row r="143" spans="1:16">
      <c r="A143" s="148">
        <f t="shared" si="28"/>
        <v>43678</v>
      </c>
      <c r="B143" s="176">
        <f t="shared" si="25"/>
        <v>54070</v>
      </c>
      <c r="C143" s="176">
        <f t="shared" si="26"/>
        <v>26424796</v>
      </c>
      <c r="D143" s="173">
        <v>1.0940000000000001</v>
      </c>
      <c r="E143" s="173">
        <v>1.2030000000000001</v>
      </c>
      <c r="F143" s="176">
        <f t="shared" si="27"/>
        <v>59448</v>
      </c>
      <c r="G143" s="176">
        <f t="shared" si="27"/>
        <v>31947975</v>
      </c>
      <c r="H143" s="161">
        <v>0.01</v>
      </c>
      <c r="I143" s="161">
        <v>5.0000000000000001E-3</v>
      </c>
      <c r="J143" s="67">
        <v>0.65687399999999996</v>
      </c>
      <c r="K143">
        <v>744</v>
      </c>
    </row>
    <row r="144" spans="1:16">
      <c r="A144" s="148">
        <f t="shared" si="28"/>
        <v>43709</v>
      </c>
      <c r="B144" s="176">
        <f t="shared" si="25"/>
        <v>59778</v>
      </c>
      <c r="C144" s="176">
        <f t="shared" si="26"/>
        <v>26417275</v>
      </c>
      <c r="D144" s="173">
        <v>1.05</v>
      </c>
      <c r="E144" s="173">
        <v>1.0549999999999999</v>
      </c>
      <c r="F144" s="176">
        <f t="shared" si="27"/>
        <v>62767</v>
      </c>
      <c r="G144" s="176">
        <f t="shared" si="27"/>
        <v>27870225</v>
      </c>
      <c r="H144" s="161">
        <v>0.01</v>
      </c>
      <c r="I144" s="161"/>
      <c r="J144" s="67">
        <v>0.61377999999999999</v>
      </c>
      <c r="K144">
        <v>720</v>
      </c>
    </row>
    <row r="145" spans="1:16">
      <c r="A145" s="148">
        <f t="shared" si="28"/>
        <v>43739</v>
      </c>
      <c r="B145" s="176">
        <f t="shared" si="25"/>
        <v>56954</v>
      </c>
      <c r="C145" s="176">
        <f t="shared" si="26"/>
        <v>26409996</v>
      </c>
      <c r="D145" s="173">
        <v>0.86299999999999999</v>
      </c>
      <c r="E145" s="173">
        <v>0.88600000000000001</v>
      </c>
      <c r="F145" s="176">
        <f t="shared" si="27"/>
        <v>49151</v>
      </c>
      <c r="G145" s="176">
        <f t="shared" si="27"/>
        <v>23399256</v>
      </c>
      <c r="H145" s="161">
        <v>0.01</v>
      </c>
      <c r="I145" s="161"/>
      <c r="J145" s="67">
        <v>0.62326000000000004</v>
      </c>
      <c r="K145">
        <v>744</v>
      </c>
    </row>
    <row r="146" spans="1:16">
      <c r="A146" s="148">
        <f t="shared" si="28"/>
        <v>43770</v>
      </c>
      <c r="B146" s="176">
        <f t="shared" si="25"/>
        <v>61346</v>
      </c>
      <c r="C146" s="176">
        <f t="shared" si="26"/>
        <v>26402476</v>
      </c>
      <c r="D146" s="173">
        <v>0.93799999999999994</v>
      </c>
      <c r="E146" s="173">
        <v>0.89300000000000002</v>
      </c>
      <c r="F146" s="176">
        <f t="shared" si="27"/>
        <v>57543</v>
      </c>
      <c r="G146" s="176">
        <f t="shared" si="27"/>
        <v>23577411</v>
      </c>
      <c r="H146" s="161">
        <v>0.01</v>
      </c>
      <c r="I146" s="161"/>
      <c r="J146" s="67">
        <v>0.59775999999999996</v>
      </c>
      <c r="K146">
        <v>720</v>
      </c>
    </row>
    <row r="147" spans="1:16">
      <c r="A147" s="148">
        <f t="shared" si="28"/>
        <v>43800</v>
      </c>
      <c r="B147" s="177">
        <f t="shared" si="25"/>
        <v>59253</v>
      </c>
      <c r="C147" s="177">
        <f t="shared" si="26"/>
        <v>26395198</v>
      </c>
      <c r="D147" s="180">
        <v>0.92900000000000005</v>
      </c>
      <c r="E147" s="180">
        <v>0.95399999999999996</v>
      </c>
      <c r="F147" s="177">
        <f t="shared" si="27"/>
        <v>55321</v>
      </c>
      <c r="G147" s="177">
        <f t="shared" si="27"/>
        <v>25306924</v>
      </c>
      <c r="H147" s="161">
        <v>0.01</v>
      </c>
      <c r="I147" s="161">
        <v>5.0000000000000001E-3</v>
      </c>
      <c r="J147" s="67">
        <v>0.59874400000000005</v>
      </c>
      <c r="K147">
        <v>744</v>
      </c>
    </row>
    <row r="148" spans="1:16">
      <c r="A148" s="169" t="s">
        <v>123</v>
      </c>
      <c r="B148" s="176">
        <f>SUM(B136:B147)</f>
        <v>716156</v>
      </c>
      <c r="C148" s="176">
        <f>SUM(C136:C147)</f>
        <v>317230012</v>
      </c>
      <c r="D148" s="92" t="s">
        <v>107</v>
      </c>
      <c r="E148" s="92" t="s">
        <v>107</v>
      </c>
      <c r="F148" s="176">
        <f>SUM(F136:F147)</f>
        <v>717162</v>
      </c>
      <c r="G148" s="176">
        <f>SUM(G136:G147)</f>
        <v>316699588</v>
      </c>
    </row>
    <row r="151" spans="1:16">
      <c r="A151" s="216" t="s">
        <v>151</v>
      </c>
      <c r="B151" s="216"/>
      <c r="C151" s="216"/>
      <c r="D151" s="216"/>
      <c r="E151" s="216"/>
      <c r="F151" s="216"/>
      <c r="G151" s="216"/>
    </row>
    <row r="152" spans="1:16">
      <c r="A152" s="216" t="s">
        <v>118</v>
      </c>
      <c r="B152" s="216"/>
      <c r="C152" s="216"/>
      <c r="D152" s="216"/>
      <c r="E152" s="216"/>
      <c r="F152" s="216"/>
      <c r="G152" s="216"/>
    </row>
    <row r="153" spans="1:16">
      <c r="A153" s="170" t="s">
        <v>163</v>
      </c>
      <c r="B153" s="174" t="s">
        <v>161</v>
      </c>
      <c r="C153" s="174" t="s">
        <v>162</v>
      </c>
      <c r="D153" s="173" t="s">
        <v>106</v>
      </c>
      <c r="E153" s="173" t="s">
        <v>106</v>
      </c>
      <c r="F153" s="174" t="s">
        <v>161</v>
      </c>
      <c r="G153" s="174" t="s">
        <v>162</v>
      </c>
      <c r="J153" t="s">
        <v>115</v>
      </c>
      <c r="K153" t="s">
        <v>116</v>
      </c>
      <c r="M153" s="217" t="s">
        <v>160</v>
      </c>
      <c r="N153" s="204"/>
      <c r="O153" s="204" t="s">
        <v>139</v>
      </c>
      <c r="P153" s="204"/>
    </row>
    <row r="154" spans="1:16">
      <c r="A154" s="148">
        <f>EDATE(A147,1)</f>
        <v>43831</v>
      </c>
      <c r="B154" s="176">
        <f>ROUND(C154/(J154*K154),0)</f>
        <v>68117</v>
      </c>
      <c r="C154" s="176">
        <f>ROUND(C136*(1+H154),0)</f>
        <v>26740990</v>
      </c>
      <c r="D154" s="173">
        <v>1.1930000000000001</v>
      </c>
      <c r="E154" s="173">
        <v>1.0509999999999999</v>
      </c>
      <c r="F154" s="176">
        <f>ROUND(B154*D154*(1+$I154),0)</f>
        <v>81670</v>
      </c>
      <c r="G154" s="176">
        <f>ROUND(C154*E154*(1+$I154),0)</f>
        <v>28245304</v>
      </c>
      <c r="H154" s="161">
        <v>0.01</v>
      </c>
      <c r="I154" s="161">
        <v>5.0000000000000001E-3</v>
      </c>
      <c r="J154" s="67">
        <v>0.52765600000000001</v>
      </c>
      <c r="K154">
        <v>744</v>
      </c>
      <c r="M154" s="176">
        <f>MAX(F154:F165)</f>
        <v>81670</v>
      </c>
      <c r="N154" s="169" t="s">
        <v>32</v>
      </c>
      <c r="O154" s="176">
        <f>MAX(F159:F161)</f>
        <v>63339</v>
      </c>
      <c r="P154" t="s">
        <v>37</v>
      </c>
    </row>
    <row r="155" spans="1:16">
      <c r="A155" s="148">
        <f>EDATE(A154,1)</f>
        <v>43862</v>
      </c>
      <c r="B155" s="176">
        <f t="shared" ref="B155:B165" si="29">ROUND(C155/(J155*K155),0)</f>
        <v>72505</v>
      </c>
      <c r="C155" s="176">
        <f t="shared" ref="C155:C165" si="30">ROUND(C137*(1+H155),0)</f>
        <v>26733395</v>
      </c>
      <c r="D155" s="173">
        <v>1.081</v>
      </c>
      <c r="E155" s="173">
        <v>0.88300000000000001</v>
      </c>
      <c r="F155" s="176">
        <f t="shared" ref="F155:G165" si="31">ROUND(B155*D155*(1+$I155),0)</f>
        <v>78770</v>
      </c>
      <c r="G155" s="176">
        <f t="shared" si="31"/>
        <v>23723616</v>
      </c>
      <c r="H155" s="161">
        <v>0.01</v>
      </c>
      <c r="I155" s="161">
        <v>5.0000000000000001E-3</v>
      </c>
      <c r="J155" s="67">
        <v>0.548678</v>
      </c>
      <c r="K155">
        <v>672</v>
      </c>
    </row>
    <row r="156" spans="1:16">
      <c r="A156" s="148">
        <f t="shared" ref="A156:A165" si="32">EDATE(A155,1)</f>
        <v>43891</v>
      </c>
      <c r="B156" s="176">
        <f t="shared" si="29"/>
        <v>57610</v>
      </c>
      <c r="C156" s="176">
        <f t="shared" si="30"/>
        <v>26726533</v>
      </c>
      <c r="D156" s="173">
        <v>0.85499999999999998</v>
      </c>
      <c r="E156" s="173">
        <v>0.88</v>
      </c>
      <c r="F156" s="176">
        <f t="shared" si="31"/>
        <v>49257</v>
      </c>
      <c r="G156" s="176">
        <f t="shared" si="31"/>
        <v>23519349</v>
      </c>
      <c r="H156" s="161">
        <v>0.01</v>
      </c>
      <c r="I156" s="161"/>
      <c r="J156" s="67">
        <v>0.62355399999999994</v>
      </c>
      <c r="K156">
        <v>744</v>
      </c>
    </row>
    <row r="157" spans="1:16">
      <c r="A157" s="148">
        <f t="shared" si="32"/>
        <v>43922</v>
      </c>
      <c r="B157" s="176">
        <f t="shared" si="29"/>
        <v>58468</v>
      </c>
      <c r="C157" s="176">
        <f t="shared" si="30"/>
        <v>26718938</v>
      </c>
      <c r="D157" s="173">
        <v>0.78700000000000003</v>
      </c>
      <c r="E157" s="173">
        <v>0.81799999999999995</v>
      </c>
      <c r="F157" s="176">
        <f t="shared" si="31"/>
        <v>46014</v>
      </c>
      <c r="G157" s="176">
        <f t="shared" si="31"/>
        <v>21856091</v>
      </c>
      <c r="H157" s="161">
        <v>0.01</v>
      </c>
      <c r="I157" s="161"/>
      <c r="J157" s="67">
        <v>0.6347020000000001</v>
      </c>
      <c r="K157">
        <v>720</v>
      </c>
    </row>
    <row r="158" spans="1:16">
      <c r="A158" s="148">
        <f t="shared" si="32"/>
        <v>43952</v>
      </c>
      <c r="B158" s="176">
        <f t="shared" si="29"/>
        <v>59027</v>
      </c>
      <c r="C158" s="176">
        <f t="shared" si="30"/>
        <v>26711587</v>
      </c>
      <c r="D158" s="173">
        <v>0.97299999999999998</v>
      </c>
      <c r="E158" s="173">
        <v>1.004</v>
      </c>
      <c r="F158" s="176">
        <f t="shared" si="31"/>
        <v>57433</v>
      </c>
      <c r="G158" s="176">
        <f t="shared" si="31"/>
        <v>26818433</v>
      </c>
      <c r="H158" s="161">
        <v>0.01</v>
      </c>
      <c r="I158" s="161"/>
      <c r="J158" s="67">
        <v>0.60824599999999995</v>
      </c>
      <c r="K158">
        <v>744</v>
      </c>
    </row>
    <row r="159" spans="1:16">
      <c r="A159" s="148">
        <f t="shared" si="32"/>
        <v>43983</v>
      </c>
      <c r="B159" s="176">
        <f t="shared" si="29"/>
        <v>58248</v>
      </c>
      <c r="C159" s="176">
        <f t="shared" si="30"/>
        <v>26703990</v>
      </c>
      <c r="D159" s="173">
        <v>1.0820000000000001</v>
      </c>
      <c r="E159" s="173">
        <v>1.119</v>
      </c>
      <c r="F159" s="176">
        <f t="shared" si="31"/>
        <v>63339</v>
      </c>
      <c r="G159" s="176">
        <f t="shared" si="31"/>
        <v>30031174</v>
      </c>
      <c r="H159" s="161">
        <v>0.01</v>
      </c>
      <c r="I159" s="161">
        <v>5.0000000000000001E-3</v>
      </c>
      <c r="J159" s="67">
        <v>0.63674200000000003</v>
      </c>
      <c r="K159">
        <v>720</v>
      </c>
    </row>
    <row r="160" spans="1:16">
      <c r="A160" s="148">
        <f t="shared" si="32"/>
        <v>44013</v>
      </c>
      <c r="B160" s="176">
        <f t="shared" si="29"/>
        <v>55030</v>
      </c>
      <c r="C160" s="176">
        <f t="shared" si="30"/>
        <v>26696640</v>
      </c>
      <c r="D160" s="173">
        <v>1.099</v>
      </c>
      <c r="E160" s="173">
        <v>1.202</v>
      </c>
      <c r="F160" s="176">
        <f t="shared" si="31"/>
        <v>60780</v>
      </c>
      <c r="G160" s="176">
        <f t="shared" si="31"/>
        <v>32249808</v>
      </c>
      <c r="H160" s="161">
        <v>0.01</v>
      </c>
      <c r="I160" s="161">
        <v>5.0000000000000001E-3</v>
      </c>
      <c r="J160" s="67">
        <v>0.65205999999999997</v>
      </c>
      <c r="K160">
        <v>744</v>
      </c>
    </row>
    <row r="161" spans="1:16">
      <c r="A161" s="148">
        <f t="shared" si="32"/>
        <v>44044</v>
      </c>
      <c r="B161" s="176">
        <f t="shared" si="29"/>
        <v>54611</v>
      </c>
      <c r="C161" s="176">
        <f t="shared" si="30"/>
        <v>26689044</v>
      </c>
      <c r="D161" s="173">
        <v>1.0940000000000001</v>
      </c>
      <c r="E161" s="173">
        <v>1.2030000000000001</v>
      </c>
      <c r="F161" s="176">
        <f t="shared" si="31"/>
        <v>60043</v>
      </c>
      <c r="G161" s="176">
        <f t="shared" si="31"/>
        <v>32267455</v>
      </c>
      <c r="H161" s="161">
        <v>0.01</v>
      </c>
      <c r="I161" s="161">
        <v>5.0000000000000001E-3</v>
      </c>
      <c r="J161" s="67">
        <v>0.65687399999999996</v>
      </c>
      <c r="K161">
        <v>744</v>
      </c>
    </row>
    <row r="162" spans="1:16">
      <c r="A162" s="148">
        <f t="shared" si="32"/>
        <v>44075</v>
      </c>
      <c r="B162" s="176">
        <f t="shared" si="29"/>
        <v>60376</v>
      </c>
      <c r="C162" s="176">
        <f t="shared" si="30"/>
        <v>26681448</v>
      </c>
      <c r="D162" s="173">
        <v>1.05</v>
      </c>
      <c r="E162" s="173">
        <v>1.0549999999999999</v>
      </c>
      <c r="F162" s="176">
        <f t="shared" si="31"/>
        <v>63395</v>
      </c>
      <c r="G162" s="176">
        <f t="shared" si="31"/>
        <v>28148928</v>
      </c>
      <c r="H162" s="161">
        <v>0.01</v>
      </c>
      <c r="I162" s="161"/>
      <c r="J162" s="67">
        <v>0.61377999999999999</v>
      </c>
      <c r="K162">
        <v>720</v>
      </c>
    </row>
    <row r="163" spans="1:16">
      <c r="A163" s="148">
        <f t="shared" si="32"/>
        <v>44105</v>
      </c>
      <c r="B163" s="176">
        <f t="shared" si="29"/>
        <v>57524</v>
      </c>
      <c r="C163" s="176">
        <f t="shared" si="30"/>
        <v>26674096</v>
      </c>
      <c r="D163" s="173">
        <v>0.86299999999999999</v>
      </c>
      <c r="E163" s="173">
        <v>0.88600000000000001</v>
      </c>
      <c r="F163" s="176">
        <f t="shared" si="31"/>
        <v>49643</v>
      </c>
      <c r="G163" s="176">
        <f t="shared" si="31"/>
        <v>23633249</v>
      </c>
      <c r="H163" s="161">
        <v>0.01</v>
      </c>
      <c r="I163" s="161"/>
      <c r="J163" s="67">
        <v>0.62326000000000004</v>
      </c>
      <c r="K163">
        <v>744</v>
      </c>
    </row>
    <row r="164" spans="1:16">
      <c r="A164" s="148">
        <f t="shared" si="32"/>
        <v>44136</v>
      </c>
      <c r="B164" s="176">
        <f t="shared" si="29"/>
        <v>61959</v>
      </c>
      <c r="C164" s="176">
        <f t="shared" si="30"/>
        <v>26666501</v>
      </c>
      <c r="D164" s="173">
        <v>0.93799999999999994</v>
      </c>
      <c r="E164" s="173">
        <v>0.89300000000000002</v>
      </c>
      <c r="F164" s="176">
        <f t="shared" si="31"/>
        <v>58118</v>
      </c>
      <c r="G164" s="176">
        <f t="shared" si="31"/>
        <v>23813185</v>
      </c>
      <c r="H164" s="161">
        <v>0.01</v>
      </c>
      <c r="I164" s="161"/>
      <c r="J164" s="67">
        <v>0.59775999999999996</v>
      </c>
      <c r="K164">
        <v>720</v>
      </c>
    </row>
    <row r="165" spans="1:16">
      <c r="A165" s="148">
        <f t="shared" si="32"/>
        <v>44166</v>
      </c>
      <c r="B165" s="177">
        <f t="shared" si="29"/>
        <v>59846</v>
      </c>
      <c r="C165" s="177">
        <f t="shared" si="30"/>
        <v>26659150</v>
      </c>
      <c r="D165" s="180">
        <v>0.92900000000000005</v>
      </c>
      <c r="E165" s="180">
        <v>0.95399999999999996</v>
      </c>
      <c r="F165" s="177">
        <f t="shared" si="31"/>
        <v>55875</v>
      </c>
      <c r="G165" s="177">
        <f t="shared" si="31"/>
        <v>25559993</v>
      </c>
      <c r="H165" s="161">
        <v>0.01</v>
      </c>
      <c r="I165" s="161">
        <v>5.0000000000000001E-3</v>
      </c>
      <c r="J165" s="67">
        <v>0.59874400000000005</v>
      </c>
      <c r="K165">
        <v>744</v>
      </c>
    </row>
    <row r="166" spans="1:16">
      <c r="A166" s="169" t="s">
        <v>125</v>
      </c>
      <c r="B166" s="176">
        <f>SUM(B154:B165)</f>
        <v>723321</v>
      </c>
      <c r="C166" s="176">
        <f>SUM(C154:C165)</f>
        <v>320402312</v>
      </c>
      <c r="D166" s="92" t="s">
        <v>107</v>
      </c>
      <c r="E166" s="92" t="s">
        <v>107</v>
      </c>
      <c r="F166" s="176">
        <f>SUM(F154:F165)</f>
        <v>724337</v>
      </c>
      <c r="G166" s="176">
        <f>SUM(G154:G165)</f>
        <v>319866585</v>
      </c>
    </row>
    <row r="169" spans="1:16">
      <c r="A169" s="216" t="s">
        <v>159</v>
      </c>
      <c r="B169" s="216"/>
      <c r="C169" s="216"/>
      <c r="D169" s="216"/>
      <c r="E169" s="216"/>
      <c r="F169" s="216"/>
      <c r="G169" s="216"/>
    </row>
    <row r="170" spans="1:16">
      <c r="A170" s="216" t="s">
        <v>118</v>
      </c>
      <c r="B170" s="216"/>
      <c r="C170" s="216"/>
      <c r="D170" s="216"/>
      <c r="E170" s="216"/>
      <c r="F170" s="216"/>
      <c r="G170" s="216"/>
    </row>
    <row r="171" spans="1:16">
      <c r="A171" s="170" t="s">
        <v>164</v>
      </c>
      <c r="B171" s="174" t="s">
        <v>161</v>
      </c>
      <c r="C171" s="174" t="s">
        <v>162</v>
      </c>
      <c r="D171" s="173" t="s">
        <v>106</v>
      </c>
      <c r="E171" s="173" t="s">
        <v>106</v>
      </c>
      <c r="F171" s="174" t="s">
        <v>161</v>
      </c>
      <c r="G171" s="174" t="s">
        <v>162</v>
      </c>
      <c r="J171" t="s">
        <v>115</v>
      </c>
      <c r="K171" t="s">
        <v>116</v>
      </c>
      <c r="M171" s="217" t="s">
        <v>160</v>
      </c>
      <c r="N171" s="204"/>
      <c r="O171" s="204" t="s">
        <v>139</v>
      </c>
      <c r="P171" s="204"/>
    </row>
    <row r="172" spans="1:16">
      <c r="A172" s="148">
        <f>EDATE(A165,1)</f>
        <v>44197</v>
      </c>
      <c r="B172" s="176">
        <f>ROUND(C172/(J172*K172),0)</f>
        <v>68798</v>
      </c>
      <c r="C172" s="176">
        <f>ROUND(C154*(1+H172),0)</f>
        <v>27008400</v>
      </c>
      <c r="D172" s="173">
        <v>1.1930000000000001</v>
      </c>
      <c r="E172" s="173">
        <v>1.0509999999999999</v>
      </c>
      <c r="F172" s="176">
        <f>ROUND(B172*D172*(1+$I172),0)</f>
        <v>82486</v>
      </c>
      <c r="G172" s="176">
        <f>ROUND(C172*E172*(1+$I172),0)</f>
        <v>28527758</v>
      </c>
      <c r="H172" s="161">
        <v>0.01</v>
      </c>
      <c r="I172" s="161">
        <v>5.0000000000000001E-3</v>
      </c>
      <c r="J172" s="67">
        <v>0.52765600000000001</v>
      </c>
      <c r="K172">
        <v>744</v>
      </c>
      <c r="M172" s="176">
        <f>MAX(F172:F183)</f>
        <v>82486</v>
      </c>
      <c r="N172" s="169" t="s">
        <v>32</v>
      </c>
      <c r="O172" s="176">
        <f>MAX(F177:F179)</f>
        <v>63972</v>
      </c>
      <c r="P172" t="s">
        <v>37</v>
      </c>
    </row>
    <row r="173" spans="1:16">
      <c r="A173" s="148">
        <f>EDATE(A172,1)</f>
        <v>44228</v>
      </c>
      <c r="B173" s="176">
        <f t="shared" ref="B173:B183" si="33">ROUND(C173/(J173*K173),0)</f>
        <v>73230</v>
      </c>
      <c r="C173" s="176">
        <f t="shared" ref="C173:C183" si="34">ROUND(C155*(1+H173),0)</f>
        <v>27000729</v>
      </c>
      <c r="D173" s="173">
        <v>1.081</v>
      </c>
      <c r="E173" s="173">
        <v>0.88300000000000001</v>
      </c>
      <c r="F173" s="176">
        <f t="shared" ref="F173:G183" si="35">ROUND(B173*D173*(1+$I173),0)</f>
        <v>79557</v>
      </c>
      <c r="G173" s="176">
        <f t="shared" si="35"/>
        <v>23960852</v>
      </c>
      <c r="H173" s="161">
        <v>0.01</v>
      </c>
      <c r="I173" s="161">
        <v>5.0000000000000001E-3</v>
      </c>
      <c r="J173" s="67">
        <v>0.548678</v>
      </c>
      <c r="K173">
        <v>672</v>
      </c>
    </row>
    <row r="174" spans="1:16">
      <c r="A174" s="148">
        <f t="shared" ref="A174:A183" si="36">EDATE(A173,1)</f>
        <v>44256</v>
      </c>
      <c r="B174" s="176">
        <f t="shared" si="33"/>
        <v>58186</v>
      </c>
      <c r="C174" s="176">
        <f t="shared" si="34"/>
        <v>26993798</v>
      </c>
      <c r="D174" s="173">
        <v>0.85499999999999998</v>
      </c>
      <c r="E174" s="173">
        <v>0.88</v>
      </c>
      <c r="F174" s="176">
        <f t="shared" si="35"/>
        <v>49749</v>
      </c>
      <c r="G174" s="176">
        <f t="shared" si="35"/>
        <v>23754542</v>
      </c>
      <c r="H174" s="161">
        <v>0.01</v>
      </c>
      <c r="I174" s="161"/>
      <c r="J174" s="67">
        <v>0.62355399999999994</v>
      </c>
      <c r="K174">
        <v>744</v>
      </c>
    </row>
    <row r="175" spans="1:16">
      <c r="A175" s="148">
        <f t="shared" si="36"/>
        <v>44287</v>
      </c>
      <c r="B175" s="176">
        <f t="shared" si="33"/>
        <v>59052</v>
      </c>
      <c r="C175" s="176">
        <f t="shared" si="34"/>
        <v>26986127</v>
      </c>
      <c r="D175" s="173">
        <v>0.78700000000000003</v>
      </c>
      <c r="E175" s="173">
        <v>0.81799999999999995</v>
      </c>
      <c r="F175" s="176">
        <f t="shared" si="35"/>
        <v>46474</v>
      </c>
      <c r="G175" s="176">
        <f t="shared" si="35"/>
        <v>22074652</v>
      </c>
      <c r="H175" s="161">
        <v>0.01</v>
      </c>
      <c r="I175" s="161"/>
      <c r="J175" s="67">
        <v>0.6347020000000001</v>
      </c>
      <c r="K175">
        <v>720</v>
      </c>
    </row>
    <row r="176" spans="1:16">
      <c r="A176" s="148">
        <f t="shared" si="36"/>
        <v>44317</v>
      </c>
      <c r="B176" s="176">
        <f t="shared" si="33"/>
        <v>59617</v>
      </c>
      <c r="C176" s="176">
        <f t="shared" si="34"/>
        <v>26978703</v>
      </c>
      <c r="D176" s="173">
        <v>0.97299999999999998</v>
      </c>
      <c r="E176" s="173">
        <v>1.004</v>
      </c>
      <c r="F176" s="176">
        <f t="shared" si="35"/>
        <v>58007</v>
      </c>
      <c r="G176" s="176">
        <f t="shared" si="35"/>
        <v>27086618</v>
      </c>
      <c r="H176" s="161">
        <v>0.01</v>
      </c>
      <c r="I176" s="161"/>
      <c r="J176" s="67">
        <v>0.60824599999999995</v>
      </c>
      <c r="K176">
        <v>744</v>
      </c>
    </row>
    <row r="177" spans="1:11">
      <c r="A177" s="148">
        <f t="shared" si="36"/>
        <v>44348</v>
      </c>
      <c r="B177" s="176">
        <f t="shared" si="33"/>
        <v>58830</v>
      </c>
      <c r="C177" s="176">
        <f t="shared" si="34"/>
        <v>26971030</v>
      </c>
      <c r="D177" s="173">
        <v>1.0820000000000001</v>
      </c>
      <c r="E177" s="173">
        <v>1.119</v>
      </c>
      <c r="F177" s="176">
        <f t="shared" si="35"/>
        <v>63972</v>
      </c>
      <c r="G177" s="176">
        <f t="shared" si="35"/>
        <v>30331485</v>
      </c>
      <c r="H177" s="161">
        <v>0.01</v>
      </c>
      <c r="I177" s="161">
        <v>5.0000000000000001E-3</v>
      </c>
      <c r="J177" s="67">
        <v>0.63674200000000003</v>
      </c>
      <c r="K177">
        <v>720</v>
      </c>
    </row>
    <row r="178" spans="1:11">
      <c r="A178" s="148">
        <f t="shared" si="36"/>
        <v>44378</v>
      </c>
      <c r="B178" s="176">
        <f t="shared" si="33"/>
        <v>55580</v>
      </c>
      <c r="C178" s="176">
        <f t="shared" si="34"/>
        <v>26963606</v>
      </c>
      <c r="D178" s="173">
        <v>1.099</v>
      </c>
      <c r="E178" s="173">
        <v>1.202</v>
      </c>
      <c r="F178" s="176">
        <f t="shared" si="35"/>
        <v>61388</v>
      </c>
      <c r="G178" s="176">
        <f t="shared" si="35"/>
        <v>32572306</v>
      </c>
      <c r="H178" s="161">
        <v>0.01</v>
      </c>
      <c r="I178" s="161">
        <v>5.0000000000000001E-3</v>
      </c>
      <c r="J178" s="67">
        <v>0.65205999999999997</v>
      </c>
      <c r="K178">
        <v>744</v>
      </c>
    </row>
    <row r="179" spans="1:11">
      <c r="A179" s="148">
        <f t="shared" si="36"/>
        <v>44409</v>
      </c>
      <c r="B179" s="176">
        <f t="shared" si="33"/>
        <v>55157</v>
      </c>
      <c r="C179" s="176">
        <f t="shared" si="34"/>
        <v>26955934</v>
      </c>
      <c r="D179" s="173">
        <v>1.0940000000000001</v>
      </c>
      <c r="E179" s="173">
        <v>1.2030000000000001</v>
      </c>
      <c r="F179" s="176">
        <f t="shared" si="35"/>
        <v>60643</v>
      </c>
      <c r="G179" s="176">
        <f t="shared" si="35"/>
        <v>32590129</v>
      </c>
      <c r="H179" s="161">
        <v>0.01</v>
      </c>
      <c r="I179" s="161">
        <v>5.0000000000000001E-3</v>
      </c>
      <c r="J179" s="67">
        <v>0.65687399999999996</v>
      </c>
      <c r="K179">
        <v>744</v>
      </c>
    </row>
    <row r="180" spans="1:11">
      <c r="A180" s="148">
        <f t="shared" si="36"/>
        <v>44440</v>
      </c>
      <c r="B180" s="176">
        <f t="shared" si="33"/>
        <v>60980</v>
      </c>
      <c r="C180" s="176">
        <f t="shared" si="34"/>
        <v>26948262</v>
      </c>
      <c r="D180" s="173">
        <v>1.05</v>
      </c>
      <c r="E180" s="173">
        <v>1.0549999999999999</v>
      </c>
      <c r="F180" s="176">
        <f t="shared" si="35"/>
        <v>64029</v>
      </c>
      <c r="G180" s="176">
        <f t="shared" si="35"/>
        <v>28430416</v>
      </c>
      <c r="H180" s="161">
        <v>0.01</v>
      </c>
      <c r="I180" s="161"/>
      <c r="J180" s="67">
        <v>0.61377999999999999</v>
      </c>
      <c r="K180">
        <v>720</v>
      </c>
    </row>
    <row r="181" spans="1:11">
      <c r="A181" s="148">
        <f t="shared" si="36"/>
        <v>44470</v>
      </c>
      <c r="B181" s="176">
        <f t="shared" si="33"/>
        <v>58099</v>
      </c>
      <c r="C181" s="176">
        <f t="shared" si="34"/>
        <v>26940837</v>
      </c>
      <c r="D181" s="173">
        <v>0.86299999999999999</v>
      </c>
      <c r="E181" s="173">
        <v>0.88600000000000001</v>
      </c>
      <c r="F181" s="176">
        <f t="shared" si="35"/>
        <v>50139</v>
      </c>
      <c r="G181" s="176">
        <f t="shared" si="35"/>
        <v>23869582</v>
      </c>
      <c r="H181" s="161">
        <v>0.01</v>
      </c>
      <c r="I181" s="161"/>
      <c r="J181" s="67">
        <v>0.62326000000000004</v>
      </c>
      <c r="K181">
        <v>744</v>
      </c>
    </row>
    <row r="182" spans="1:11">
      <c r="A182" s="148">
        <f t="shared" si="36"/>
        <v>44501</v>
      </c>
      <c r="B182" s="176">
        <f t="shared" si="33"/>
        <v>62579</v>
      </c>
      <c r="C182" s="176">
        <f t="shared" si="34"/>
        <v>26933166</v>
      </c>
      <c r="D182" s="173">
        <v>0.93799999999999994</v>
      </c>
      <c r="E182" s="173">
        <v>0.89300000000000002</v>
      </c>
      <c r="F182" s="176">
        <f t="shared" si="35"/>
        <v>58699</v>
      </c>
      <c r="G182" s="176">
        <f t="shared" si="35"/>
        <v>24051317</v>
      </c>
      <c r="H182" s="161">
        <v>0.01</v>
      </c>
      <c r="I182" s="161"/>
      <c r="J182" s="67">
        <v>0.59775999999999996</v>
      </c>
      <c r="K182">
        <v>720</v>
      </c>
    </row>
    <row r="183" spans="1:11">
      <c r="A183" s="148">
        <f t="shared" si="36"/>
        <v>44531</v>
      </c>
      <c r="B183" s="177">
        <f t="shared" si="33"/>
        <v>60444</v>
      </c>
      <c r="C183" s="177">
        <f t="shared" si="34"/>
        <v>26925742</v>
      </c>
      <c r="D183" s="180">
        <v>0.92900000000000005</v>
      </c>
      <c r="E183" s="180">
        <v>0.95399999999999996</v>
      </c>
      <c r="F183" s="177">
        <f t="shared" si="35"/>
        <v>56433</v>
      </c>
      <c r="G183" s="177">
        <f t="shared" si="35"/>
        <v>25815594</v>
      </c>
      <c r="H183" s="161">
        <v>0.01</v>
      </c>
      <c r="I183" s="161">
        <v>5.0000000000000001E-3</v>
      </c>
      <c r="J183" s="67">
        <v>0.59874400000000005</v>
      </c>
      <c r="K183">
        <v>744</v>
      </c>
    </row>
    <row r="184" spans="1:11">
      <c r="A184" s="169" t="s">
        <v>126</v>
      </c>
      <c r="B184" s="176">
        <f>SUM(B172:B183)</f>
        <v>730552</v>
      </c>
      <c r="C184" s="176">
        <f>SUM(C172:C183)</f>
        <v>323606334</v>
      </c>
      <c r="D184" s="92" t="s">
        <v>107</v>
      </c>
      <c r="E184" s="92" t="s">
        <v>107</v>
      </c>
      <c r="F184" s="176">
        <f>SUM(F172:F183)</f>
        <v>731576</v>
      </c>
      <c r="G184" s="176">
        <f>SUM(G172:G183)</f>
        <v>323065251</v>
      </c>
    </row>
    <row r="223" spans="3:3">
      <c r="C223">
        <v>24895997</v>
      </c>
    </row>
    <row r="224" spans="3:3">
      <c r="C224">
        <v>24796073</v>
      </c>
    </row>
    <row r="225" spans="3:3">
      <c r="C225">
        <v>24705819</v>
      </c>
    </row>
    <row r="226" spans="3:3">
      <c r="C226">
        <v>24605895</v>
      </c>
    </row>
    <row r="227" spans="3:3">
      <c r="C227">
        <v>24509195</v>
      </c>
    </row>
    <row r="228" spans="3:3">
      <c r="C228">
        <v>24409270</v>
      </c>
    </row>
    <row r="229" spans="3:3">
      <c r="C229">
        <v>24312569</v>
      </c>
    </row>
    <row r="230" spans="3:3">
      <c r="C230">
        <v>24212646</v>
      </c>
    </row>
    <row r="231" spans="3:3">
      <c r="C231">
        <v>24112722</v>
      </c>
    </row>
    <row r="232" spans="3:3">
      <c r="C232">
        <v>24016019</v>
      </c>
    </row>
    <row r="233" spans="3:3">
      <c r="C233">
        <v>23916096</v>
      </c>
    </row>
    <row r="234" spans="3:3">
      <c r="C234">
        <v>23819396</v>
      </c>
    </row>
  </sheetData>
  <mergeCells count="30">
    <mergeCell ref="M171:N171"/>
    <mergeCell ref="O171:P171"/>
    <mergeCell ref="O117:P117"/>
    <mergeCell ref="M135:N135"/>
    <mergeCell ref="O135:P135"/>
    <mergeCell ref="M153:N153"/>
    <mergeCell ref="O153:P153"/>
    <mergeCell ref="J80:K80"/>
    <mergeCell ref="H80:I80"/>
    <mergeCell ref="H98:I98"/>
    <mergeCell ref="J98:K98"/>
    <mergeCell ref="M117:N117"/>
    <mergeCell ref="A169:G169"/>
    <mergeCell ref="A170:G170"/>
    <mergeCell ref="A114:G114"/>
    <mergeCell ref="A115:G115"/>
    <mergeCell ref="B116:C116"/>
    <mergeCell ref="F116:G116"/>
    <mergeCell ref="A132:G132"/>
    <mergeCell ref="A133:G133"/>
    <mergeCell ref="B134:C134"/>
    <mergeCell ref="F134:G134"/>
    <mergeCell ref="A151:G151"/>
    <mergeCell ref="B79:C79"/>
    <mergeCell ref="F79:G79"/>
    <mergeCell ref="A78:G78"/>
    <mergeCell ref="A96:G96"/>
    <mergeCell ref="A152:G152"/>
    <mergeCell ref="B97:C97"/>
    <mergeCell ref="F97:G97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O103"/>
  <sheetViews>
    <sheetView topLeftCell="B43" zoomScale="115" zoomScaleNormal="115" workbookViewId="0">
      <selection activeCell="L19" sqref="L19"/>
    </sheetView>
  </sheetViews>
  <sheetFormatPr defaultRowHeight="12.75"/>
  <cols>
    <col min="1" max="1" width="13.28515625" customWidth="1"/>
    <col min="2" max="2" width="12.7109375" customWidth="1"/>
    <col min="3" max="3" width="14.42578125" customWidth="1"/>
    <col min="4" max="4" width="14.140625" customWidth="1"/>
    <col min="5" max="5" width="15.28515625" customWidth="1"/>
    <col min="6" max="6" width="18.28515625" customWidth="1"/>
    <col min="7" max="7" width="18.42578125" customWidth="1"/>
    <col min="8" max="8" width="18.140625" customWidth="1"/>
    <col min="10" max="10" width="8.85546875" customWidth="1"/>
    <col min="11" max="11" width="11.140625" customWidth="1"/>
    <col min="12" max="12" width="10.28515625" bestFit="1" customWidth="1"/>
    <col min="14" max="14" width="10.28515625" bestFit="1" customWidth="1"/>
  </cols>
  <sheetData>
    <row r="1" spans="1:7">
      <c r="B1" t="s">
        <v>111</v>
      </c>
      <c r="C1" s="187" t="s">
        <v>161</v>
      </c>
      <c r="D1" s="187" t="s">
        <v>162</v>
      </c>
    </row>
    <row r="2" spans="1:7">
      <c r="A2" t="s">
        <v>124</v>
      </c>
      <c r="B2">
        <v>2016</v>
      </c>
      <c r="C2" s="107">
        <v>722342</v>
      </c>
      <c r="D2" s="107">
        <v>310666058</v>
      </c>
    </row>
    <row r="3" spans="1:7">
      <c r="B3">
        <v>2017</v>
      </c>
      <c r="C3" s="107">
        <v>727102</v>
      </c>
      <c r="D3" s="107">
        <v>309628429</v>
      </c>
    </row>
    <row r="4" spans="1:7">
      <c r="B4">
        <v>2018</v>
      </c>
      <c r="C4" s="107">
        <v>710062</v>
      </c>
      <c r="D4" s="107">
        <v>313563949</v>
      </c>
    </row>
    <row r="5" spans="1:7">
      <c r="B5">
        <v>2019</v>
      </c>
      <c r="C5" s="107">
        <v>717162</v>
      </c>
      <c r="D5" s="107">
        <v>316699588</v>
      </c>
    </row>
    <row r="6" spans="1:7">
      <c r="B6">
        <v>2020</v>
      </c>
      <c r="C6" s="107">
        <v>724337</v>
      </c>
      <c r="D6" s="107">
        <v>319866585</v>
      </c>
    </row>
    <row r="7" spans="1:7">
      <c r="B7">
        <v>2121</v>
      </c>
      <c r="C7" s="107">
        <v>731576</v>
      </c>
      <c r="D7" s="107">
        <v>323065251</v>
      </c>
    </row>
    <row r="8" spans="1:7">
      <c r="A8" s="186"/>
      <c r="B8">
        <v>2022</v>
      </c>
      <c r="C8" s="107">
        <v>733216</v>
      </c>
      <c r="D8" s="107">
        <v>323811586</v>
      </c>
    </row>
    <row r="9" spans="1:7">
      <c r="B9">
        <v>2023</v>
      </c>
      <c r="C9" s="107">
        <v>736878</v>
      </c>
      <c r="D9" s="107">
        <v>325430645</v>
      </c>
    </row>
    <row r="10" spans="1:7">
      <c r="B10">
        <v>2024</v>
      </c>
      <c r="C10" s="107">
        <v>740564</v>
      </c>
      <c r="D10" s="107">
        <v>327057799</v>
      </c>
    </row>
    <row r="11" spans="1:7">
      <c r="B11">
        <v>2025</v>
      </c>
      <c r="C11" s="107">
        <v>744266</v>
      </c>
      <c r="D11" s="107">
        <v>328693088</v>
      </c>
    </row>
    <row r="12" spans="1:7">
      <c r="B12">
        <v>2026</v>
      </c>
      <c r="C12" s="107">
        <v>747987</v>
      </c>
      <c r="D12" s="107">
        <v>330336556</v>
      </c>
    </row>
    <row r="16" spans="1:7">
      <c r="A16" s="216" t="s">
        <v>127</v>
      </c>
      <c r="B16" s="216"/>
      <c r="C16" s="216"/>
      <c r="D16" s="216"/>
      <c r="E16" s="216"/>
      <c r="F16" s="216"/>
      <c r="G16" s="216"/>
    </row>
    <row r="17" spans="1:15">
      <c r="A17" s="216" t="s">
        <v>118</v>
      </c>
      <c r="B17" s="216"/>
      <c r="C17" s="216"/>
      <c r="D17" s="216"/>
      <c r="E17" s="216"/>
      <c r="F17" s="216"/>
      <c r="G17" s="216"/>
    </row>
    <row r="18" spans="1:15">
      <c r="A18" s="170" t="s">
        <v>163</v>
      </c>
      <c r="B18" s="174" t="s">
        <v>161</v>
      </c>
      <c r="C18" s="174" t="s">
        <v>162</v>
      </c>
      <c r="D18" s="173" t="s">
        <v>106</v>
      </c>
      <c r="E18" s="173" t="s">
        <v>106</v>
      </c>
      <c r="F18" s="174" t="s">
        <v>161</v>
      </c>
      <c r="G18" s="174" t="s">
        <v>162</v>
      </c>
      <c r="J18" t="s">
        <v>115</v>
      </c>
      <c r="K18" t="s">
        <v>116</v>
      </c>
      <c r="L18" s="217" t="s">
        <v>160</v>
      </c>
      <c r="M18" s="204"/>
      <c r="N18" s="204" t="s">
        <v>139</v>
      </c>
      <c r="O18" s="204"/>
    </row>
    <row r="19" spans="1:15">
      <c r="A19" s="148">
        <v>44562</v>
      </c>
      <c r="B19" s="176">
        <f>ROUND(C19/(J19*K19),0)</f>
        <v>69142</v>
      </c>
      <c r="C19" s="176">
        <f>ROUND('Forecast 5 Year'!C172*(1+H19),0)</f>
        <v>27143442</v>
      </c>
      <c r="D19" s="173">
        <v>1.1930000000000001</v>
      </c>
      <c r="E19" s="173">
        <v>1.0509999999999999</v>
      </c>
      <c r="F19" s="176">
        <f>ROUND(B19*D19*(1+$I19),0)</f>
        <v>82486</v>
      </c>
      <c r="G19" s="176">
        <f>ROUND(C19*E19*(1+$I19),0)</f>
        <v>28527758</v>
      </c>
      <c r="H19" s="161">
        <v>5.0000000000000001E-3</v>
      </c>
      <c r="I19" s="161">
        <v>0</v>
      </c>
      <c r="J19" s="67">
        <v>0.52765600000000001</v>
      </c>
      <c r="K19">
        <v>744</v>
      </c>
      <c r="L19" s="176">
        <f>MAX(F19:F30)</f>
        <v>82486</v>
      </c>
      <c r="M19" s="169" t="s">
        <v>32</v>
      </c>
      <c r="N19" s="176">
        <f>MAX(F24:F26)</f>
        <v>63973</v>
      </c>
      <c r="O19" t="s">
        <v>37</v>
      </c>
    </row>
    <row r="20" spans="1:15">
      <c r="A20" s="178">
        <f>EDATE(A19,1)</f>
        <v>44593</v>
      </c>
      <c r="B20" s="176">
        <f t="shared" ref="B20:B30" si="0">ROUND(C20/(J20*K20),0)</f>
        <v>73596</v>
      </c>
      <c r="C20" s="176">
        <f>ROUND('Forecast 5 Year'!C173*(1+H20),0)</f>
        <v>27135733</v>
      </c>
      <c r="D20" s="173">
        <v>1.081</v>
      </c>
      <c r="E20" s="173">
        <v>0.88300000000000001</v>
      </c>
      <c r="F20" s="176">
        <f t="shared" ref="F20:G30" si="1">ROUND(B20*D20*(1+$I20),0)</f>
        <v>79557</v>
      </c>
      <c r="G20" s="176">
        <f t="shared" si="1"/>
        <v>23960852</v>
      </c>
      <c r="H20" s="161">
        <v>5.0000000000000001E-3</v>
      </c>
      <c r="I20" s="161">
        <v>0</v>
      </c>
      <c r="J20" s="67">
        <v>0.548678</v>
      </c>
      <c r="K20">
        <v>672</v>
      </c>
    </row>
    <row r="21" spans="1:15">
      <c r="A21" s="148">
        <f t="shared" ref="A21:A30" si="2">EDATE(A20,1)</f>
        <v>44621</v>
      </c>
      <c r="B21" s="176">
        <f t="shared" si="0"/>
        <v>58477</v>
      </c>
      <c r="C21" s="176">
        <f>ROUND('Forecast 5 Year'!C174*(1+H21),0)</f>
        <v>27128767</v>
      </c>
      <c r="D21" s="173">
        <v>0.85499999999999998</v>
      </c>
      <c r="E21" s="173">
        <v>0.88</v>
      </c>
      <c r="F21" s="176">
        <f t="shared" si="1"/>
        <v>49998</v>
      </c>
      <c r="G21" s="176">
        <f t="shared" si="1"/>
        <v>23873315</v>
      </c>
      <c r="H21" s="161">
        <v>5.0000000000000001E-3</v>
      </c>
      <c r="I21" s="161"/>
      <c r="J21" s="67">
        <v>0.62355399999999994</v>
      </c>
      <c r="K21">
        <v>744</v>
      </c>
    </row>
    <row r="22" spans="1:15">
      <c r="A22" s="148">
        <f t="shared" si="2"/>
        <v>44652</v>
      </c>
      <c r="B22" s="176">
        <f t="shared" si="0"/>
        <v>59348</v>
      </c>
      <c r="C22" s="176">
        <f>ROUND('Forecast 5 Year'!C175*(1+H22),0)</f>
        <v>27121058</v>
      </c>
      <c r="D22" s="173">
        <v>0.78700000000000003</v>
      </c>
      <c r="E22" s="173">
        <v>0.81799999999999995</v>
      </c>
      <c r="F22" s="176">
        <f t="shared" si="1"/>
        <v>46707</v>
      </c>
      <c r="G22" s="176">
        <f t="shared" si="1"/>
        <v>22185025</v>
      </c>
      <c r="H22" s="161">
        <v>5.0000000000000001E-3</v>
      </c>
      <c r="I22" s="161"/>
      <c r="J22" s="67">
        <v>0.6347020000000001</v>
      </c>
      <c r="K22">
        <v>720</v>
      </c>
    </row>
    <row r="23" spans="1:15">
      <c r="A23" s="148">
        <f t="shared" si="2"/>
        <v>44682</v>
      </c>
      <c r="B23" s="176">
        <f t="shared" si="0"/>
        <v>59915</v>
      </c>
      <c r="C23" s="176">
        <f>ROUND('Forecast 5 Year'!C176*(1+H23),0)</f>
        <v>27113597</v>
      </c>
      <c r="D23" s="173">
        <v>0.97299999999999998</v>
      </c>
      <c r="E23" s="173">
        <v>1.004</v>
      </c>
      <c r="F23" s="176">
        <f t="shared" si="1"/>
        <v>58297</v>
      </c>
      <c r="G23" s="176">
        <f t="shared" si="1"/>
        <v>27222051</v>
      </c>
      <c r="H23" s="161">
        <v>5.0000000000000001E-3</v>
      </c>
      <c r="I23" s="161"/>
      <c r="J23" s="67">
        <v>0.60824599999999995</v>
      </c>
      <c r="K23">
        <v>744</v>
      </c>
    </row>
    <row r="24" spans="1:15">
      <c r="A24" s="148">
        <f t="shared" si="2"/>
        <v>44713</v>
      </c>
      <c r="B24" s="176">
        <f t="shared" si="0"/>
        <v>59125</v>
      </c>
      <c r="C24" s="176">
        <f>ROUND('Forecast 5 Year'!C177*(1+H24),0)</f>
        <v>27105885</v>
      </c>
      <c r="D24" s="173">
        <v>1.0820000000000001</v>
      </c>
      <c r="E24" s="173">
        <v>1.119</v>
      </c>
      <c r="F24" s="176">
        <f t="shared" si="1"/>
        <v>63973</v>
      </c>
      <c r="G24" s="176">
        <f t="shared" si="1"/>
        <v>30331485</v>
      </c>
      <c r="H24" s="161">
        <v>5.0000000000000001E-3</v>
      </c>
      <c r="I24" s="161">
        <v>0</v>
      </c>
      <c r="J24" s="67">
        <v>0.63674200000000003</v>
      </c>
      <c r="K24">
        <v>720</v>
      </c>
    </row>
    <row r="25" spans="1:15">
      <c r="A25" s="148">
        <f t="shared" si="2"/>
        <v>44743</v>
      </c>
      <c r="B25" s="176">
        <f t="shared" si="0"/>
        <v>55858</v>
      </c>
      <c r="C25" s="176">
        <f>ROUND('Forecast 5 Year'!C178*(1+H25),0)</f>
        <v>27098424</v>
      </c>
      <c r="D25" s="173">
        <v>1.099</v>
      </c>
      <c r="E25" s="173">
        <v>1.202</v>
      </c>
      <c r="F25" s="176">
        <f t="shared" si="1"/>
        <v>61388</v>
      </c>
      <c r="G25" s="176">
        <f t="shared" si="1"/>
        <v>32572306</v>
      </c>
      <c r="H25" s="161">
        <v>5.0000000000000001E-3</v>
      </c>
      <c r="I25" s="161">
        <v>0</v>
      </c>
      <c r="J25" s="67">
        <v>0.65205999999999997</v>
      </c>
      <c r="K25">
        <v>744</v>
      </c>
    </row>
    <row r="26" spans="1:15">
      <c r="A26" s="148">
        <f t="shared" si="2"/>
        <v>44774</v>
      </c>
      <c r="B26" s="176">
        <f t="shared" si="0"/>
        <v>55433</v>
      </c>
      <c r="C26" s="176">
        <f>ROUND('Forecast 5 Year'!C179*(1+H26),0)</f>
        <v>27090714</v>
      </c>
      <c r="D26" s="173">
        <v>1.0940000000000001</v>
      </c>
      <c r="E26" s="173">
        <v>1.2030000000000001</v>
      </c>
      <c r="F26" s="176">
        <f t="shared" si="1"/>
        <v>60644</v>
      </c>
      <c r="G26" s="176">
        <f t="shared" si="1"/>
        <v>32590129</v>
      </c>
      <c r="H26" s="161">
        <v>5.0000000000000001E-3</v>
      </c>
      <c r="I26" s="161">
        <v>0</v>
      </c>
      <c r="J26" s="67">
        <v>0.65687399999999996</v>
      </c>
      <c r="K26">
        <v>744</v>
      </c>
    </row>
    <row r="27" spans="1:15">
      <c r="A27" s="148">
        <f t="shared" si="2"/>
        <v>44805</v>
      </c>
      <c r="B27" s="176">
        <f t="shared" si="0"/>
        <v>61285</v>
      </c>
      <c r="C27" s="176">
        <f>ROUND('Forecast 5 Year'!C180*(1+H27),0)</f>
        <v>27083003</v>
      </c>
      <c r="D27" s="173">
        <v>1.05</v>
      </c>
      <c r="E27" s="173">
        <v>1.0549999999999999</v>
      </c>
      <c r="F27" s="176">
        <f t="shared" si="1"/>
        <v>64349</v>
      </c>
      <c r="G27" s="176">
        <f t="shared" si="1"/>
        <v>28572568</v>
      </c>
      <c r="H27" s="161">
        <v>5.0000000000000001E-3</v>
      </c>
      <c r="I27" s="161"/>
      <c r="J27" s="67">
        <v>0.61377999999999999</v>
      </c>
      <c r="K27">
        <v>720</v>
      </c>
    </row>
    <row r="28" spans="1:15">
      <c r="A28" s="148">
        <f t="shared" si="2"/>
        <v>44835</v>
      </c>
      <c r="B28" s="176">
        <f t="shared" si="0"/>
        <v>58390</v>
      </c>
      <c r="C28" s="176">
        <f>ROUND('Forecast 5 Year'!C181*(1+H28),0)</f>
        <v>27075541</v>
      </c>
      <c r="D28" s="173">
        <v>0.86299999999999999</v>
      </c>
      <c r="E28" s="173">
        <v>0.88600000000000001</v>
      </c>
      <c r="F28" s="176">
        <f t="shared" si="1"/>
        <v>50391</v>
      </c>
      <c r="G28" s="176">
        <f t="shared" si="1"/>
        <v>23988929</v>
      </c>
      <c r="H28" s="161">
        <v>5.0000000000000001E-3</v>
      </c>
      <c r="I28" s="161"/>
      <c r="J28" s="67">
        <v>0.62326000000000004</v>
      </c>
      <c r="K28">
        <v>744</v>
      </c>
    </row>
    <row r="29" spans="1:15">
      <c r="A29" s="148">
        <f t="shared" si="2"/>
        <v>44866</v>
      </c>
      <c r="B29" s="176">
        <f t="shared" si="0"/>
        <v>62892</v>
      </c>
      <c r="C29" s="176">
        <f>ROUND('Forecast 5 Year'!C182*(1+H29),0)</f>
        <v>27067832</v>
      </c>
      <c r="D29" s="173">
        <v>0.93799999999999994</v>
      </c>
      <c r="E29" s="173">
        <v>0.89300000000000002</v>
      </c>
      <c r="F29" s="176">
        <f t="shared" si="1"/>
        <v>58993</v>
      </c>
      <c r="G29" s="176">
        <f t="shared" si="1"/>
        <v>24171574</v>
      </c>
      <c r="H29" s="161">
        <v>5.0000000000000001E-3</v>
      </c>
      <c r="I29" s="161"/>
      <c r="J29" s="67">
        <v>0.59775999999999996</v>
      </c>
      <c r="K29">
        <v>720</v>
      </c>
    </row>
    <row r="30" spans="1:15">
      <c r="A30" s="148">
        <f t="shared" si="2"/>
        <v>44896</v>
      </c>
      <c r="B30" s="177">
        <f t="shared" si="0"/>
        <v>60746</v>
      </c>
      <c r="C30" s="177">
        <f>ROUND('Forecast 5 Year'!C183*(1+H30),0)</f>
        <v>27060371</v>
      </c>
      <c r="D30" s="180">
        <v>0.92900000000000005</v>
      </c>
      <c r="E30" s="180">
        <v>0.95399999999999996</v>
      </c>
      <c r="F30" s="177">
        <f t="shared" si="1"/>
        <v>56433</v>
      </c>
      <c r="G30" s="177">
        <f t="shared" si="1"/>
        <v>25815594</v>
      </c>
      <c r="H30" s="161">
        <v>5.0000000000000001E-3</v>
      </c>
      <c r="I30" s="161">
        <v>0</v>
      </c>
      <c r="J30" s="67">
        <v>0.59874400000000005</v>
      </c>
      <c r="K30">
        <v>744</v>
      </c>
    </row>
    <row r="31" spans="1:15">
      <c r="A31" s="169" t="s">
        <v>128</v>
      </c>
      <c r="B31" s="176">
        <f>SUM(B19:B30)</f>
        <v>734207</v>
      </c>
      <c r="C31" s="176">
        <f>SUM(C19:C30)</f>
        <v>325224367</v>
      </c>
      <c r="D31" s="92" t="s">
        <v>107</v>
      </c>
      <c r="E31" s="92" t="s">
        <v>107</v>
      </c>
      <c r="F31" s="176">
        <f>SUM(F19:F30)</f>
        <v>733216</v>
      </c>
      <c r="G31" s="176">
        <f>SUM(G19:G30)</f>
        <v>323811586</v>
      </c>
    </row>
    <row r="34" spans="1:15">
      <c r="A34" s="216" t="s">
        <v>129</v>
      </c>
      <c r="B34" s="216"/>
      <c r="C34" s="216"/>
      <c r="D34" s="216"/>
      <c r="E34" s="216"/>
      <c r="F34" s="216"/>
      <c r="G34" s="216"/>
    </row>
    <row r="35" spans="1:15">
      <c r="A35" s="216" t="s">
        <v>118</v>
      </c>
      <c r="B35" s="216"/>
      <c r="C35" s="216"/>
      <c r="D35" s="216"/>
      <c r="E35" s="216"/>
      <c r="F35" s="216"/>
      <c r="G35" s="216"/>
    </row>
    <row r="36" spans="1:15">
      <c r="A36" s="170" t="s">
        <v>164</v>
      </c>
      <c r="B36" s="174" t="s">
        <v>161</v>
      </c>
      <c r="C36" s="174" t="s">
        <v>162</v>
      </c>
      <c r="D36" s="173" t="s">
        <v>106</v>
      </c>
      <c r="E36" s="173" t="s">
        <v>106</v>
      </c>
      <c r="F36" s="174" t="s">
        <v>161</v>
      </c>
      <c r="G36" s="174" t="s">
        <v>162</v>
      </c>
      <c r="J36" t="s">
        <v>115</v>
      </c>
      <c r="K36" t="s">
        <v>116</v>
      </c>
      <c r="L36" s="217" t="s">
        <v>160</v>
      </c>
      <c r="M36" s="204"/>
      <c r="N36" s="204" t="s">
        <v>139</v>
      </c>
      <c r="O36" s="204"/>
    </row>
    <row r="37" spans="1:15">
      <c r="A37" s="148">
        <f>EDATE(A30,1)</f>
        <v>44927</v>
      </c>
      <c r="B37" s="176">
        <f>ROUND(C37/(J37*K37),0)</f>
        <v>69488</v>
      </c>
      <c r="C37" s="176">
        <f>ROUND(C19*(1+H37),0)</f>
        <v>27279159</v>
      </c>
      <c r="D37" s="173">
        <v>1.1930000000000001</v>
      </c>
      <c r="E37" s="173">
        <v>1.0509999999999999</v>
      </c>
      <c r="F37" s="176">
        <f>ROUND(B37*D37*(1+$I37),0)</f>
        <v>82899</v>
      </c>
      <c r="G37" s="176">
        <f>ROUND(C37*E37*(1+$I37),0)</f>
        <v>28670396</v>
      </c>
      <c r="H37" s="161">
        <v>5.0000000000000001E-3</v>
      </c>
      <c r="I37" s="161">
        <v>0</v>
      </c>
      <c r="J37" s="67">
        <v>0.52765600000000001</v>
      </c>
      <c r="K37">
        <v>744</v>
      </c>
      <c r="L37" s="176">
        <f>MAX(F37:F48)</f>
        <v>82899</v>
      </c>
      <c r="M37" s="169" t="s">
        <v>32</v>
      </c>
      <c r="N37" s="176">
        <f>MAX(F42:F44)</f>
        <v>64292</v>
      </c>
      <c r="O37" t="s">
        <v>37</v>
      </c>
    </row>
    <row r="38" spans="1:15">
      <c r="A38" s="178">
        <f>EDATE(A37,1)</f>
        <v>44958</v>
      </c>
      <c r="B38" s="176">
        <f t="shared" ref="B38:B48" si="3">ROUND(C38/(J38*K38),0)</f>
        <v>73964</v>
      </c>
      <c r="C38" s="176">
        <f t="shared" ref="C38:C48" si="4">ROUND(C20*(1+H38),0)</f>
        <v>27271412</v>
      </c>
      <c r="D38" s="173">
        <v>1.081</v>
      </c>
      <c r="E38" s="173">
        <v>0.88300000000000001</v>
      </c>
      <c r="F38" s="176">
        <f t="shared" ref="F38:G48" si="5">ROUND(B38*D38*(1+$I38),0)</f>
        <v>79955</v>
      </c>
      <c r="G38" s="176">
        <f t="shared" si="5"/>
        <v>24080657</v>
      </c>
      <c r="H38" s="161">
        <v>5.0000000000000001E-3</v>
      </c>
      <c r="I38" s="161">
        <v>0</v>
      </c>
      <c r="J38" s="67">
        <v>0.548678</v>
      </c>
      <c r="K38">
        <v>672</v>
      </c>
    </row>
    <row r="39" spans="1:15">
      <c r="A39" s="148">
        <f t="shared" ref="A39:A48" si="6">EDATE(A38,1)</f>
        <v>44986</v>
      </c>
      <c r="B39" s="176">
        <f t="shared" si="3"/>
        <v>58769</v>
      </c>
      <c r="C39" s="176">
        <f t="shared" si="4"/>
        <v>27264411</v>
      </c>
      <c r="D39" s="173">
        <v>0.85499999999999998</v>
      </c>
      <c r="E39" s="173">
        <v>0.88</v>
      </c>
      <c r="F39" s="176">
        <f t="shared" si="5"/>
        <v>50247</v>
      </c>
      <c r="G39" s="176">
        <f t="shared" si="5"/>
        <v>23992682</v>
      </c>
      <c r="H39" s="161">
        <v>5.0000000000000001E-3</v>
      </c>
      <c r="I39" s="161"/>
      <c r="J39" s="67">
        <v>0.62355399999999994</v>
      </c>
      <c r="K39">
        <v>744</v>
      </c>
    </row>
    <row r="40" spans="1:15">
      <c r="A40" s="148">
        <f t="shared" si="6"/>
        <v>45017</v>
      </c>
      <c r="B40" s="176">
        <f t="shared" si="3"/>
        <v>59644</v>
      </c>
      <c r="C40" s="176">
        <f t="shared" si="4"/>
        <v>27256663</v>
      </c>
      <c r="D40" s="173">
        <v>0.78700000000000003</v>
      </c>
      <c r="E40" s="173">
        <v>0.81799999999999995</v>
      </c>
      <c r="F40" s="176">
        <f t="shared" si="5"/>
        <v>46940</v>
      </c>
      <c r="G40" s="176">
        <f t="shared" si="5"/>
        <v>22295950</v>
      </c>
      <c r="H40" s="161">
        <v>5.0000000000000001E-3</v>
      </c>
      <c r="I40" s="161"/>
      <c r="J40" s="67">
        <v>0.6347020000000001</v>
      </c>
      <c r="K40">
        <v>720</v>
      </c>
    </row>
    <row r="41" spans="1:15">
      <c r="A41" s="148">
        <f t="shared" si="6"/>
        <v>45047</v>
      </c>
      <c r="B41" s="176">
        <f t="shared" si="3"/>
        <v>60214</v>
      </c>
      <c r="C41" s="176">
        <f t="shared" si="4"/>
        <v>27249165</v>
      </c>
      <c r="D41" s="173">
        <v>0.97299999999999998</v>
      </c>
      <c r="E41" s="173">
        <v>1.004</v>
      </c>
      <c r="F41" s="176">
        <f t="shared" si="5"/>
        <v>58588</v>
      </c>
      <c r="G41" s="176">
        <f t="shared" si="5"/>
        <v>27358162</v>
      </c>
      <c r="H41" s="161">
        <v>5.0000000000000001E-3</v>
      </c>
      <c r="I41" s="161"/>
      <c r="J41" s="67">
        <v>0.60824599999999995</v>
      </c>
      <c r="K41">
        <v>744</v>
      </c>
    </row>
    <row r="42" spans="1:15">
      <c r="A42" s="148">
        <f t="shared" si="6"/>
        <v>45078</v>
      </c>
      <c r="B42" s="176">
        <f t="shared" si="3"/>
        <v>59420</v>
      </c>
      <c r="C42" s="176">
        <f t="shared" si="4"/>
        <v>27241414</v>
      </c>
      <c r="D42" s="173">
        <v>1.0820000000000001</v>
      </c>
      <c r="E42" s="173">
        <v>1.119</v>
      </c>
      <c r="F42" s="176">
        <f t="shared" si="5"/>
        <v>64292</v>
      </c>
      <c r="G42" s="176">
        <f t="shared" si="5"/>
        <v>30483142</v>
      </c>
      <c r="H42" s="161">
        <v>5.0000000000000001E-3</v>
      </c>
      <c r="I42" s="161">
        <v>0</v>
      </c>
      <c r="J42" s="67">
        <v>0.63674200000000003</v>
      </c>
      <c r="K42">
        <v>720</v>
      </c>
    </row>
    <row r="43" spans="1:15">
      <c r="A43" s="148">
        <f t="shared" si="6"/>
        <v>45108</v>
      </c>
      <c r="B43" s="176">
        <f t="shared" si="3"/>
        <v>56137</v>
      </c>
      <c r="C43" s="176">
        <f t="shared" si="4"/>
        <v>27233916</v>
      </c>
      <c r="D43" s="173">
        <v>1.099</v>
      </c>
      <c r="E43" s="173">
        <v>1.202</v>
      </c>
      <c r="F43" s="176">
        <f t="shared" si="5"/>
        <v>61695</v>
      </c>
      <c r="G43" s="176">
        <f t="shared" si="5"/>
        <v>32735167</v>
      </c>
      <c r="H43" s="161">
        <v>5.0000000000000001E-3</v>
      </c>
      <c r="I43" s="161">
        <v>0</v>
      </c>
      <c r="J43" s="67">
        <v>0.65205999999999997</v>
      </c>
      <c r="K43">
        <v>744</v>
      </c>
    </row>
    <row r="44" spans="1:15">
      <c r="A44" s="148">
        <f t="shared" si="6"/>
        <v>45139</v>
      </c>
      <c r="B44" s="176">
        <f t="shared" si="3"/>
        <v>55710</v>
      </c>
      <c r="C44" s="176">
        <f t="shared" si="4"/>
        <v>27226168</v>
      </c>
      <c r="D44" s="173">
        <v>1.0940000000000001</v>
      </c>
      <c r="E44" s="173">
        <v>1.2030000000000001</v>
      </c>
      <c r="F44" s="176">
        <f t="shared" si="5"/>
        <v>60947</v>
      </c>
      <c r="G44" s="176">
        <f t="shared" si="5"/>
        <v>32753080</v>
      </c>
      <c r="H44" s="161">
        <v>5.0000000000000001E-3</v>
      </c>
      <c r="I44" s="161">
        <v>0</v>
      </c>
      <c r="J44" s="67">
        <v>0.65687399999999996</v>
      </c>
      <c r="K44">
        <v>744</v>
      </c>
    </row>
    <row r="45" spans="1:15">
      <c r="A45" s="148">
        <f t="shared" si="6"/>
        <v>45170</v>
      </c>
      <c r="B45" s="176">
        <f t="shared" si="3"/>
        <v>61591</v>
      </c>
      <c r="C45" s="176">
        <f t="shared" si="4"/>
        <v>27218418</v>
      </c>
      <c r="D45" s="173">
        <v>1.05</v>
      </c>
      <c r="E45" s="173">
        <v>1.0549999999999999</v>
      </c>
      <c r="F45" s="176">
        <f t="shared" si="5"/>
        <v>64671</v>
      </c>
      <c r="G45" s="176">
        <f t="shared" si="5"/>
        <v>28715431</v>
      </c>
      <c r="H45" s="161">
        <v>5.0000000000000001E-3</v>
      </c>
      <c r="I45" s="161"/>
      <c r="J45" s="67">
        <v>0.61377999999999999</v>
      </c>
      <c r="K45">
        <v>720</v>
      </c>
    </row>
    <row r="46" spans="1:15">
      <c r="A46" s="148">
        <f t="shared" si="6"/>
        <v>45200</v>
      </c>
      <c r="B46" s="176">
        <f t="shared" si="3"/>
        <v>58681</v>
      </c>
      <c r="C46" s="176">
        <f t="shared" si="4"/>
        <v>27210919</v>
      </c>
      <c r="D46" s="173">
        <v>0.86299999999999999</v>
      </c>
      <c r="E46" s="173">
        <v>0.88600000000000001</v>
      </c>
      <c r="F46" s="176">
        <f t="shared" si="5"/>
        <v>50642</v>
      </c>
      <c r="G46" s="176">
        <f t="shared" si="5"/>
        <v>24108874</v>
      </c>
      <c r="H46" s="161">
        <v>5.0000000000000001E-3</v>
      </c>
      <c r="I46" s="161"/>
      <c r="J46" s="67">
        <v>0.62326000000000004</v>
      </c>
      <c r="K46">
        <v>744</v>
      </c>
    </row>
    <row r="47" spans="1:15">
      <c r="A47" s="148">
        <f t="shared" si="6"/>
        <v>45231</v>
      </c>
      <c r="B47" s="176">
        <f t="shared" si="3"/>
        <v>63206</v>
      </c>
      <c r="C47" s="176">
        <f t="shared" si="4"/>
        <v>27203171</v>
      </c>
      <c r="D47" s="173">
        <v>0.93799999999999994</v>
      </c>
      <c r="E47" s="173">
        <v>0.89300000000000002</v>
      </c>
      <c r="F47" s="176">
        <f t="shared" si="5"/>
        <v>59287</v>
      </c>
      <c r="G47" s="176">
        <f t="shared" si="5"/>
        <v>24292432</v>
      </c>
      <c r="H47" s="161">
        <v>5.0000000000000001E-3</v>
      </c>
      <c r="I47" s="161"/>
      <c r="J47" s="67">
        <v>0.59775999999999996</v>
      </c>
      <c r="K47">
        <v>720</v>
      </c>
    </row>
    <row r="48" spans="1:15">
      <c r="A48" s="148">
        <f t="shared" si="6"/>
        <v>45261</v>
      </c>
      <c r="B48" s="177">
        <f t="shared" si="3"/>
        <v>61050</v>
      </c>
      <c r="C48" s="177">
        <f t="shared" si="4"/>
        <v>27195673</v>
      </c>
      <c r="D48" s="180">
        <v>0.92900000000000005</v>
      </c>
      <c r="E48" s="180">
        <v>0.95399999999999996</v>
      </c>
      <c r="F48" s="177">
        <f t="shared" si="5"/>
        <v>56715</v>
      </c>
      <c r="G48" s="177">
        <f t="shared" si="5"/>
        <v>25944672</v>
      </c>
      <c r="H48" s="161">
        <v>5.0000000000000001E-3</v>
      </c>
      <c r="I48" s="161">
        <v>0</v>
      </c>
      <c r="J48" s="67">
        <v>0.59874400000000005</v>
      </c>
      <c r="K48">
        <v>744</v>
      </c>
    </row>
    <row r="49" spans="1:15">
      <c r="A49" s="169" t="s">
        <v>130</v>
      </c>
      <c r="B49" s="176">
        <f>SUM(B37:B48)</f>
        <v>737874</v>
      </c>
      <c r="C49" s="176">
        <f>SUM(C37:C48)</f>
        <v>326850489</v>
      </c>
      <c r="D49" s="92" t="s">
        <v>107</v>
      </c>
      <c r="E49" s="92" t="s">
        <v>107</v>
      </c>
      <c r="F49" s="176">
        <f>SUM(F37:F48)</f>
        <v>736878</v>
      </c>
      <c r="G49" s="176">
        <f>SUM(G37:G48)</f>
        <v>325430645</v>
      </c>
    </row>
    <row r="52" spans="1:15">
      <c r="A52" s="216" t="s">
        <v>131</v>
      </c>
      <c r="B52" s="216"/>
      <c r="C52" s="216"/>
      <c r="D52" s="216"/>
      <c r="E52" s="216"/>
      <c r="F52" s="216"/>
      <c r="G52" s="216"/>
    </row>
    <row r="53" spans="1:15">
      <c r="A53" s="216" t="s">
        <v>118</v>
      </c>
      <c r="B53" s="216"/>
      <c r="C53" s="216"/>
      <c r="D53" s="216"/>
      <c r="E53" s="216"/>
      <c r="F53" s="216"/>
      <c r="G53" s="216"/>
    </row>
    <row r="54" spans="1:15">
      <c r="A54" s="170"/>
      <c r="B54" s="174" t="s">
        <v>161</v>
      </c>
      <c r="C54" s="174" t="s">
        <v>162</v>
      </c>
      <c r="D54" s="173" t="s">
        <v>106</v>
      </c>
      <c r="E54" s="173" t="s">
        <v>106</v>
      </c>
      <c r="F54" s="174" t="s">
        <v>161</v>
      </c>
      <c r="G54" s="174" t="s">
        <v>162</v>
      </c>
      <c r="J54" t="s">
        <v>115</v>
      </c>
      <c r="K54" t="s">
        <v>116</v>
      </c>
      <c r="L54" s="217" t="s">
        <v>160</v>
      </c>
      <c r="M54" s="204"/>
      <c r="N54" s="204" t="s">
        <v>139</v>
      </c>
      <c r="O54" s="204"/>
    </row>
    <row r="55" spans="1:15">
      <c r="A55" s="148">
        <f>EDATE(A48,1)</f>
        <v>45292</v>
      </c>
      <c r="B55" s="176">
        <f>ROUND(C55/(J55*K55),0)</f>
        <v>69835</v>
      </c>
      <c r="C55" s="176">
        <f>ROUND(C37*(1+H55),0)</f>
        <v>27415555</v>
      </c>
      <c r="D55" s="173">
        <v>1.1930000000000001</v>
      </c>
      <c r="E55" s="173">
        <v>1.0509999999999999</v>
      </c>
      <c r="F55" s="176">
        <f>ROUND(B55*D55*(1+$I55),0)</f>
        <v>83313</v>
      </c>
      <c r="G55" s="176">
        <f>ROUND(C55*E55*(1+$I55),0)</f>
        <v>28813748</v>
      </c>
      <c r="H55" s="161">
        <v>5.0000000000000001E-3</v>
      </c>
      <c r="I55" s="161">
        <v>0</v>
      </c>
      <c r="J55" s="67">
        <v>0.52765600000000001</v>
      </c>
      <c r="K55">
        <v>744</v>
      </c>
      <c r="L55" s="176">
        <f>MAX(F55:F66)</f>
        <v>83313</v>
      </c>
      <c r="M55" s="169" t="s">
        <v>32</v>
      </c>
      <c r="N55" s="176">
        <f>MAX(F60:F62)</f>
        <v>64614</v>
      </c>
      <c r="O55" t="s">
        <v>37</v>
      </c>
    </row>
    <row r="56" spans="1:15">
      <c r="A56" s="178">
        <f>EDATE(A55,1)</f>
        <v>45323</v>
      </c>
      <c r="B56" s="176">
        <f t="shared" ref="B56:B66" si="7">ROUND(C56/(J56*K56),0)</f>
        <v>74334</v>
      </c>
      <c r="C56" s="176">
        <f t="shared" ref="C56:C66" si="8">ROUND(C38*(1+H56),0)</f>
        <v>27407769</v>
      </c>
      <c r="D56" s="173">
        <v>1.081</v>
      </c>
      <c r="E56" s="173">
        <v>0.88300000000000001</v>
      </c>
      <c r="F56" s="176">
        <f t="shared" ref="F56:G66" si="9">ROUND(B56*D56*(1+$I56),0)</f>
        <v>80355</v>
      </c>
      <c r="G56" s="176">
        <f t="shared" si="9"/>
        <v>24201060</v>
      </c>
      <c r="H56" s="161">
        <v>5.0000000000000001E-3</v>
      </c>
      <c r="I56" s="161">
        <v>0</v>
      </c>
      <c r="J56" s="67">
        <v>0.548678</v>
      </c>
      <c r="K56">
        <v>672</v>
      </c>
    </row>
    <row r="57" spans="1:15">
      <c r="A57" s="148">
        <f t="shared" ref="A57:A66" si="10">EDATE(A56,1)</f>
        <v>45352</v>
      </c>
      <c r="B57" s="176">
        <f t="shared" si="7"/>
        <v>59063</v>
      </c>
      <c r="C57" s="176">
        <f t="shared" si="8"/>
        <v>27400733</v>
      </c>
      <c r="D57" s="173">
        <v>0.85499999999999998</v>
      </c>
      <c r="E57" s="173">
        <v>0.88</v>
      </c>
      <c r="F57" s="176">
        <f t="shared" si="9"/>
        <v>50499</v>
      </c>
      <c r="G57" s="176">
        <f t="shared" si="9"/>
        <v>24112645</v>
      </c>
      <c r="H57" s="161">
        <v>5.0000000000000001E-3</v>
      </c>
      <c r="I57" s="161"/>
      <c r="J57" s="67">
        <v>0.62355399999999994</v>
      </c>
      <c r="K57">
        <v>744</v>
      </c>
    </row>
    <row r="58" spans="1:15">
      <c r="A58" s="148">
        <f t="shared" si="10"/>
        <v>45383</v>
      </c>
      <c r="B58" s="176">
        <f t="shared" si="7"/>
        <v>59943</v>
      </c>
      <c r="C58" s="176">
        <f t="shared" si="8"/>
        <v>27392946</v>
      </c>
      <c r="D58" s="173">
        <v>0.78700000000000003</v>
      </c>
      <c r="E58" s="173">
        <v>0.81799999999999995</v>
      </c>
      <c r="F58" s="176">
        <f t="shared" si="9"/>
        <v>47175</v>
      </c>
      <c r="G58" s="176">
        <f t="shared" si="9"/>
        <v>22407430</v>
      </c>
      <c r="H58" s="161">
        <v>5.0000000000000001E-3</v>
      </c>
      <c r="I58" s="161"/>
      <c r="J58" s="67">
        <v>0.6347020000000001</v>
      </c>
      <c r="K58">
        <v>720</v>
      </c>
    </row>
    <row r="59" spans="1:15">
      <c r="A59" s="148">
        <f t="shared" si="10"/>
        <v>45413</v>
      </c>
      <c r="B59" s="176">
        <f t="shared" si="7"/>
        <v>60516</v>
      </c>
      <c r="C59" s="176">
        <f t="shared" si="8"/>
        <v>27385411</v>
      </c>
      <c r="D59" s="173">
        <v>0.97299999999999998</v>
      </c>
      <c r="E59" s="173">
        <v>1.004</v>
      </c>
      <c r="F59" s="176">
        <f t="shared" si="9"/>
        <v>58882</v>
      </c>
      <c r="G59" s="176">
        <f t="shared" si="9"/>
        <v>27494953</v>
      </c>
      <c r="H59" s="161">
        <v>5.0000000000000001E-3</v>
      </c>
      <c r="I59" s="161"/>
      <c r="J59" s="67">
        <v>0.60824599999999995</v>
      </c>
      <c r="K59">
        <v>744</v>
      </c>
    </row>
    <row r="60" spans="1:15">
      <c r="A60" s="148">
        <f t="shared" si="10"/>
        <v>45444</v>
      </c>
      <c r="B60" s="176">
        <f t="shared" si="7"/>
        <v>59717</v>
      </c>
      <c r="C60" s="176">
        <f t="shared" si="8"/>
        <v>27377621</v>
      </c>
      <c r="D60" s="173">
        <v>1.0820000000000001</v>
      </c>
      <c r="E60" s="173">
        <v>1.119</v>
      </c>
      <c r="F60" s="176">
        <f t="shared" si="9"/>
        <v>64614</v>
      </c>
      <c r="G60" s="176">
        <f t="shared" si="9"/>
        <v>30635558</v>
      </c>
      <c r="H60" s="161">
        <v>5.0000000000000001E-3</v>
      </c>
      <c r="I60" s="161">
        <v>0</v>
      </c>
      <c r="J60" s="67">
        <v>0.63674200000000003</v>
      </c>
      <c r="K60">
        <v>720</v>
      </c>
    </row>
    <row r="61" spans="1:15">
      <c r="A61" s="148">
        <f t="shared" si="10"/>
        <v>45474</v>
      </c>
      <c r="B61" s="176">
        <f t="shared" si="7"/>
        <v>56418</v>
      </c>
      <c r="C61" s="176">
        <f t="shared" si="8"/>
        <v>27370086</v>
      </c>
      <c r="D61" s="173">
        <v>1.099</v>
      </c>
      <c r="E61" s="173">
        <v>1.202</v>
      </c>
      <c r="F61" s="176">
        <f t="shared" si="9"/>
        <v>62003</v>
      </c>
      <c r="G61" s="176">
        <f t="shared" si="9"/>
        <v>32898843</v>
      </c>
      <c r="H61" s="161">
        <v>5.0000000000000001E-3</v>
      </c>
      <c r="I61" s="161">
        <v>0</v>
      </c>
      <c r="J61" s="67">
        <v>0.65205999999999997</v>
      </c>
      <c r="K61">
        <v>744</v>
      </c>
    </row>
    <row r="62" spans="1:15">
      <c r="A62" s="148">
        <f t="shared" si="10"/>
        <v>45505</v>
      </c>
      <c r="B62" s="176">
        <f t="shared" si="7"/>
        <v>55988</v>
      </c>
      <c r="C62" s="176">
        <f t="shared" si="8"/>
        <v>27362299</v>
      </c>
      <c r="D62" s="173">
        <v>1.0940000000000001</v>
      </c>
      <c r="E62" s="173">
        <v>1.2030000000000001</v>
      </c>
      <c r="F62" s="176">
        <f t="shared" si="9"/>
        <v>61251</v>
      </c>
      <c r="G62" s="176">
        <f t="shared" si="9"/>
        <v>32916846</v>
      </c>
      <c r="H62" s="161">
        <v>5.0000000000000001E-3</v>
      </c>
      <c r="I62" s="161">
        <v>0</v>
      </c>
      <c r="J62" s="67">
        <v>0.65687399999999996</v>
      </c>
      <c r="K62">
        <v>744</v>
      </c>
    </row>
    <row r="63" spans="1:15">
      <c r="A63" s="148">
        <f t="shared" si="10"/>
        <v>45536</v>
      </c>
      <c r="B63" s="176">
        <f t="shared" si="7"/>
        <v>61899</v>
      </c>
      <c r="C63" s="176">
        <f t="shared" si="8"/>
        <v>27354510</v>
      </c>
      <c r="D63" s="173">
        <v>1.05</v>
      </c>
      <c r="E63" s="173">
        <v>1.0549999999999999</v>
      </c>
      <c r="F63" s="176">
        <f t="shared" si="9"/>
        <v>64994</v>
      </c>
      <c r="G63" s="176">
        <f t="shared" si="9"/>
        <v>28859008</v>
      </c>
      <c r="H63" s="161">
        <v>5.0000000000000001E-3</v>
      </c>
      <c r="I63" s="161"/>
      <c r="J63" s="67">
        <v>0.61377999999999999</v>
      </c>
      <c r="K63">
        <v>720</v>
      </c>
    </row>
    <row r="64" spans="1:15">
      <c r="A64" s="148">
        <f t="shared" si="10"/>
        <v>45566</v>
      </c>
      <c r="B64" s="176">
        <f t="shared" si="7"/>
        <v>58975</v>
      </c>
      <c r="C64" s="176">
        <f t="shared" si="8"/>
        <v>27346974</v>
      </c>
      <c r="D64" s="173">
        <v>0.86299999999999999</v>
      </c>
      <c r="E64" s="173">
        <v>0.88600000000000001</v>
      </c>
      <c r="F64" s="176">
        <f t="shared" si="9"/>
        <v>50895</v>
      </c>
      <c r="G64" s="176">
        <f t="shared" si="9"/>
        <v>24229419</v>
      </c>
      <c r="H64" s="161">
        <v>5.0000000000000001E-3</v>
      </c>
      <c r="I64" s="161"/>
      <c r="J64" s="67">
        <v>0.62326000000000004</v>
      </c>
      <c r="K64">
        <v>744</v>
      </c>
    </row>
    <row r="65" spans="1:15">
      <c r="A65" s="148">
        <f t="shared" si="10"/>
        <v>45597</v>
      </c>
      <c r="B65" s="176">
        <f t="shared" si="7"/>
        <v>63522</v>
      </c>
      <c r="C65" s="176">
        <f t="shared" si="8"/>
        <v>27339187</v>
      </c>
      <c r="D65" s="173">
        <v>0.93799999999999994</v>
      </c>
      <c r="E65" s="173">
        <v>0.89300000000000002</v>
      </c>
      <c r="F65" s="176">
        <f t="shared" si="9"/>
        <v>59584</v>
      </c>
      <c r="G65" s="176">
        <f t="shared" si="9"/>
        <v>24413894</v>
      </c>
      <c r="H65" s="161">
        <v>5.0000000000000001E-3</v>
      </c>
      <c r="I65" s="161"/>
      <c r="J65" s="67">
        <v>0.59775999999999996</v>
      </c>
      <c r="K65">
        <v>720</v>
      </c>
    </row>
    <row r="66" spans="1:15">
      <c r="A66" s="148">
        <f t="shared" si="10"/>
        <v>45627</v>
      </c>
      <c r="B66" s="177">
        <f t="shared" si="7"/>
        <v>61355</v>
      </c>
      <c r="C66" s="177">
        <f t="shared" si="8"/>
        <v>27331651</v>
      </c>
      <c r="D66" s="180">
        <v>0.92900000000000005</v>
      </c>
      <c r="E66" s="180">
        <v>0.95399999999999996</v>
      </c>
      <c r="F66" s="177">
        <f t="shared" si="9"/>
        <v>56999</v>
      </c>
      <c r="G66" s="177">
        <f t="shared" si="9"/>
        <v>26074395</v>
      </c>
      <c r="H66" s="161">
        <v>5.0000000000000001E-3</v>
      </c>
      <c r="I66" s="161">
        <v>0</v>
      </c>
      <c r="J66" s="67">
        <v>0.59874400000000005</v>
      </c>
      <c r="K66">
        <v>744</v>
      </c>
    </row>
    <row r="67" spans="1:15">
      <c r="A67" s="169" t="s">
        <v>132</v>
      </c>
      <c r="B67" s="176">
        <f>SUM(B55:B66)</f>
        <v>741565</v>
      </c>
      <c r="C67" s="176">
        <f>SUM(C55:C66)</f>
        <v>328484742</v>
      </c>
      <c r="D67" s="92" t="s">
        <v>107</v>
      </c>
      <c r="E67" s="92" t="s">
        <v>107</v>
      </c>
      <c r="F67" s="176">
        <f>SUM(F55:F66)</f>
        <v>740564</v>
      </c>
      <c r="G67" s="176">
        <f>SUM(G55:G66)</f>
        <v>327057799</v>
      </c>
    </row>
    <row r="70" spans="1:15">
      <c r="A70" s="216" t="s">
        <v>152</v>
      </c>
      <c r="B70" s="216"/>
      <c r="C70" s="216"/>
      <c r="D70" s="216"/>
      <c r="E70" s="216"/>
      <c r="F70" s="216"/>
      <c r="G70" s="216"/>
    </row>
    <row r="71" spans="1:15">
      <c r="A71" s="216" t="s">
        <v>118</v>
      </c>
      <c r="B71" s="216"/>
      <c r="C71" s="216"/>
      <c r="D71" s="216"/>
      <c r="E71" s="216"/>
      <c r="F71" s="216"/>
      <c r="G71" s="216"/>
    </row>
    <row r="72" spans="1:15">
      <c r="A72" s="170"/>
      <c r="B72" s="174" t="s">
        <v>161</v>
      </c>
      <c r="C72" s="174" t="s">
        <v>162</v>
      </c>
      <c r="D72" s="173" t="s">
        <v>106</v>
      </c>
      <c r="E72" s="173" t="s">
        <v>106</v>
      </c>
      <c r="F72" s="174" t="s">
        <v>161</v>
      </c>
      <c r="G72" s="174" t="s">
        <v>162</v>
      </c>
      <c r="J72" t="s">
        <v>115</v>
      </c>
      <c r="K72" t="s">
        <v>116</v>
      </c>
      <c r="L72" s="217" t="s">
        <v>160</v>
      </c>
      <c r="M72" s="204"/>
      <c r="N72" s="204" t="s">
        <v>139</v>
      </c>
      <c r="O72" s="204"/>
    </row>
    <row r="73" spans="1:15">
      <c r="A73" s="148">
        <f>EDATE(A66,1)</f>
        <v>45658</v>
      </c>
      <c r="B73" s="176">
        <f>ROUND(C73/(J73*K73),0)</f>
        <v>70184</v>
      </c>
      <c r="C73" s="176">
        <f>ROUND(C55*(1+H73),0)</f>
        <v>27552633</v>
      </c>
      <c r="D73" s="173">
        <v>1.1930000000000001</v>
      </c>
      <c r="E73" s="173">
        <v>1.0509999999999999</v>
      </c>
      <c r="F73" s="176">
        <f>ROUND(B73*D73*(1+$I73),0)</f>
        <v>83730</v>
      </c>
      <c r="G73" s="176">
        <f>ROUND(C73*E73*(1+$I73),0)</f>
        <v>28957817</v>
      </c>
      <c r="H73" s="161">
        <v>5.0000000000000001E-3</v>
      </c>
      <c r="I73" s="161">
        <v>0</v>
      </c>
      <c r="J73" s="67">
        <v>0.52765600000000001</v>
      </c>
      <c r="K73">
        <v>744</v>
      </c>
      <c r="L73" s="176">
        <f>MAX(F73:F84)</f>
        <v>83730</v>
      </c>
      <c r="M73" s="169" t="s">
        <v>32</v>
      </c>
      <c r="N73" s="176">
        <f>MAX(F78:F80)</f>
        <v>64937</v>
      </c>
      <c r="O73" t="s">
        <v>37</v>
      </c>
    </row>
    <row r="74" spans="1:15">
      <c r="A74" s="178">
        <f>EDATE(A73,1)</f>
        <v>45689</v>
      </c>
      <c r="B74" s="176">
        <f t="shared" ref="B74:B84" si="11">ROUND(C74/(J74*K74),0)</f>
        <v>74706</v>
      </c>
      <c r="C74" s="176">
        <f t="shared" ref="C74:C84" si="12">ROUND(C56*(1+H74),0)</f>
        <v>27544808</v>
      </c>
      <c r="D74" s="173">
        <v>1.081</v>
      </c>
      <c r="E74" s="173">
        <v>0.88300000000000001</v>
      </c>
      <c r="F74" s="176">
        <f t="shared" ref="F74:G84" si="13">ROUND(B74*D74*(1+$I74),0)</f>
        <v>80757</v>
      </c>
      <c r="G74" s="176">
        <f t="shared" si="13"/>
        <v>24322065</v>
      </c>
      <c r="H74" s="161">
        <v>5.0000000000000001E-3</v>
      </c>
      <c r="I74" s="161">
        <v>0</v>
      </c>
      <c r="J74" s="67">
        <v>0.548678</v>
      </c>
      <c r="K74">
        <v>672</v>
      </c>
    </row>
    <row r="75" spans="1:15">
      <c r="A75" s="148">
        <f t="shared" ref="A75:A84" si="14">EDATE(A74,1)</f>
        <v>45717</v>
      </c>
      <c r="B75" s="176">
        <f t="shared" si="11"/>
        <v>59358</v>
      </c>
      <c r="C75" s="176">
        <f t="shared" si="12"/>
        <v>27537737</v>
      </c>
      <c r="D75" s="173">
        <v>0.85499999999999998</v>
      </c>
      <c r="E75" s="173">
        <v>0.88</v>
      </c>
      <c r="F75" s="176">
        <f t="shared" si="13"/>
        <v>50751</v>
      </c>
      <c r="G75" s="176">
        <f t="shared" si="13"/>
        <v>24233209</v>
      </c>
      <c r="H75" s="161">
        <v>5.0000000000000001E-3</v>
      </c>
      <c r="I75" s="161"/>
      <c r="J75" s="67">
        <v>0.62355399999999994</v>
      </c>
      <c r="K75">
        <v>744</v>
      </c>
    </row>
    <row r="76" spans="1:15">
      <c r="A76" s="148">
        <f t="shared" si="14"/>
        <v>45748</v>
      </c>
      <c r="B76" s="176">
        <f t="shared" si="11"/>
        <v>60242</v>
      </c>
      <c r="C76" s="176">
        <f t="shared" si="12"/>
        <v>27529911</v>
      </c>
      <c r="D76" s="173">
        <v>0.78700000000000003</v>
      </c>
      <c r="E76" s="173">
        <v>0.81799999999999995</v>
      </c>
      <c r="F76" s="176">
        <f t="shared" si="13"/>
        <v>47410</v>
      </c>
      <c r="G76" s="176">
        <f t="shared" si="13"/>
        <v>22519467</v>
      </c>
      <c r="H76" s="161">
        <v>5.0000000000000001E-3</v>
      </c>
      <c r="I76" s="161"/>
      <c r="J76" s="67">
        <v>0.6347020000000001</v>
      </c>
      <c r="K76">
        <v>720</v>
      </c>
    </row>
    <row r="77" spans="1:15">
      <c r="A77" s="148">
        <f t="shared" si="14"/>
        <v>45778</v>
      </c>
      <c r="B77" s="176">
        <f t="shared" si="11"/>
        <v>60818</v>
      </c>
      <c r="C77" s="176">
        <f t="shared" si="12"/>
        <v>27522338</v>
      </c>
      <c r="D77" s="173">
        <v>0.97299999999999998</v>
      </c>
      <c r="E77" s="173">
        <v>1.004</v>
      </c>
      <c r="F77" s="176">
        <f t="shared" si="13"/>
        <v>59176</v>
      </c>
      <c r="G77" s="176">
        <f t="shared" si="13"/>
        <v>27632427</v>
      </c>
      <c r="H77" s="161">
        <v>5.0000000000000001E-3</v>
      </c>
      <c r="I77" s="161"/>
      <c r="J77" s="67">
        <v>0.60824599999999995</v>
      </c>
      <c r="K77">
        <v>744</v>
      </c>
    </row>
    <row r="78" spans="1:15">
      <c r="A78" s="148">
        <f t="shared" si="14"/>
        <v>45809</v>
      </c>
      <c r="B78" s="176">
        <f t="shared" si="11"/>
        <v>60016</v>
      </c>
      <c r="C78" s="176">
        <f t="shared" si="12"/>
        <v>27514509</v>
      </c>
      <c r="D78" s="173">
        <v>1.0820000000000001</v>
      </c>
      <c r="E78" s="173">
        <v>1.119</v>
      </c>
      <c r="F78" s="176">
        <f t="shared" si="13"/>
        <v>64937</v>
      </c>
      <c r="G78" s="176">
        <f t="shared" si="13"/>
        <v>30788736</v>
      </c>
      <c r="H78" s="161">
        <v>5.0000000000000001E-3</v>
      </c>
      <c r="I78" s="161">
        <v>0</v>
      </c>
      <c r="J78" s="67">
        <v>0.63674200000000003</v>
      </c>
      <c r="K78">
        <v>720</v>
      </c>
    </row>
    <row r="79" spans="1:15">
      <c r="A79" s="148">
        <f t="shared" si="14"/>
        <v>45839</v>
      </c>
      <c r="B79" s="176">
        <f t="shared" si="11"/>
        <v>56700</v>
      </c>
      <c r="C79" s="176">
        <f t="shared" si="12"/>
        <v>27506936</v>
      </c>
      <c r="D79" s="173">
        <v>1.099</v>
      </c>
      <c r="E79" s="173">
        <v>1.202</v>
      </c>
      <c r="F79" s="176">
        <f t="shared" si="13"/>
        <v>62313</v>
      </c>
      <c r="G79" s="176">
        <f t="shared" si="13"/>
        <v>33063337</v>
      </c>
      <c r="H79" s="161">
        <v>5.0000000000000001E-3</v>
      </c>
      <c r="I79" s="161">
        <v>0</v>
      </c>
      <c r="J79" s="67">
        <v>0.65205999999999997</v>
      </c>
      <c r="K79">
        <v>744</v>
      </c>
    </row>
    <row r="80" spans="1:15">
      <c r="A80" s="148">
        <f t="shared" si="14"/>
        <v>45870</v>
      </c>
      <c r="B80" s="176">
        <f t="shared" si="11"/>
        <v>56268</v>
      </c>
      <c r="C80" s="176">
        <f t="shared" si="12"/>
        <v>27499110</v>
      </c>
      <c r="D80" s="173">
        <v>1.0940000000000001</v>
      </c>
      <c r="E80" s="173">
        <v>1.2030000000000001</v>
      </c>
      <c r="F80" s="176">
        <f t="shared" si="13"/>
        <v>61557</v>
      </c>
      <c r="G80" s="176">
        <f t="shared" si="13"/>
        <v>33081429</v>
      </c>
      <c r="H80" s="161">
        <v>5.0000000000000001E-3</v>
      </c>
      <c r="I80" s="161">
        <v>0</v>
      </c>
      <c r="J80" s="67">
        <v>0.65687399999999996</v>
      </c>
      <c r="K80">
        <v>744</v>
      </c>
    </row>
    <row r="81" spans="1:15">
      <c r="A81" s="148">
        <f t="shared" si="14"/>
        <v>45901</v>
      </c>
      <c r="B81" s="176">
        <f t="shared" si="11"/>
        <v>62209</v>
      </c>
      <c r="C81" s="176">
        <f t="shared" si="12"/>
        <v>27491283</v>
      </c>
      <c r="D81" s="173">
        <v>1.05</v>
      </c>
      <c r="E81" s="173">
        <v>1.0549999999999999</v>
      </c>
      <c r="F81" s="176">
        <f t="shared" si="13"/>
        <v>65319</v>
      </c>
      <c r="G81" s="176">
        <f t="shared" si="13"/>
        <v>29003304</v>
      </c>
      <c r="H81" s="161">
        <v>5.0000000000000001E-3</v>
      </c>
      <c r="I81" s="161"/>
      <c r="J81" s="67">
        <v>0.61377999999999999</v>
      </c>
      <c r="K81">
        <v>720</v>
      </c>
    </row>
    <row r="82" spans="1:15">
      <c r="A82" s="148">
        <f t="shared" si="14"/>
        <v>45931</v>
      </c>
      <c r="B82" s="176">
        <f t="shared" si="11"/>
        <v>59270</v>
      </c>
      <c r="C82" s="176">
        <f t="shared" si="12"/>
        <v>27483709</v>
      </c>
      <c r="D82" s="173">
        <v>0.86299999999999999</v>
      </c>
      <c r="E82" s="173">
        <v>0.88600000000000001</v>
      </c>
      <c r="F82" s="176">
        <f t="shared" si="13"/>
        <v>51150</v>
      </c>
      <c r="G82" s="176">
        <f t="shared" si="13"/>
        <v>24350566</v>
      </c>
      <c r="H82" s="161">
        <v>5.0000000000000001E-3</v>
      </c>
      <c r="I82" s="161"/>
      <c r="J82" s="67">
        <v>0.62326000000000004</v>
      </c>
      <c r="K82">
        <v>744</v>
      </c>
    </row>
    <row r="83" spans="1:15">
      <c r="A83" s="148">
        <f t="shared" si="14"/>
        <v>45962</v>
      </c>
      <c r="B83" s="176">
        <f t="shared" si="11"/>
        <v>63840</v>
      </c>
      <c r="C83" s="176">
        <f t="shared" si="12"/>
        <v>27475883</v>
      </c>
      <c r="D83" s="173">
        <v>0.93799999999999994</v>
      </c>
      <c r="E83" s="173">
        <v>0.89300000000000002</v>
      </c>
      <c r="F83" s="176">
        <f t="shared" si="13"/>
        <v>59882</v>
      </c>
      <c r="G83" s="176">
        <f t="shared" si="13"/>
        <v>24535964</v>
      </c>
      <c r="H83" s="161">
        <v>5.0000000000000001E-3</v>
      </c>
      <c r="I83" s="161"/>
      <c r="J83" s="67">
        <v>0.59775999999999996</v>
      </c>
      <c r="K83">
        <v>720</v>
      </c>
    </row>
    <row r="84" spans="1:15">
      <c r="A84" s="148">
        <f t="shared" si="14"/>
        <v>45992</v>
      </c>
      <c r="B84" s="177">
        <f t="shared" si="11"/>
        <v>61662</v>
      </c>
      <c r="C84" s="177">
        <f t="shared" si="12"/>
        <v>27468309</v>
      </c>
      <c r="D84" s="180">
        <v>0.92900000000000005</v>
      </c>
      <c r="E84" s="180">
        <v>0.95399999999999996</v>
      </c>
      <c r="F84" s="177">
        <f t="shared" si="13"/>
        <v>57284</v>
      </c>
      <c r="G84" s="177">
        <f t="shared" si="13"/>
        <v>26204767</v>
      </c>
      <c r="H84" s="161">
        <v>5.0000000000000001E-3</v>
      </c>
      <c r="I84" s="161">
        <v>0</v>
      </c>
      <c r="J84" s="67">
        <v>0.59874400000000005</v>
      </c>
      <c r="K84">
        <v>744</v>
      </c>
    </row>
    <row r="85" spans="1:15">
      <c r="A85" s="169" t="s">
        <v>153</v>
      </c>
      <c r="B85" s="176">
        <f>SUM(B73:B84)</f>
        <v>745273</v>
      </c>
      <c r="C85" s="176">
        <f>SUM(C73:C84)</f>
        <v>330127166</v>
      </c>
      <c r="D85" s="92" t="s">
        <v>107</v>
      </c>
      <c r="E85" s="92" t="s">
        <v>107</v>
      </c>
      <c r="F85" s="176">
        <f>SUM(F73:F84)</f>
        <v>744266</v>
      </c>
      <c r="G85" s="176">
        <f>SUM(G73:G84)</f>
        <v>328693088</v>
      </c>
    </row>
    <row r="88" spans="1:15">
      <c r="A88" s="216" t="s">
        <v>165</v>
      </c>
      <c r="B88" s="216"/>
      <c r="C88" s="216"/>
      <c r="D88" s="216"/>
      <c r="E88" s="216"/>
      <c r="F88" s="216"/>
      <c r="G88" s="216"/>
    </row>
    <row r="89" spans="1:15">
      <c r="A89" s="216" t="s">
        <v>118</v>
      </c>
      <c r="B89" s="216"/>
      <c r="C89" s="216"/>
      <c r="D89" s="216"/>
      <c r="E89" s="216"/>
      <c r="F89" s="216"/>
      <c r="G89" s="216"/>
    </row>
    <row r="90" spans="1:15">
      <c r="A90" s="170"/>
      <c r="B90" s="174" t="s">
        <v>161</v>
      </c>
      <c r="C90" s="174" t="s">
        <v>162</v>
      </c>
      <c r="D90" s="173" t="s">
        <v>106</v>
      </c>
      <c r="E90" s="173" t="s">
        <v>106</v>
      </c>
      <c r="F90" s="174" t="s">
        <v>161</v>
      </c>
      <c r="G90" s="174" t="s">
        <v>162</v>
      </c>
      <c r="J90" t="s">
        <v>115</v>
      </c>
      <c r="K90" t="s">
        <v>116</v>
      </c>
      <c r="L90" s="217" t="s">
        <v>160</v>
      </c>
      <c r="M90" s="204"/>
      <c r="N90" s="204" t="s">
        <v>139</v>
      </c>
      <c r="O90" s="204"/>
    </row>
    <row r="91" spans="1:15">
      <c r="A91" s="148">
        <f>EDATE(A84,1)</f>
        <v>46023</v>
      </c>
      <c r="B91" s="176">
        <f>ROUND(C91/(J91*K91),0)</f>
        <v>70535</v>
      </c>
      <c r="C91" s="176">
        <f>ROUND(C73*(1+H91),0)</f>
        <v>27690396</v>
      </c>
      <c r="D91" s="173">
        <v>1.1930000000000001</v>
      </c>
      <c r="E91" s="173">
        <v>1.0509999999999999</v>
      </c>
      <c r="F91" s="176">
        <f>ROUND(B91*D91*(1+$I91),0)</f>
        <v>84148</v>
      </c>
      <c r="G91" s="176">
        <f>ROUND(C91*E91*(1+$I91),0)</f>
        <v>29102606</v>
      </c>
      <c r="H91" s="161">
        <v>5.0000000000000001E-3</v>
      </c>
      <c r="I91" s="161">
        <v>0</v>
      </c>
      <c r="J91" s="67">
        <v>0.52765600000000001</v>
      </c>
      <c r="K91">
        <v>744</v>
      </c>
      <c r="L91" s="176">
        <f>MAX(F91:F102)</f>
        <v>84148</v>
      </c>
      <c r="M91" s="169" t="s">
        <v>32</v>
      </c>
      <c r="N91" s="176">
        <f>MAX(F96:F98)</f>
        <v>65262</v>
      </c>
      <c r="O91" t="s">
        <v>37</v>
      </c>
    </row>
    <row r="92" spans="1:15">
      <c r="A92" s="178">
        <f>EDATE(A91,1)</f>
        <v>46054</v>
      </c>
      <c r="B92" s="176">
        <f t="shared" ref="B92:B102" si="15">ROUND(C92/(J92*K92),0)</f>
        <v>75079</v>
      </c>
      <c r="C92" s="176">
        <f t="shared" ref="C92:C102" si="16">ROUND(C74*(1+H92),0)</f>
        <v>27682532</v>
      </c>
      <c r="D92" s="173">
        <v>1.081</v>
      </c>
      <c r="E92" s="173">
        <v>0.88300000000000001</v>
      </c>
      <c r="F92" s="176">
        <f t="shared" ref="F92:G102" si="17">ROUND(B92*D92*(1+$I92),0)</f>
        <v>81160</v>
      </c>
      <c r="G92" s="176">
        <f t="shared" si="17"/>
        <v>24443676</v>
      </c>
      <c r="H92" s="161">
        <v>5.0000000000000001E-3</v>
      </c>
      <c r="I92" s="161">
        <v>0</v>
      </c>
      <c r="J92" s="67">
        <v>0.548678</v>
      </c>
      <c r="K92">
        <v>672</v>
      </c>
    </row>
    <row r="93" spans="1:15">
      <c r="A93" s="148">
        <f t="shared" ref="A93:A102" si="18">EDATE(A92,1)</f>
        <v>46082</v>
      </c>
      <c r="B93" s="176">
        <f t="shared" si="15"/>
        <v>59655</v>
      </c>
      <c r="C93" s="176">
        <f t="shared" si="16"/>
        <v>27675426</v>
      </c>
      <c r="D93" s="173">
        <v>0.85499999999999998</v>
      </c>
      <c r="E93" s="173">
        <v>0.88</v>
      </c>
      <c r="F93" s="176">
        <f t="shared" si="17"/>
        <v>51005</v>
      </c>
      <c r="G93" s="176">
        <f t="shared" si="17"/>
        <v>24354375</v>
      </c>
      <c r="H93" s="161">
        <v>5.0000000000000001E-3</v>
      </c>
      <c r="I93" s="161"/>
      <c r="J93" s="67">
        <v>0.62355399999999994</v>
      </c>
      <c r="K93">
        <v>744</v>
      </c>
    </row>
    <row r="94" spans="1:15">
      <c r="A94" s="148">
        <f t="shared" si="18"/>
        <v>46113</v>
      </c>
      <c r="B94" s="176">
        <f t="shared" si="15"/>
        <v>60544</v>
      </c>
      <c r="C94" s="176">
        <f t="shared" si="16"/>
        <v>27667561</v>
      </c>
      <c r="D94" s="173">
        <v>0.78700000000000003</v>
      </c>
      <c r="E94" s="173">
        <v>0.81799999999999995</v>
      </c>
      <c r="F94" s="176">
        <f t="shared" si="17"/>
        <v>47648</v>
      </c>
      <c r="G94" s="176">
        <f t="shared" si="17"/>
        <v>22632065</v>
      </c>
      <c r="H94" s="161">
        <v>5.0000000000000001E-3</v>
      </c>
      <c r="I94" s="161"/>
      <c r="J94" s="67">
        <v>0.6347020000000001</v>
      </c>
      <c r="K94">
        <v>720</v>
      </c>
    </row>
    <row r="95" spans="1:15">
      <c r="A95" s="148">
        <f t="shared" si="18"/>
        <v>46143</v>
      </c>
      <c r="B95" s="176">
        <f t="shared" si="15"/>
        <v>61122</v>
      </c>
      <c r="C95" s="176">
        <f t="shared" si="16"/>
        <v>27659950</v>
      </c>
      <c r="D95" s="173">
        <v>0.97299999999999998</v>
      </c>
      <c r="E95" s="173">
        <v>1.004</v>
      </c>
      <c r="F95" s="176">
        <f t="shared" si="17"/>
        <v>59472</v>
      </c>
      <c r="G95" s="176">
        <f t="shared" si="17"/>
        <v>27770590</v>
      </c>
      <c r="H95" s="161">
        <v>5.0000000000000001E-3</v>
      </c>
      <c r="I95" s="161"/>
      <c r="J95" s="67">
        <v>0.60824599999999995</v>
      </c>
      <c r="K95">
        <v>744</v>
      </c>
    </row>
    <row r="96" spans="1:15">
      <c r="A96" s="148">
        <f t="shared" si="18"/>
        <v>46174</v>
      </c>
      <c r="B96" s="176">
        <f t="shared" si="15"/>
        <v>60316</v>
      </c>
      <c r="C96" s="176">
        <f t="shared" si="16"/>
        <v>27652082</v>
      </c>
      <c r="D96" s="173">
        <v>1.0820000000000001</v>
      </c>
      <c r="E96" s="173">
        <v>1.119</v>
      </c>
      <c r="F96" s="176">
        <f t="shared" si="17"/>
        <v>65262</v>
      </c>
      <c r="G96" s="176">
        <f t="shared" si="17"/>
        <v>30942680</v>
      </c>
      <c r="H96" s="161">
        <v>5.0000000000000001E-3</v>
      </c>
      <c r="I96" s="161">
        <v>0</v>
      </c>
      <c r="J96" s="67">
        <v>0.63674200000000003</v>
      </c>
      <c r="K96">
        <v>720</v>
      </c>
    </row>
    <row r="97" spans="1:11">
      <c r="A97" s="148">
        <f t="shared" si="18"/>
        <v>46204</v>
      </c>
      <c r="B97" s="176">
        <f t="shared" si="15"/>
        <v>56983</v>
      </c>
      <c r="C97" s="176">
        <f t="shared" si="16"/>
        <v>27644471</v>
      </c>
      <c r="D97" s="173">
        <v>1.099</v>
      </c>
      <c r="E97" s="173">
        <v>1.202</v>
      </c>
      <c r="F97" s="176">
        <f t="shared" si="17"/>
        <v>62624</v>
      </c>
      <c r="G97" s="176">
        <f t="shared" si="17"/>
        <v>33228654</v>
      </c>
      <c r="H97" s="161">
        <v>5.0000000000000001E-3</v>
      </c>
      <c r="I97" s="161">
        <v>0</v>
      </c>
      <c r="J97" s="67">
        <v>0.65205999999999997</v>
      </c>
      <c r="K97">
        <v>744</v>
      </c>
    </row>
    <row r="98" spans="1:11">
      <c r="A98" s="148">
        <f t="shared" si="18"/>
        <v>46235</v>
      </c>
      <c r="B98" s="176">
        <f t="shared" si="15"/>
        <v>56550</v>
      </c>
      <c r="C98" s="176">
        <f t="shared" si="16"/>
        <v>27636606</v>
      </c>
      <c r="D98" s="173">
        <v>1.0940000000000001</v>
      </c>
      <c r="E98" s="173">
        <v>1.2030000000000001</v>
      </c>
      <c r="F98" s="176">
        <f t="shared" si="17"/>
        <v>61866</v>
      </c>
      <c r="G98" s="176">
        <f t="shared" si="17"/>
        <v>33246837</v>
      </c>
      <c r="H98" s="161">
        <v>5.0000000000000001E-3</v>
      </c>
      <c r="I98" s="161">
        <v>0</v>
      </c>
      <c r="J98" s="67">
        <v>0.65687399999999996</v>
      </c>
      <c r="K98">
        <v>744</v>
      </c>
    </row>
    <row r="99" spans="1:11">
      <c r="A99" s="148">
        <f t="shared" si="18"/>
        <v>46266</v>
      </c>
      <c r="B99" s="176">
        <f t="shared" si="15"/>
        <v>62520</v>
      </c>
      <c r="C99" s="176">
        <f t="shared" si="16"/>
        <v>27628739</v>
      </c>
      <c r="D99" s="173">
        <v>1.05</v>
      </c>
      <c r="E99" s="173">
        <v>1.0549999999999999</v>
      </c>
      <c r="F99" s="176">
        <f t="shared" si="17"/>
        <v>65646</v>
      </c>
      <c r="G99" s="176">
        <f t="shared" si="17"/>
        <v>29148320</v>
      </c>
      <c r="H99" s="161">
        <v>5.0000000000000001E-3</v>
      </c>
      <c r="I99" s="161"/>
      <c r="J99" s="67">
        <v>0.61377999999999999</v>
      </c>
      <c r="K99">
        <v>720</v>
      </c>
    </row>
    <row r="100" spans="1:11">
      <c r="A100" s="148">
        <f t="shared" si="18"/>
        <v>46296</v>
      </c>
      <c r="B100" s="176">
        <f t="shared" si="15"/>
        <v>59566</v>
      </c>
      <c r="C100" s="176">
        <f t="shared" si="16"/>
        <v>27621128</v>
      </c>
      <c r="D100" s="173">
        <v>0.86299999999999999</v>
      </c>
      <c r="E100" s="173">
        <v>0.88600000000000001</v>
      </c>
      <c r="F100" s="176">
        <f t="shared" si="17"/>
        <v>51405</v>
      </c>
      <c r="G100" s="176">
        <f t="shared" si="17"/>
        <v>24472319</v>
      </c>
      <c r="H100" s="161">
        <v>5.0000000000000001E-3</v>
      </c>
      <c r="I100" s="161"/>
      <c r="J100" s="67">
        <v>0.62326000000000004</v>
      </c>
      <c r="K100">
        <v>744</v>
      </c>
    </row>
    <row r="101" spans="1:11">
      <c r="A101" s="148">
        <f t="shared" si="18"/>
        <v>46327</v>
      </c>
      <c r="B101" s="176">
        <f t="shared" si="15"/>
        <v>64159</v>
      </c>
      <c r="C101" s="176">
        <f t="shared" si="16"/>
        <v>27613262</v>
      </c>
      <c r="D101" s="173">
        <v>0.93799999999999994</v>
      </c>
      <c r="E101" s="173">
        <v>0.89300000000000002</v>
      </c>
      <c r="F101" s="176">
        <f t="shared" si="17"/>
        <v>60181</v>
      </c>
      <c r="G101" s="176">
        <f t="shared" si="17"/>
        <v>24658643</v>
      </c>
      <c r="H101" s="161">
        <v>5.0000000000000001E-3</v>
      </c>
      <c r="I101" s="161"/>
      <c r="J101" s="67">
        <v>0.59775999999999996</v>
      </c>
      <c r="K101">
        <v>720</v>
      </c>
    </row>
    <row r="102" spans="1:11">
      <c r="A102" s="148">
        <f t="shared" si="18"/>
        <v>46357</v>
      </c>
      <c r="B102" s="177">
        <f t="shared" si="15"/>
        <v>61970</v>
      </c>
      <c r="C102" s="177">
        <f t="shared" si="16"/>
        <v>27605651</v>
      </c>
      <c r="D102" s="180">
        <v>0.92900000000000005</v>
      </c>
      <c r="E102" s="180">
        <v>0.95399999999999996</v>
      </c>
      <c r="F102" s="177">
        <f t="shared" si="17"/>
        <v>57570</v>
      </c>
      <c r="G102" s="177">
        <f t="shared" si="17"/>
        <v>26335791</v>
      </c>
      <c r="H102" s="161">
        <v>5.0000000000000001E-3</v>
      </c>
      <c r="I102" s="161">
        <v>0</v>
      </c>
      <c r="J102" s="67">
        <v>0.59874400000000005</v>
      </c>
      <c r="K102">
        <v>744</v>
      </c>
    </row>
    <row r="103" spans="1:11">
      <c r="A103" s="169" t="s">
        <v>166</v>
      </c>
      <c r="B103" s="176">
        <f>SUM(B91:B102)</f>
        <v>748999</v>
      </c>
      <c r="C103" s="176">
        <f>SUM(C91:C102)</f>
        <v>331777804</v>
      </c>
      <c r="D103" s="92" t="s">
        <v>107</v>
      </c>
      <c r="E103" s="92" t="s">
        <v>107</v>
      </c>
      <c r="F103" s="176">
        <f>SUM(F91:F102)</f>
        <v>747987</v>
      </c>
      <c r="G103" s="176">
        <f>SUM(G91:G102)</f>
        <v>330336556</v>
      </c>
    </row>
  </sheetData>
  <mergeCells count="20">
    <mergeCell ref="L72:M72"/>
    <mergeCell ref="N72:O72"/>
    <mergeCell ref="L90:M90"/>
    <mergeCell ref="N90:O90"/>
    <mergeCell ref="L18:M18"/>
    <mergeCell ref="N18:O18"/>
    <mergeCell ref="L36:M36"/>
    <mergeCell ref="N36:O36"/>
    <mergeCell ref="L54:M54"/>
    <mergeCell ref="N54:O54"/>
    <mergeCell ref="A70:G70"/>
    <mergeCell ref="A71:G71"/>
    <mergeCell ref="A88:G88"/>
    <mergeCell ref="A89:G89"/>
    <mergeCell ref="A16:G16"/>
    <mergeCell ref="A17:G17"/>
    <mergeCell ref="A34:G34"/>
    <mergeCell ref="A35:G35"/>
    <mergeCell ref="A52:G52"/>
    <mergeCell ref="A53:G5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Q89"/>
  <sheetViews>
    <sheetView topLeftCell="A38" zoomScale="115" zoomScaleNormal="115" workbookViewId="0">
      <selection activeCell="B66" sqref="B66"/>
    </sheetView>
  </sheetViews>
  <sheetFormatPr defaultRowHeight="12.75"/>
  <cols>
    <col min="1" max="1" width="14.28515625" customWidth="1"/>
    <col min="2" max="13" width="13.7109375" customWidth="1"/>
    <col min="14" max="14" width="10.28515625" bestFit="1" customWidth="1"/>
    <col min="16" max="16" width="10.28515625" bestFit="1" customWidth="1"/>
  </cols>
  <sheetData>
    <row r="1" spans="1:10">
      <c r="B1" t="s">
        <v>111</v>
      </c>
      <c r="C1" s="187" t="s">
        <v>161</v>
      </c>
      <c r="D1" s="187" t="s">
        <v>162</v>
      </c>
    </row>
    <row r="2" spans="1:10">
      <c r="A2" t="s">
        <v>124</v>
      </c>
      <c r="B2">
        <v>2016</v>
      </c>
      <c r="C2" s="107">
        <v>722342</v>
      </c>
      <c r="D2" s="107">
        <v>310666058</v>
      </c>
      <c r="F2" s="159"/>
      <c r="G2" s="159"/>
      <c r="H2" s="159"/>
    </row>
    <row r="3" spans="1:10">
      <c r="B3">
        <v>2017</v>
      </c>
      <c r="C3" s="107">
        <v>727102</v>
      </c>
      <c r="D3" s="107">
        <v>309628429</v>
      </c>
      <c r="I3" s="171" t="s">
        <v>133</v>
      </c>
      <c r="J3" s="172">
        <v>5.0000000000000001E-3</v>
      </c>
    </row>
    <row r="4" spans="1:10">
      <c r="B4">
        <v>2018</v>
      </c>
      <c r="C4" s="107">
        <v>710062</v>
      </c>
      <c r="D4" s="107">
        <v>313563949</v>
      </c>
      <c r="G4" s="107"/>
      <c r="H4" s="107"/>
      <c r="I4" s="162"/>
    </row>
    <row r="5" spans="1:10">
      <c r="B5">
        <v>2019</v>
      </c>
      <c r="C5" s="107">
        <v>717162</v>
      </c>
      <c r="D5" s="107">
        <v>316699588</v>
      </c>
      <c r="G5" s="107"/>
      <c r="H5" s="107"/>
      <c r="I5" s="162"/>
    </row>
    <row r="6" spans="1:10">
      <c r="B6">
        <v>2020</v>
      </c>
      <c r="C6" s="107">
        <v>724337</v>
      </c>
      <c r="D6" s="107">
        <v>319866585</v>
      </c>
    </row>
    <row r="7" spans="1:10">
      <c r="B7">
        <v>2121</v>
      </c>
      <c r="C7" s="107">
        <v>731576</v>
      </c>
      <c r="D7" s="107">
        <v>323065251</v>
      </c>
    </row>
    <row r="8" spans="1:10">
      <c r="B8">
        <v>2022</v>
      </c>
      <c r="C8" s="107">
        <v>733216</v>
      </c>
      <c r="D8" s="107">
        <v>323811586</v>
      </c>
    </row>
    <row r="9" spans="1:10">
      <c r="B9">
        <v>2023</v>
      </c>
      <c r="C9" s="107">
        <v>736878</v>
      </c>
      <c r="D9" s="107">
        <v>325430645</v>
      </c>
    </row>
    <row r="10" spans="1:10">
      <c r="B10">
        <v>2024</v>
      </c>
      <c r="C10" s="107">
        <v>740564</v>
      </c>
      <c r="D10" s="107">
        <v>327057799</v>
      </c>
    </row>
    <row r="11" spans="1:10">
      <c r="B11">
        <v>2025</v>
      </c>
      <c r="C11" s="107">
        <v>744266</v>
      </c>
      <c r="D11" s="107">
        <v>328693088</v>
      </c>
    </row>
    <row r="12" spans="1:10">
      <c r="B12">
        <v>2026</v>
      </c>
      <c r="C12" s="107">
        <v>747987</v>
      </c>
      <c r="D12" s="107">
        <v>330336556</v>
      </c>
    </row>
    <row r="13" spans="1:10">
      <c r="B13">
        <v>2027</v>
      </c>
      <c r="C13" s="107">
        <v>751727</v>
      </c>
      <c r="D13" s="107">
        <v>331988238</v>
      </c>
    </row>
    <row r="14" spans="1:10">
      <c r="B14">
        <v>2028</v>
      </c>
      <c r="C14" s="107">
        <v>755488</v>
      </c>
      <c r="D14" s="107">
        <v>333648178</v>
      </c>
    </row>
    <row r="15" spans="1:10">
      <c r="B15">
        <v>2029</v>
      </c>
      <c r="C15" s="107">
        <v>759262</v>
      </c>
      <c r="D15" s="107">
        <v>335316419</v>
      </c>
    </row>
    <row r="16" spans="1:10">
      <c r="B16">
        <v>2030</v>
      </c>
      <c r="C16" s="107">
        <v>763060</v>
      </c>
      <c r="D16" s="107">
        <v>336992999</v>
      </c>
    </row>
    <row r="17" spans="1:16">
      <c r="B17">
        <v>2031</v>
      </c>
      <c r="C17" s="107">
        <v>766876</v>
      </c>
      <c r="D17" s="107">
        <v>338677964</v>
      </c>
    </row>
    <row r="18" spans="1:16">
      <c r="B18">
        <v>2032</v>
      </c>
      <c r="C18" s="107">
        <v>770709</v>
      </c>
      <c r="D18" s="107">
        <v>340371356</v>
      </c>
    </row>
    <row r="19" spans="1:16">
      <c r="B19">
        <v>2033</v>
      </c>
      <c r="C19" s="107">
        <v>774568</v>
      </c>
      <c r="D19" s="107">
        <v>342073211</v>
      </c>
    </row>
    <row r="20" spans="1:16">
      <c r="B20">
        <v>2034</v>
      </c>
      <c r="C20" s="107">
        <v>778435</v>
      </c>
      <c r="D20" s="107">
        <v>343783577</v>
      </c>
    </row>
    <row r="21" spans="1:16">
      <c r="B21">
        <v>2035</v>
      </c>
      <c r="C21" s="107">
        <v>782328</v>
      </c>
      <c r="D21" s="107">
        <v>345502496</v>
      </c>
    </row>
    <row r="22" spans="1:16">
      <c r="B22">
        <v>2036</v>
      </c>
      <c r="C22" s="107">
        <v>786241</v>
      </c>
      <c r="D22" s="107">
        <v>347230006</v>
      </c>
    </row>
    <row r="24" spans="1:16">
      <c r="A24" s="168">
        <v>2026</v>
      </c>
      <c r="B24" s="176">
        <v>27690396</v>
      </c>
      <c r="C24" s="176">
        <v>27682532</v>
      </c>
      <c r="D24" s="176">
        <v>27675426</v>
      </c>
      <c r="E24" s="176">
        <v>27667561</v>
      </c>
      <c r="F24" s="176">
        <v>27659950</v>
      </c>
      <c r="G24" s="176">
        <v>27652082</v>
      </c>
      <c r="H24" s="176">
        <v>27644471</v>
      </c>
      <c r="I24" s="176">
        <v>27636606</v>
      </c>
      <c r="J24" s="176">
        <v>27628739</v>
      </c>
      <c r="K24" s="176">
        <v>27621128</v>
      </c>
      <c r="L24" s="176">
        <v>27613262</v>
      </c>
      <c r="M24" s="176">
        <v>27605651</v>
      </c>
      <c r="N24" s="218" t="s">
        <v>167</v>
      </c>
      <c r="O24" s="218"/>
      <c r="P24" s="218"/>
    </row>
    <row r="26" spans="1:16">
      <c r="A26" s="190" t="s">
        <v>140</v>
      </c>
      <c r="B26" s="64" t="s">
        <v>32</v>
      </c>
      <c r="C26" s="64" t="s">
        <v>33</v>
      </c>
      <c r="D26" s="64" t="s">
        <v>34</v>
      </c>
      <c r="E26" s="64" t="s">
        <v>35</v>
      </c>
      <c r="F26" s="64" t="s">
        <v>36</v>
      </c>
      <c r="G26" s="64" t="s">
        <v>37</v>
      </c>
      <c r="H26" s="64" t="s">
        <v>38</v>
      </c>
      <c r="I26" s="64" t="s">
        <v>39</v>
      </c>
      <c r="J26" s="64" t="s">
        <v>40</v>
      </c>
      <c r="K26" s="64" t="s">
        <v>41</v>
      </c>
      <c r="L26" s="64" t="s">
        <v>42</v>
      </c>
      <c r="M26" s="64" t="s">
        <v>43</v>
      </c>
    </row>
    <row r="27" spans="1:16">
      <c r="A27" s="146">
        <f>A24+1</f>
        <v>2027</v>
      </c>
      <c r="B27" s="188">
        <f>ROUND(B24*(1+$J$3),0)</f>
        <v>27828848</v>
      </c>
      <c r="C27" s="188">
        <f t="shared" ref="C27:M27" si="0">ROUND(C24*(1+$J$3),0)</f>
        <v>27820945</v>
      </c>
      <c r="D27" s="188">
        <f t="shared" si="0"/>
        <v>27813803</v>
      </c>
      <c r="E27" s="188">
        <f t="shared" si="0"/>
        <v>27805899</v>
      </c>
      <c r="F27" s="188">
        <f>ROUND(F24*(1+$J$3),0)</f>
        <v>27798250</v>
      </c>
      <c r="G27" s="188">
        <f t="shared" si="0"/>
        <v>27790342</v>
      </c>
      <c r="H27" s="188">
        <f t="shared" si="0"/>
        <v>27782693</v>
      </c>
      <c r="I27" s="188">
        <f t="shared" si="0"/>
        <v>27774789</v>
      </c>
      <c r="J27" s="188">
        <f t="shared" si="0"/>
        <v>27766883</v>
      </c>
      <c r="K27" s="188">
        <f t="shared" si="0"/>
        <v>27759234</v>
      </c>
      <c r="L27" s="188">
        <f t="shared" si="0"/>
        <v>27751328</v>
      </c>
      <c r="M27" s="188">
        <f t="shared" si="0"/>
        <v>27743679</v>
      </c>
    </row>
    <row r="28" spans="1:16">
      <c r="A28" s="146">
        <f>A27+1</f>
        <v>2028</v>
      </c>
      <c r="B28" s="188">
        <f>ROUND(B27*(1+$J$3),0)</f>
        <v>27967992</v>
      </c>
      <c r="C28" s="188">
        <f t="shared" ref="C28:M36" si="1">ROUND(C27*(1+$J$3),0)</f>
        <v>27960050</v>
      </c>
      <c r="D28" s="188">
        <f t="shared" si="1"/>
        <v>27952872</v>
      </c>
      <c r="E28" s="188">
        <f t="shared" si="1"/>
        <v>27944928</v>
      </c>
      <c r="F28" s="188">
        <f t="shared" si="1"/>
        <v>27937241</v>
      </c>
      <c r="G28" s="188">
        <f t="shared" si="1"/>
        <v>27929294</v>
      </c>
      <c r="H28" s="188">
        <f t="shared" si="1"/>
        <v>27921606</v>
      </c>
      <c r="I28" s="188">
        <f t="shared" si="1"/>
        <v>27913663</v>
      </c>
      <c r="J28" s="188">
        <f t="shared" si="1"/>
        <v>27905717</v>
      </c>
      <c r="K28" s="188">
        <f t="shared" si="1"/>
        <v>27898030</v>
      </c>
      <c r="L28" s="188">
        <f t="shared" si="1"/>
        <v>27890085</v>
      </c>
      <c r="M28" s="188">
        <f t="shared" si="1"/>
        <v>27882397</v>
      </c>
    </row>
    <row r="29" spans="1:16">
      <c r="A29" s="165">
        <f t="shared" ref="A29:A36" si="2">A28+1</f>
        <v>2029</v>
      </c>
      <c r="B29" s="188">
        <f t="shared" ref="B29:B36" si="3">ROUND(B28*(1+$J$3),0)</f>
        <v>28107832</v>
      </c>
      <c r="C29" s="188">
        <f t="shared" si="1"/>
        <v>28099850</v>
      </c>
      <c r="D29" s="188">
        <f t="shared" si="1"/>
        <v>28092636</v>
      </c>
      <c r="E29" s="188">
        <f t="shared" si="1"/>
        <v>28084653</v>
      </c>
      <c r="F29" s="188">
        <f t="shared" si="1"/>
        <v>28076927</v>
      </c>
      <c r="G29" s="188">
        <f t="shared" si="1"/>
        <v>28068940</v>
      </c>
      <c r="H29" s="188">
        <f t="shared" si="1"/>
        <v>28061214</v>
      </c>
      <c r="I29" s="188">
        <f t="shared" si="1"/>
        <v>28053231</v>
      </c>
      <c r="J29" s="188">
        <f t="shared" si="1"/>
        <v>28045246</v>
      </c>
      <c r="K29" s="188">
        <f t="shared" si="1"/>
        <v>28037520</v>
      </c>
      <c r="L29" s="188">
        <f t="shared" si="1"/>
        <v>28029535</v>
      </c>
      <c r="M29" s="188">
        <f t="shared" si="1"/>
        <v>28021809</v>
      </c>
    </row>
    <row r="30" spans="1:16">
      <c r="A30" s="165">
        <f t="shared" si="2"/>
        <v>2030</v>
      </c>
      <c r="B30" s="188">
        <f t="shared" si="3"/>
        <v>28248371</v>
      </c>
      <c r="C30" s="188">
        <f t="shared" si="1"/>
        <v>28240349</v>
      </c>
      <c r="D30" s="188">
        <f t="shared" si="1"/>
        <v>28233099</v>
      </c>
      <c r="E30" s="188">
        <f t="shared" si="1"/>
        <v>28225076</v>
      </c>
      <c r="F30" s="188">
        <f t="shared" si="1"/>
        <v>28217312</v>
      </c>
      <c r="G30" s="188">
        <f t="shared" si="1"/>
        <v>28209285</v>
      </c>
      <c r="H30" s="188">
        <f t="shared" si="1"/>
        <v>28201520</v>
      </c>
      <c r="I30" s="188">
        <f t="shared" si="1"/>
        <v>28193497</v>
      </c>
      <c r="J30" s="188">
        <f t="shared" si="1"/>
        <v>28185472</v>
      </c>
      <c r="K30" s="188">
        <f t="shared" si="1"/>
        <v>28177708</v>
      </c>
      <c r="L30" s="188">
        <f t="shared" si="1"/>
        <v>28169683</v>
      </c>
      <c r="M30" s="188">
        <f t="shared" si="1"/>
        <v>28161918</v>
      </c>
    </row>
    <row r="31" spans="1:16">
      <c r="A31" s="165">
        <f t="shared" si="2"/>
        <v>2031</v>
      </c>
      <c r="B31" s="188">
        <f t="shared" si="3"/>
        <v>28389613</v>
      </c>
      <c r="C31" s="188">
        <f t="shared" si="1"/>
        <v>28381551</v>
      </c>
      <c r="D31" s="188">
        <f t="shared" si="1"/>
        <v>28374264</v>
      </c>
      <c r="E31" s="188">
        <f t="shared" si="1"/>
        <v>28366201</v>
      </c>
      <c r="F31" s="188">
        <f t="shared" si="1"/>
        <v>28358399</v>
      </c>
      <c r="G31" s="188">
        <f t="shared" si="1"/>
        <v>28350331</v>
      </c>
      <c r="H31" s="188">
        <f t="shared" si="1"/>
        <v>28342528</v>
      </c>
      <c r="I31" s="188">
        <f t="shared" si="1"/>
        <v>28334464</v>
      </c>
      <c r="J31" s="188">
        <f t="shared" si="1"/>
        <v>28326399</v>
      </c>
      <c r="K31" s="188">
        <f t="shared" si="1"/>
        <v>28318597</v>
      </c>
      <c r="L31" s="188">
        <f t="shared" si="1"/>
        <v>28310531</v>
      </c>
      <c r="M31" s="188">
        <f t="shared" si="1"/>
        <v>28302728</v>
      </c>
    </row>
    <row r="32" spans="1:16">
      <c r="A32" s="165">
        <f t="shared" si="2"/>
        <v>2032</v>
      </c>
      <c r="B32" s="188">
        <f t="shared" si="3"/>
        <v>28531561</v>
      </c>
      <c r="C32" s="188">
        <f t="shared" si="1"/>
        <v>28523459</v>
      </c>
      <c r="D32" s="188">
        <f t="shared" si="1"/>
        <v>28516135</v>
      </c>
      <c r="E32" s="188">
        <f t="shared" si="1"/>
        <v>28508032</v>
      </c>
      <c r="F32" s="188">
        <f t="shared" si="1"/>
        <v>28500191</v>
      </c>
      <c r="G32" s="188">
        <f t="shared" si="1"/>
        <v>28492083</v>
      </c>
      <c r="H32" s="188">
        <f t="shared" si="1"/>
        <v>28484241</v>
      </c>
      <c r="I32" s="188">
        <f t="shared" si="1"/>
        <v>28476136</v>
      </c>
      <c r="J32" s="188">
        <f t="shared" si="1"/>
        <v>28468031</v>
      </c>
      <c r="K32" s="188">
        <f t="shared" si="1"/>
        <v>28460190</v>
      </c>
      <c r="L32" s="188">
        <f t="shared" si="1"/>
        <v>28452084</v>
      </c>
      <c r="M32" s="188">
        <f t="shared" si="1"/>
        <v>28444242</v>
      </c>
    </row>
    <row r="33" spans="1:13">
      <c r="A33" s="165">
        <f t="shared" si="2"/>
        <v>2033</v>
      </c>
      <c r="B33" s="188">
        <f t="shared" si="3"/>
        <v>28674219</v>
      </c>
      <c r="C33" s="188">
        <f t="shared" si="1"/>
        <v>28666076</v>
      </c>
      <c r="D33" s="188">
        <f t="shared" si="1"/>
        <v>28658716</v>
      </c>
      <c r="E33" s="188">
        <f t="shared" si="1"/>
        <v>28650572</v>
      </c>
      <c r="F33" s="188">
        <f t="shared" si="1"/>
        <v>28642692</v>
      </c>
      <c r="G33" s="188">
        <f t="shared" si="1"/>
        <v>28634543</v>
      </c>
      <c r="H33" s="188">
        <f t="shared" si="1"/>
        <v>28626662</v>
      </c>
      <c r="I33" s="188">
        <f t="shared" si="1"/>
        <v>28618517</v>
      </c>
      <c r="J33" s="188">
        <f t="shared" si="1"/>
        <v>28610371</v>
      </c>
      <c r="K33" s="188">
        <f t="shared" si="1"/>
        <v>28602491</v>
      </c>
      <c r="L33" s="188">
        <f t="shared" si="1"/>
        <v>28594344</v>
      </c>
      <c r="M33" s="188">
        <f t="shared" si="1"/>
        <v>28586463</v>
      </c>
    </row>
    <row r="34" spans="1:13">
      <c r="A34" s="165">
        <f t="shared" si="2"/>
        <v>2034</v>
      </c>
      <c r="B34" s="188">
        <f t="shared" si="3"/>
        <v>28817590</v>
      </c>
      <c r="C34" s="188">
        <f t="shared" si="1"/>
        <v>28809406</v>
      </c>
      <c r="D34" s="188">
        <f t="shared" si="1"/>
        <v>28802010</v>
      </c>
      <c r="E34" s="188">
        <f t="shared" si="1"/>
        <v>28793825</v>
      </c>
      <c r="F34" s="188">
        <f t="shared" si="1"/>
        <v>28785905</v>
      </c>
      <c r="G34" s="188">
        <f t="shared" si="1"/>
        <v>28777716</v>
      </c>
      <c r="H34" s="188">
        <f t="shared" si="1"/>
        <v>28769795</v>
      </c>
      <c r="I34" s="188">
        <f t="shared" si="1"/>
        <v>28761610</v>
      </c>
      <c r="J34" s="188">
        <f t="shared" si="1"/>
        <v>28753423</v>
      </c>
      <c r="K34" s="188">
        <f t="shared" si="1"/>
        <v>28745503</v>
      </c>
      <c r="L34" s="188">
        <f t="shared" si="1"/>
        <v>28737316</v>
      </c>
      <c r="M34" s="188">
        <f t="shared" si="1"/>
        <v>28729395</v>
      </c>
    </row>
    <row r="35" spans="1:13">
      <c r="A35" s="165">
        <f t="shared" si="2"/>
        <v>2035</v>
      </c>
      <c r="B35" s="188">
        <f t="shared" si="3"/>
        <v>28961678</v>
      </c>
      <c r="C35" s="188">
        <f t="shared" si="1"/>
        <v>28953453</v>
      </c>
      <c r="D35" s="188">
        <f t="shared" si="1"/>
        <v>28946020</v>
      </c>
      <c r="E35" s="188">
        <f t="shared" si="1"/>
        <v>28937794</v>
      </c>
      <c r="F35" s="188">
        <f t="shared" si="1"/>
        <v>28929835</v>
      </c>
      <c r="G35" s="188">
        <f t="shared" si="1"/>
        <v>28921605</v>
      </c>
      <c r="H35" s="188">
        <f t="shared" si="1"/>
        <v>28913644</v>
      </c>
      <c r="I35" s="188">
        <f t="shared" si="1"/>
        <v>28905418</v>
      </c>
      <c r="J35" s="188">
        <f t="shared" si="1"/>
        <v>28897190</v>
      </c>
      <c r="K35" s="188">
        <f t="shared" si="1"/>
        <v>28889231</v>
      </c>
      <c r="L35" s="188">
        <f t="shared" si="1"/>
        <v>28881003</v>
      </c>
      <c r="M35" s="188">
        <f t="shared" si="1"/>
        <v>28873042</v>
      </c>
    </row>
    <row r="36" spans="1:13">
      <c r="A36" s="165">
        <f t="shared" si="2"/>
        <v>2036</v>
      </c>
      <c r="B36" s="188">
        <f t="shared" si="3"/>
        <v>29106486</v>
      </c>
      <c r="C36" s="188">
        <f t="shared" si="1"/>
        <v>29098220</v>
      </c>
      <c r="D36" s="188">
        <f t="shared" si="1"/>
        <v>29090750</v>
      </c>
      <c r="E36" s="188">
        <f t="shared" si="1"/>
        <v>29082483</v>
      </c>
      <c r="F36" s="188">
        <f t="shared" si="1"/>
        <v>29074484</v>
      </c>
      <c r="G36" s="188">
        <f t="shared" si="1"/>
        <v>29066213</v>
      </c>
      <c r="H36" s="188">
        <f t="shared" si="1"/>
        <v>29058212</v>
      </c>
      <c r="I36" s="188">
        <f t="shared" si="1"/>
        <v>29049945</v>
      </c>
      <c r="J36" s="188">
        <f t="shared" si="1"/>
        <v>29041676</v>
      </c>
      <c r="K36" s="188">
        <f t="shared" si="1"/>
        <v>29033677</v>
      </c>
      <c r="L36" s="188">
        <f t="shared" si="1"/>
        <v>29025408</v>
      </c>
      <c r="M36" s="188">
        <f t="shared" si="1"/>
        <v>29017407</v>
      </c>
    </row>
    <row r="37" spans="1:13">
      <c r="A37" s="111"/>
      <c r="B37" s="74"/>
      <c r="C37" s="74"/>
      <c r="D37" s="74"/>
      <c r="E37" s="74"/>
      <c r="F37" s="74"/>
      <c r="G37" s="74"/>
      <c r="H37" s="163"/>
      <c r="I37" s="163"/>
      <c r="J37" s="66"/>
      <c r="K37" s="74"/>
    </row>
    <row r="38" spans="1:13">
      <c r="A38" s="189" t="s">
        <v>141</v>
      </c>
      <c r="B38">
        <v>1.0509999999999999</v>
      </c>
      <c r="C38">
        <v>0.88300000000000001</v>
      </c>
      <c r="D38">
        <v>0.88</v>
      </c>
      <c r="E38">
        <v>0.81799999999999995</v>
      </c>
      <c r="F38">
        <v>1.004</v>
      </c>
      <c r="G38">
        <v>1.119</v>
      </c>
      <c r="H38">
        <v>1.202</v>
      </c>
      <c r="I38">
        <v>1.2030000000000001</v>
      </c>
      <c r="J38">
        <v>1.0549999999999999</v>
      </c>
      <c r="K38">
        <v>0.88600000000000001</v>
      </c>
      <c r="L38">
        <v>0.89300000000000002</v>
      </c>
      <c r="M38">
        <v>0.95399999999999996</v>
      </c>
    </row>
    <row r="39" spans="1:13">
      <c r="A39" s="190" t="s">
        <v>142</v>
      </c>
      <c r="B39" s="74"/>
      <c r="C39" s="74"/>
      <c r="D39" s="74"/>
      <c r="E39" s="74"/>
      <c r="F39" s="74"/>
      <c r="G39" s="74"/>
      <c r="H39" s="163"/>
      <c r="I39" s="163"/>
      <c r="J39" s="66"/>
      <c r="K39" s="74"/>
    </row>
    <row r="40" spans="1:13">
      <c r="A40" s="146">
        <v>2026</v>
      </c>
      <c r="B40" s="192">
        <f>ROUND(B27*B$38,0)</f>
        <v>29248119</v>
      </c>
      <c r="C40" s="192">
        <f t="shared" ref="C40:M40" si="4">ROUND(C27*C$38,0)</f>
        <v>24565894</v>
      </c>
      <c r="D40" s="192">
        <f t="shared" si="4"/>
        <v>24476147</v>
      </c>
      <c r="E40" s="192">
        <f t="shared" si="4"/>
        <v>22745225</v>
      </c>
      <c r="F40" s="192">
        <f t="shared" si="4"/>
        <v>27909443</v>
      </c>
      <c r="G40" s="192">
        <f t="shared" si="4"/>
        <v>31097393</v>
      </c>
      <c r="H40" s="192">
        <f t="shared" si="4"/>
        <v>33394797</v>
      </c>
      <c r="I40" s="192">
        <f t="shared" si="4"/>
        <v>33413071</v>
      </c>
      <c r="J40" s="192">
        <f t="shared" si="4"/>
        <v>29294062</v>
      </c>
      <c r="K40" s="192">
        <f t="shared" si="4"/>
        <v>24594681</v>
      </c>
      <c r="L40" s="192">
        <f t="shared" si="4"/>
        <v>24781936</v>
      </c>
      <c r="M40" s="192">
        <f t="shared" si="4"/>
        <v>26467470</v>
      </c>
    </row>
    <row r="41" spans="1:13">
      <c r="A41" s="146">
        <v>2027</v>
      </c>
      <c r="B41" s="192">
        <f t="shared" ref="B41:M49" si="5">ROUND(B28*B$38,0)</f>
        <v>29394360</v>
      </c>
      <c r="C41" s="192">
        <f t="shared" si="5"/>
        <v>24688724</v>
      </c>
      <c r="D41" s="192">
        <f t="shared" si="5"/>
        <v>24598527</v>
      </c>
      <c r="E41" s="192">
        <f t="shared" si="5"/>
        <v>22858951</v>
      </c>
      <c r="F41" s="192">
        <f t="shared" si="5"/>
        <v>28048990</v>
      </c>
      <c r="G41" s="192">
        <f t="shared" si="5"/>
        <v>31252880</v>
      </c>
      <c r="H41" s="192">
        <f t="shared" si="5"/>
        <v>33561770</v>
      </c>
      <c r="I41" s="192">
        <f t="shared" si="5"/>
        <v>33580137</v>
      </c>
      <c r="J41" s="192">
        <f t="shared" si="5"/>
        <v>29440531</v>
      </c>
      <c r="K41" s="192">
        <f t="shared" si="5"/>
        <v>24717655</v>
      </c>
      <c r="L41" s="192">
        <f t="shared" si="5"/>
        <v>24905846</v>
      </c>
      <c r="M41" s="192">
        <f t="shared" si="5"/>
        <v>26599807</v>
      </c>
    </row>
    <row r="42" spans="1:13">
      <c r="A42" s="146">
        <v>2028</v>
      </c>
      <c r="B42" s="192">
        <f t="shared" si="5"/>
        <v>29541331</v>
      </c>
      <c r="C42" s="192">
        <f t="shared" si="5"/>
        <v>24812168</v>
      </c>
      <c r="D42" s="192">
        <f t="shared" si="5"/>
        <v>24721520</v>
      </c>
      <c r="E42" s="192">
        <f t="shared" si="5"/>
        <v>22973246</v>
      </c>
      <c r="F42" s="192">
        <f t="shared" si="5"/>
        <v>28189235</v>
      </c>
      <c r="G42" s="192">
        <f t="shared" si="5"/>
        <v>31409144</v>
      </c>
      <c r="H42" s="192">
        <f t="shared" si="5"/>
        <v>33729579</v>
      </c>
      <c r="I42" s="192">
        <f t="shared" si="5"/>
        <v>33748037</v>
      </c>
      <c r="J42" s="192">
        <f t="shared" si="5"/>
        <v>29587735</v>
      </c>
      <c r="K42" s="192">
        <f t="shared" si="5"/>
        <v>24841243</v>
      </c>
      <c r="L42" s="192">
        <f t="shared" si="5"/>
        <v>25030375</v>
      </c>
      <c r="M42" s="192">
        <f t="shared" si="5"/>
        <v>26732806</v>
      </c>
    </row>
    <row r="43" spans="1:13">
      <c r="A43" s="146">
        <v>2029</v>
      </c>
      <c r="B43" s="192">
        <f t="shared" si="5"/>
        <v>29689038</v>
      </c>
      <c r="C43" s="192">
        <f t="shared" si="5"/>
        <v>24936228</v>
      </c>
      <c r="D43" s="192">
        <f t="shared" si="5"/>
        <v>24845127</v>
      </c>
      <c r="E43" s="192">
        <f t="shared" si="5"/>
        <v>23088112</v>
      </c>
      <c r="F43" s="192">
        <f t="shared" si="5"/>
        <v>28330181</v>
      </c>
      <c r="G43" s="192">
        <f t="shared" si="5"/>
        <v>31566190</v>
      </c>
      <c r="H43" s="192">
        <f t="shared" si="5"/>
        <v>33898227</v>
      </c>
      <c r="I43" s="192">
        <f t="shared" si="5"/>
        <v>33916777</v>
      </c>
      <c r="J43" s="192">
        <f t="shared" si="5"/>
        <v>29735673</v>
      </c>
      <c r="K43" s="192">
        <f t="shared" si="5"/>
        <v>24965449</v>
      </c>
      <c r="L43" s="192">
        <f t="shared" si="5"/>
        <v>25155527</v>
      </c>
      <c r="M43" s="192">
        <f t="shared" si="5"/>
        <v>26866470</v>
      </c>
    </row>
    <row r="44" spans="1:13">
      <c r="A44" s="146">
        <v>2030</v>
      </c>
      <c r="B44" s="192">
        <f t="shared" si="5"/>
        <v>29837483</v>
      </c>
      <c r="C44" s="192">
        <f t="shared" si="5"/>
        <v>25060910</v>
      </c>
      <c r="D44" s="192">
        <f t="shared" si="5"/>
        <v>24969352</v>
      </c>
      <c r="E44" s="192">
        <f t="shared" si="5"/>
        <v>23203552</v>
      </c>
      <c r="F44" s="192">
        <f t="shared" si="5"/>
        <v>28471833</v>
      </c>
      <c r="G44" s="192">
        <f t="shared" si="5"/>
        <v>31724020</v>
      </c>
      <c r="H44" s="192">
        <f t="shared" si="5"/>
        <v>34067719</v>
      </c>
      <c r="I44" s="192">
        <f t="shared" si="5"/>
        <v>34086360</v>
      </c>
      <c r="J44" s="192">
        <f t="shared" si="5"/>
        <v>29884351</v>
      </c>
      <c r="K44" s="192">
        <f t="shared" si="5"/>
        <v>25090277</v>
      </c>
      <c r="L44" s="192">
        <f t="shared" si="5"/>
        <v>25281304</v>
      </c>
      <c r="M44" s="192">
        <f t="shared" si="5"/>
        <v>27000803</v>
      </c>
    </row>
    <row r="45" spans="1:13">
      <c r="A45" s="146">
        <v>2031</v>
      </c>
      <c r="B45" s="192">
        <f t="shared" si="5"/>
        <v>29986671</v>
      </c>
      <c r="C45" s="192">
        <f t="shared" si="5"/>
        <v>25186214</v>
      </c>
      <c r="D45" s="192">
        <f t="shared" si="5"/>
        <v>25094199</v>
      </c>
      <c r="E45" s="192">
        <f t="shared" si="5"/>
        <v>23319570</v>
      </c>
      <c r="F45" s="192">
        <f t="shared" si="5"/>
        <v>28614192</v>
      </c>
      <c r="G45" s="192">
        <f t="shared" si="5"/>
        <v>31882641</v>
      </c>
      <c r="H45" s="192">
        <f t="shared" si="5"/>
        <v>34238058</v>
      </c>
      <c r="I45" s="192">
        <f t="shared" si="5"/>
        <v>34256792</v>
      </c>
      <c r="J45" s="192">
        <f t="shared" si="5"/>
        <v>30033773</v>
      </c>
      <c r="K45" s="192">
        <f t="shared" si="5"/>
        <v>25215728</v>
      </c>
      <c r="L45" s="192">
        <f t="shared" si="5"/>
        <v>25407711</v>
      </c>
      <c r="M45" s="192">
        <f t="shared" si="5"/>
        <v>27135807</v>
      </c>
    </row>
    <row r="46" spans="1:13">
      <c r="A46" s="146">
        <v>2032</v>
      </c>
      <c r="B46" s="192">
        <f t="shared" si="5"/>
        <v>30136604</v>
      </c>
      <c r="C46" s="192">
        <f t="shared" si="5"/>
        <v>25312145</v>
      </c>
      <c r="D46" s="192">
        <f t="shared" si="5"/>
        <v>25219670</v>
      </c>
      <c r="E46" s="192">
        <f t="shared" si="5"/>
        <v>23436168</v>
      </c>
      <c r="F46" s="192">
        <f t="shared" si="5"/>
        <v>28757263</v>
      </c>
      <c r="G46" s="192">
        <f t="shared" si="5"/>
        <v>32042054</v>
      </c>
      <c r="H46" s="192">
        <f t="shared" si="5"/>
        <v>34409248</v>
      </c>
      <c r="I46" s="192">
        <f t="shared" si="5"/>
        <v>34428076</v>
      </c>
      <c r="J46" s="192">
        <f t="shared" si="5"/>
        <v>30183941</v>
      </c>
      <c r="K46" s="192">
        <f t="shared" si="5"/>
        <v>25341807</v>
      </c>
      <c r="L46" s="192">
        <f t="shared" si="5"/>
        <v>25534749</v>
      </c>
      <c r="M46" s="192">
        <f t="shared" si="5"/>
        <v>27271486</v>
      </c>
    </row>
    <row r="47" spans="1:13">
      <c r="A47" s="146">
        <v>2033</v>
      </c>
      <c r="B47" s="192">
        <f t="shared" si="5"/>
        <v>30287287</v>
      </c>
      <c r="C47" s="192">
        <f t="shared" si="5"/>
        <v>25438705</v>
      </c>
      <c r="D47" s="192">
        <f t="shared" si="5"/>
        <v>25345769</v>
      </c>
      <c r="E47" s="192">
        <f t="shared" si="5"/>
        <v>23553349</v>
      </c>
      <c r="F47" s="192">
        <f t="shared" si="5"/>
        <v>28901049</v>
      </c>
      <c r="G47" s="192">
        <f t="shared" si="5"/>
        <v>32202264</v>
      </c>
      <c r="H47" s="192">
        <f t="shared" si="5"/>
        <v>34581294</v>
      </c>
      <c r="I47" s="192">
        <f t="shared" si="5"/>
        <v>34600217</v>
      </c>
      <c r="J47" s="192">
        <f t="shared" si="5"/>
        <v>30334861</v>
      </c>
      <c r="K47" s="192">
        <f t="shared" si="5"/>
        <v>25468516</v>
      </c>
      <c r="L47" s="192">
        <f t="shared" si="5"/>
        <v>25662423</v>
      </c>
      <c r="M47" s="192">
        <f t="shared" si="5"/>
        <v>27407843</v>
      </c>
    </row>
    <row r="48" spans="1:13">
      <c r="A48" s="146">
        <v>2034</v>
      </c>
      <c r="B48" s="192">
        <f t="shared" si="5"/>
        <v>30438724</v>
      </c>
      <c r="C48" s="192">
        <f t="shared" si="5"/>
        <v>25565899</v>
      </c>
      <c r="D48" s="192">
        <f t="shared" si="5"/>
        <v>25472498</v>
      </c>
      <c r="E48" s="192">
        <f t="shared" si="5"/>
        <v>23671115</v>
      </c>
      <c r="F48" s="192">
        <f t="shared" si="5"/>
        <v>29045554</v>
      </c>
      <c r="G48" s="192">
        <f t="shared" si="5"/>
        <v>32363276</v>
      </c>
      <c r="H48" s="192">
        <f t="shared" si="5"/>
        <v>34754200</v>
      </c>
      <c r="I48" s="192">
        <f t="shared" si="5"/>
        <v>34773218</v>
      </c>
      <c r="J48" s="192">
        <f t="shared" si="5"/>
        <v>30486535</v>
      </c>
      <c r="K48" s="192">
        <f t="shared" si="5"/>
        <v>25595859</v>
      </c>
      <c r="L48" s="192">
        <f t="shared" si="5"/>
        <v>25790736</v>
      </c>
      <c r="M48" s="192">
        <f t="shared" si="5"/>
        <v>27544882</v>
      </c>
    </row>
    <row r="49" spans="1:13">
      <c r="A49" s="146">
        <v>2035</v>
      </c>
      <c r="B49" s="192">
        <f t="shared" si="5"/>
        <v>30590917</v>
      </c>
      <c r="C49" s="192">
        <f t="shared" si="5"/>
        <v>25693728</v>
      </c>
      <c r="D49" s="192">
        <f t="shared" si="5"/>
        <v>25599860</v>
      </c>
      <c r="E49" s="192">
        <f t="shared" si="5"/>
        <v>23789471</v>
      </c>
      <c r="F49" s="192">
        <f t="shared" si="5"/>
        <v>29190782</v>
      </c>
      <c r="G49" s="192">
        <f t="shared" si="5"/>
        <v>32525092</v>
      </c>
      <c r="H49" s="192">
        <f t="shared" si="5"/>
        <v>34927971</v>
      </c>
      <c r="I49" s="192">
        <f t="shared" si="5"/>
        <v>34947084</v>
      </c>
      <c r="J49" s="192">
        <f t="shared" si="5"/>
        <v>30638968</v>
      </c>
      <c r="K49" s="192">
        <f t="shared" si="5"/>
        <v>25723838</v>
      </c>
      <c r="L49" s="192">
        <f t="shared" si="5"/>
        <v>25919689</v>
      </c>
      <c r="M49" s="192">
        <f t="shared" si="5"/>
        <v>27682606</v>
      </c>
    </row>
    <row r="50" spans="1:13">
      <c r="A50" s="111"/>
      <c r="B50" s="74"/>
      <c r="C50" s="74"/>
      <c r="D50" s="74"/>
      <c r="E50" s="74"/>
      <c r="F50" s="74"/>
      <c r="G50" s="74"/>
      <c r="H50" s="163"/>
      <c r="I50" s="163"/>
      <c r="J50" s="66"/>
      <c r="K50" s="74"/>
    </row>
    <row r="51" spans="1:13">
      <c r="A51" s="171" t="s">
        <v>115</v>
      </c>
      <c r="B51" s="199">
        <v>0.52765600000000001</v>
      </c>
      <c r="C51" s="199">
        <v>0.548678</v>
      </c>
      <c r="D51" s="199">
        <v>0.62355399999999994</v>
      </c>
      <c r="E51" s="199">
        <v>0.6347020000000001</v>
      </c>
      <c r="F51" s="199">
        <v>0.60824599999999995</v>
      </c>
      <c r="G51" s="199">
        <v>0.63674200000000003</v>
      </c>
      <c r="H51" s="199">
        <v>0.65205999999999997</v>
      </c>
      <c r="I51" s="199">
        <v>0.65687399999999996</v>
      </c>
      <c r="J51" s="199">
        <v>0.61377999999999999</v>
      </c>
      <c r="K51" s="199">
        <v>0.62326000000000004</v>
      </c>
      <c r="L51" s="199">
        <v>0.59775999999999996</v>
      </c>
      <c r="M51" s="199">
        <v>0.59874400000000005</v>
      </c>
    </row>
    <row r="52" spans="1:13">
      <c r="A52" s="171" t="s">
        <v>134</v>
      </c>
      <c r="B52">
        <v>744</v>
      </c>
      <c r="C52">
        <v>672</v>
      </c>
      <c r="D52">
        <v>744</v>
      </c>
      <c r="E52">
        <v>720</v>
      </c>
      <c r="F52">
        <v>744</v>
      </c>
      <c r="G52">
        <v>720</v>
      </c>
      <c r="H52">
        <v>744</v>
      </c>
      <c r="I52">
        <v>744</v>
      </c>
      <c r="J52">
        <v>720</v>
      </c>
      <c r="K52">
        <v>744</v>
      </c>
      <c r="L52">
        <v>720</v>
      </c>
      <c r="M52">
        <v>744</v>
      </c>
    </row>
    <row r="53" spans="1:13">
      <c r="A53" s="92"/>
    </row>
    <row r="54" spans="1:13">
      <c r="A54" s="190" t="s">
        <v>143</v>
      </c>
      <c r="B54" s="64" t="s">
        <v>32</v>
      </c>
      <c r="C54" s="64" t="s">
        <v>33</v>
      </c>
      <c r="D54" s="64" t="s">
        <v>34</v>
      </c>
      <c r="E54" s="64" t="s">
        <v>35</v>
      </c>
      <c r="F54" s="64" t="s">
        <v>36</v>
      </c>
      <c r="G54" s="64" t="s">
        <v>37</v>
      </c>
      <c r="H54" s="64" t="s">
        <v>38</v>
      </c>
      <c r="I54" s="64" t="s">
        <v>39</v>
      </c>
      <c r="J54" s="64" t="s">
        <v>40</v>
      </c>
      <c r="K54" s="64" t="s">
        <v>41</v>
      </c>
      <c r="L54" s="64" t="s">
        <v>42</v>
      </c>
      <c r="M54" s="64" t="s">
        <v>43</v>
      </c>
    </row>
    <row r="55" spans="1:13">
      <c r="A55" s="146">
        <v>2026</v>
      </c>
      <c r="B55" s="192">
        <f>ROUND(B27/($B$51*$B$52),0)</f>
        <v>70888</v>
      </c>
      <c r="C55" s="192">
        <f>ROUND(C27/($C$51*$C$52),0)</f>
        <v>75454</v>
      </c>
      <c r="D55" s="192">
        <f>ROUND(D27/($D$51*$D$52),0)</f>
        <v>59953</v>
      </c>
      <c r="E55" s="192">
        <f>ROUND(E27/($E$51*$E$52),0)</f>
        <v>60846</v>
      </c>
      <c r="F55" s="192">
        <f>ROUND(F27/($F$51*$F$52),0)</f>
        <v>61428</v>
      </c>
      <c r="G55" s="192">
        <f>ROUND(G27/($G$51*$G$52),0)</f>
        <v>60617</v>
      </c>
      <c r="H55" s="192">
        <f>ROUND(H27/($H$51*$H$52),0)</f>
        <v>57268</v>
      </c>
      <c r="I55" s="192">
        <f>ROUND(I27/($I$51*$I$52),0)</f>
        <v>56832</v>
      </c>
      <c r="J55" s="192">
        <f>ROUND(J27/($J$51*$J$52),0)</f>
        <v>62832</v>
      </c>
      <c r="K55" s="192">
        <f>ROUND(K27/($K$51*$K$52),0)</f>
        <v>59864</v>
      </c>
      <c r="L55" s="192">
        <f>ROUND(L27/($L$51*$L$52),0)</f>
        <v>64480</v>
      </c>
      <c r="M55" s="192">
        <f>ROUND(M27/($M$51*$M$52),0)</f>
        <v>62280</v>
      </c>
    </row>
    <row r="56" spans="1:13">
      <c r="A56" s="146">
        <v>2027</v>
      </c>
      <c r="B56" s="192">
        <f t="shared" ref="B56:B64" si="6">ROUND(B28/($B$51*$B$52),0)</f>
        <v>71242</v>
      </c>
      <c r="C56" s="192">
        <f t="shared" ref="C56:C64" si="7">ROUND(C28/($C$51*$C$52),0)</f>
        <v>75832</v>
      </c>
      <c r="D56" s="192">
        <f t="shared" ref="D56:D64" si="8">ROUND(D28/($D$51*$D$52),0)</f>
        <v>60253</v>
      </c>
      <c r="E56" s="192">
        <f t="shared" ref="E56:E64" si="9">ROUND(E28/($E$51*$E$52),0)</f>
        <v>61151</v>
      </c>
      <c r="F56" s="192">
        <f t="shared" ref="F56:F64" si="10">ROUND(F28/($F$51*$F$52),0)</f>
        <v>61735</v>
      </c>
      <c r="G56" s="192">
        <f t="shared" ref="G56:G64" si="11">ROUND(G28/($G$51*$G$52),0)</f>
        <v>60921</v>
      </c>
      <c r="H56" s="192">
        <f t="shared" ref="H56:H64" si="12">ROUND(H28/($H$51*$H$52),0)</f>
        <v>57555</v>
      </c>
      <c r="I56" s="192">
        <f t="shared" ref="I56:I64" si="13">ROUND(I28/($I$51*$I$52),0)</f>
        <v>57117</v>
      </c>
      <c r="J56" s="192">
        <f t="shared" ref="J56:J64" si="14">ROUND(J28/($J$51*$J$52),0)</f>
        <v>63146</v>
      </c>
      <c r="K56" s="192">
        <f t="shared" ref="K56:K64" si="15">ROUND(K28/($K$51*$K$52),0)</f>
        <v>60163</v>
      </c>
      <c r="L56" s="192">
        <f t="shared" ref="L56:L64" si="16">ROUND(L28/($L$51*$L$52),0)</f>
        <v>64802</v>
      </c>
      <c r="M56" s="192">
        <f t="shared" ref="M56:M64" si="17">ROUND(M28/($M$51*$M$52),0)</f>
        <v>62592</v>
      </c>
    </row>
    <row r="57" spans="1:13">
      <c r="A57" s="146">
        <v>2028</v>
      </c>
      <c r="B57" s="192">
        <f t="shared" si="6"/>
        <v>71598</v>
      </c>
      <c r="C57" s="192">
        <f t="shared" si="7"/>
        <v>76211</v>
      </c>
      <c r="D57" s="192">
        <f t="shared" si="8"/>
        <v>60554</v>
      </c>
      <c r="E57" s="192">
        <f t="shared" si="9"/>
        <v>61456</v>
      </c>
      <c r="F57" s="192">
        <f t="shared" si="10"/>
        <v>62044</v>
      </c>
      <c r="G57" s="192">
        <f t="shared" si="11"/>
        <v>61225</v>
      </c>
      <c r="H57" s="192">
        <f t="shared" si="12"/>
        <v>57842</v>
      </c>
      <c r="I57" s="192">
        <f t="shared" si="13"/>
        <v>57402</v>
      </c>
      <c r="J57" s="192">
        <f t="shared" si="14"/>
        <v>63462</v>
      </c>
      <c r="K57" s="192">
        <f t="shared" si="15"/>
        <v>60464</v>
      </c>
      <c r="L57" s="192">
        <f t="shared" si="16"/>
        <v>65126</v>
      </c>
      <c r="M57" s="192">
        <f t="shared" si="17"/>
        <v>62905</v>
      </c>
    </row>
    <row r="58" spans="1:13">
      <c r="A58" s="146">
        <v>2029</v>
      </c>
      <c r="B58" s="192">
        <f t="shared" si="6"/>
        <v>71956</v>
      </c>
      <c r="C58" s="192">
        <f t="shared" si="7"/>
        <v>76592</v>
      </c>
      <c r="D58" s="192">
        <f t="shared" si="8"/>
        <v>60857</v>
      </c>
      <c r="E58" s="192">
        <f t="shared" si="9"/>
        <v>61764</v>
      </c>
      <c r="F58" s="192">
        <f t="shared" si="10"/>
        <v>62354</v>
      </c>
      <c r="G58" s="192">
        <f t="shared" si="11"/>
        <v>61531</v>
      </c>
      <c r="H58" s="192">
        <f t="shared" si="12"/>
        <v>58132</v>
      </c>
      <c r="I58" s="192">
        <f t="shared" si="13"/>
        <v>57689</v>
      </c>
      <c r="J58" s="192">
        <f t="shared" si="14"/>
        <v>63779</v>
      </c>
      <c r="K58" s="192">
        <f t="shared" si="15"/>
        <v>60766</v>
      </c>
      <c r="L58" s="192">
        <f t="shared" si="16"/>
        <v>65452</v>
      </c>
      <c r="M58" s="192">
        <f t="shared" si="17"/>
        <v>63219</v>
      </c>
    </row>
    <row r="59" spans="1:13">
      <c r="A59" s="146">
        <v>2030</v>
      </c>
      <c r="B59" s="192">
        <f t="shared" si="6"/>
        <v>72316</v>
      </c>
      <c r="C59" s="192">
        <f t="shared" si="7"/>
        <v>76975</v>
      </c>
      <c r="D59" s="192">
        <f t="shared" si="8"/>
        <v>61161</v>
      </c>
      <c r="E59" s="192">
        <f t="shared" si="9"/>
        <v>62072</v>
      </c>
      <c r="F59" s="192">
        <f t="shared" si="10"/>
        <v>62666</v>
      </c>
      <c r="G59" s="192">
        <f t="shared" si="11"/>
        <v>61839</v>
      </c>
      <c r="H59" s="192">
        <f t="shared" si="12"/>
        <v>58422</v>
      </c>
      <c r="I59" s="192">
        <f t="shared" si="13"/>
        <v>57978</v>
      </c>
      <c r="J59" s="192">
        <f t="shared" si="14"/>
        <v>64098</v>
      </c>
      <c r="K59" s="192">
        <f t="shared" si="15"/>
        <v>61070</v>
      </c>
      <c r="L59" s="192">
        <f t="shared" si="16"/>
        <v>65779</v>
      </c>
      <c r="M59" s="192">
        <f t="shared" si="17"/>
        <v>63535</v>
      </c>
    </row>
    <row r="60" spans="1:13">
      <c r="A60" s="146">
        <v>2031</v>
      </c>
      <c r="B60" s="192">
        <f t="shared" si="6"/>
        <v>72678</v>
      </c>
      <c r="C60" s="192">
        <f t="shared" si="7"/>
        <v>77360</v>
      </c>
      <c r="D60" s="192">
        <f t="shared" si="8"/>
        <v>61467</v>
      </c>
      <c r="E60" s="192">
        <f t="shared" si="9"/>
        <v>62383</v>
      </c>
      <c r="F60" s="192">
        <f t="shared" si="10"/>
        <v>62979</v>
      </c>
      <c r="G60" s="192">
        <f t="shared" si="11"/>
        <v>62148</v>
      </c>
      <c r="H60" s="192">
        <f t="shared" si="12"/>
        <v>58714</v>
      </c>
      <c r="I60" s="192">
        <f t="shared" si="13"/>
        <v>58267</v>
      </c>
      <c r="J60" s="192">
        <f t="shared" si="14"/>
        <v>64419</v>
      </c>
      <c r="K60" s="192">
        <f t="shared" si="15"/>
        <v>61376</v>
      </c>
      <c r="L60" s="192">
        <f t="shared" si="16"/>
        <v>66108</v>
      </c>
      <c r="M60" s="192">
        <f t="shared" si="17"/>
        <v>63853</v>
      </c>
    </row>
    <row r="61" spans="1:13">
      <c r="A61" s="146">
        <v>2032</v>
      </c>
      <c r="B61" s="192">
        <f t="shared" si="6"/>
        <v>73041</v>
      </c>
      <c r="C61" s="192">
        <f t="shared" si="7"/>
        <v>77747</v>
      </c>
      <c r="D61" s="192">
        <f t="shared" si="8"/>
        <v>61775</v>
      </c>
      <c r="E61" s="192">
        <f t="shared" si="9"/>
        <v>62695</v>
      </c>
      <c r="F61" s="192">
        <f t="shared" si="10"/>
        <v>63294</v>
      </c>
      <c r="G61" s="192">
        <f t="shared" si="11"/>
        <v>62459</v>
      </c>
      <c r="H61" s="192">
        <f t="shared" si="12"/>
        <v>59008</v>
      </c>
      <c r="I61" s="192">
        <f t="shared" si="13"/>
        <v>58559</v>
      </c>
      <c r="J61" s="192">
        <f t="shared" si="14"/>
        <v>64741</v>
      </c>
      <c r="K61" s="192">
        <f t="shared" si="15"/>
        <v>61682</v>
      </c>
      <c r="L61" s="192">
        <f t="shared" si="16"/>
        <v>66439</v>
      </c>
      <c r="M61" s="192">
        <f t="shared" si="17"/>
        <v>64172</v>
      </c>
    </row>
    <row r="62" spans="1:13">
      <c r="A62" s="146">
        <v>2033</v>
      </c>
      <c r="B62" s="192">
        <f t="shared" si="6"/>
        <v>73406</v>
      </c>
      <c r="C62" s="192">
        <f t="shared" si="7"/>
        <v>78135</v>
      </c>
      <c r="D62" s="192">
        <f t="shared" si="8"/>
        <v>62083</v>
      </c>
      <c r="E62" s="192">
        <f t="shared" si="9"/>
        <v>63008</v>
      </c>
      <c r="F62" s="192">
        <f t="shared" si="10"/>
        <v>63610</v>
      </c>
      <c r="G62" s="192">
        <f t="shared" si="11"/>
        <v>62771</v>
      </c>
      <c r="H62" s="192">
        <f t="shared" si="12"/>
        <v>59303</v>
      </c>
      <c r="I62" s="192">
        <f t="shared" si="13"/>
        <v>58852</v>
      </c>
      <c r="J62" s="192">
        <f t="shared" si="14"/>
        <v>65065</v>
      </c>
      <c r="K62" s="192">
        <f t="shared" si="15"/>
        <v>61991</v>
      </c>
      <c r="L62" s="192">
        <f t="shared" si="16"/>
        <v>66771</v>
      </c>
      <c r="M62" s="192">
        <f t="shared" si="17"/>
        <v>64493</v>
      </c>
    </row>
    <row r="63" spans="1:13">
      <c r="A63" s="146">
        <v>2034</v>
      </c>
      <c r="B63" s="192">
        <f t="shared" si="6"/>
        <v>73773</v>
      </c>
      <c r="C63" s="192">
        <f t="shared" si="7"/>
        <v>78526</v>
      </c>
      <c r="D63" s="192">
        <f t="shared" si="8"/>
        <v>62394</v>
      </c>
      <c r="E63" s="192">
        <f t="shared" si="9"/>
        <v>63323</v>
      </c>
      <c r="F63" s="192">
        <f t="shared" si="10"/>
        <v>63928</v>
      </c>
      <c r="G63" s="192">
        <f t="shared" si="11"/>
        <v>63085</v>
      </c>
      <c r="H63" s="192">
        <f t="shared" si="12"/>
        <v>59599</v>
      </c>
      <c r="I63" s="192">
        <f t="shared" si="13"/>
        <v>59146</v>
      </c>
      <c r="J63" s="192">
        <f t="shared" si="14"/>
        <v>65390</v>
      </c>
      <c r="K63" s="192">
        <f t="shared" si="15"/>
        <v>62301</v>
      </c>
      <c r="L63" s="192">
        <f t="shared" si="16"/>
        <v>67105</v>
      </c>
      <c r="M63" s="192">
        <f t="shared" si="17"/>
        <v>64815</v>
      </c>
    </row>
    <row r="64" spans="1:13">
      <c r="A64" s="146">
        <v>2035</v>
      </c>
      <c r="B64" s="192">
        <f t="shared" si="6"/>
        <v>74142</v>
      </c>
      <c r="C64" s="192">
        <f t="shared" si="7"/>
        <v>78919</v>
      </c>
      <c r="D64" s="192">
        <f t="shared" si="8"/>
        <v>62706</v>
      </c>
      <c r="E64" s="192">
        <f t="shared" si="9"/>
        <v>63640</v>
      </c>
      <c r="F64" s="192">
        <f t="shared" si="10"/>
        <v>64248</v>
      </c>
      <c r="G64" s="192">
        <f t="shared" si="11"/>
        <v>63400</v>
      </c>
      <c r="H64" s="192">
        <f t="shared" si="12"/>
        <v>59897</v>
      </c>
      <c r="I64" s="192">
        <f t="shared" si="13"/>
        <v>59442</v>
      </c>
      <c r="J64" s="192">
        <f t="shared" si="14"/>
        <v>65717</v>
      </c>
      <c r="K64" s="192">
        <f t="shared" si="15"/>
        <v>62612</v>
      </c>
      <c r="L64" s="192">
        <f t="shared" si="16"/>
        <v>67440</v>
      </c>
      <c r="M64" s="192">
        <f t="shared" si="17"/>
        <v>65140</v>
      </c>
    </row>
    <row r="65" spans="1:17">
      <c r="A65" s="111"/>
      <c r="B65" s="74"/>
      <c r="C65" s="74"/>
      <c r="D65" s="74"/>
      <c r="E65" s="74"/>
      <c r="F65" s="74"/>
      <c r="G65" s="74"/>
      <c r="H65" s="163"/>
      <c r="I65" s="163"/>
      <c r="J65" s="66"/>
      <c r="K65" s="74"/>
    </row>
    <row r="66" spans="1:17">
      <c r="A66" s="191" t="s">
        <v>144</v>
      </c>
      <c r="B66">
        <v>1.1930000000000001</v>
      </c>
      <c r="C66">
        <v>1.081</v>
      </c>
      <c r="D66">
        <v>0.85499999999999998</v>
      </c>
      <c r="E66">
        <v>0.78700000000000003</v>
      </c>
      <c r="F66">
        <v>0.97299999999999998</v>
      </c>
      <c r="G66">
        <v>1.0820000000000001</v>
      </c>
      <c r="H66">
        <v>1.099</v>
      </c>
      <c r="I66">
        <v>1.0940000000000001</v>
      </c>
      <c r="J66">
        <v>1.05</v>
      </c>
      <c r="K66">
        <v>0.86299999999999999</v>
      </c>
      <c r="L66">
        <v>0.93799999999999994</v>
      </c>
      <c r="M66">
        <v>0.92900000000000005</v>
      </c>
    </row>
    <row r="67" spans="1:17">
      <c r="A67" s="190" t="s">
        <v>145</v>
      </c>
      <c r="B67" s="74"/>
      <c r="C67" s="74"/>
      <c r="D67" s="74"/>
      <c r="E67" s="74"/>
      <c r="F67" s="74"/>
      <c r="G67" s="74"/>
      <c r="H67" s="163"/>
      <c r="I67" s="163"/>
      <c r="J67" s="66"/>
      <c r="K67" s="74"/>
      <c r="N67" s="216" t="s">
        <v>160</v>
      </c>
      <c r="O67" s="216"/>
      <c r="P67" s="216" t="s">
        <v>139</v>
      </c>
      <c r="Q67" s="216"/>
    </row>
    <row r="68" spans="1:17">
      <c r="A68" s="146">
        <v>2026</v>
      </c>
      <c r="B68" s="193">
        <f>ROUND(B55*B$66,0)</f>
        <v>84569</v>
      </c>
      <c r="C68" s="193">
        <f t="shared" ref="C68:M68" si="18">ROUND(C55*C$66,0)</f>
        <v>81566</v>
      </c>
      <c r="D68" s="193">
        <f t="shared" si="18"/>
        <v>51260</v>
      </c>
      <c r="E68" s="193">
        <f t="shared" si="18"/>
        <v>47886</v>
      </c>
      <c r="F68" s="193">
        <f t="shared" si="18"/>
        <v>59769</v>
      </c>
      <c r="G68" s="193">
        <f t="shared" si="18"/>
        <v>65588</v>
      </c>
      <c r="H68" s="193">
        <f t="shared" si="18"/>
        <v>62938</v>
      </c>
      <c r="I68" s="193">
        <f t="shared" si="18"/>
        <v>62174</v>
      </c>
      <c r="J68" s="193">
        <f t="shared" si="18"/>
        <v>65974</v>
      </c>
      <c r="K68" s="193">
        <f t="shared" si="18"/>
        <v>51663</v>
      </c>
      <c r="L68" s="193">
        <f t="shared" si="18"/>
        <v>60482</v>
      </c>
      <c r="M68" s="193">
        <f t="shared" si="18"/>
        <v>57858</v>
      </c>
      <c r="N68" s="179">
        <f>MAX(B68:M68)</f>
        <v>84569</v>
      </c>
      <c r="O68" s="174" t="s">
        <v>32</v>
      </c>
      <c r="P68" s="179">
        <f>MAX(G68:I68)</f>
        <v>65588</v>
      </c>
      <c r="Q68" s="174" t="s">
        <v>37</v>
      </c>
    </row>
    <row r="69" spans="1:17">
      <c r="A69" s="146">
        <v>2027</v>
      </c>
      <c r="B69" s="193">
        <f t="shared" ref="B69:M77" si="19">ROUND(B56*B$66,0)</f>
        <v>84992</v>
      </c>
      <c r="C69" s="193">
        <f t="shared" si="19"/>
        <v>81974</v>
      </c>
      <c r="D69" s="193">
        <f t="shared" si="19"/>
        <v>51516</v>
      </c>
      <c r="E69" s="193">
        <f t="shared" si="19"/>
        <v>48126</v>
      </c>
      <c r="F69" s="193">
        <f t="shared" si="19"/>
        <v>60068</v>
      </c>
      <c r="G69" s="193">
        <f t="shared" si="19"/>
        <v>65917</v>
      </c>
      <c r="H69" s="193">
        <f t="shared" si="19"/>
        <v>63253</v>
      </c>
      <c r="I69" s="193">
        <f t="shared" si="19"/>
        <v>62486</v>
      </c>
      <c r="J69" s="193">
        <f t="shared" si="19"/>
        <v>66303</v>
      </c>
      <c r="K69" s="193">
        <f t="shared" si="19"/>
        <v>51921</v>
      </c>
      <c r="L69" s="193">
        <f t="shared" si="19"/>
        <v>60784</v>
      </c>
      <c r="M69" s="193">
        <f t="shared" si="19"/>
        <v>58148</v>
      </c>
      <c r="N69" s="179">
        <f t="shared" ref="N69:N77" si="20">MAX(B69:M69)</f>
        <v>84992</v>
      </c>
      <c r="O69" s="196" t="s">
        <v>32</v>
      </c>
      <c r="P69" s="179">
        <f t="shared" ref="P69:P77" si="21">MAX(G69:I69)</f>
        <v>65917</v>
      </c>
      <c r="Q69" s="174" t="s">
        <v>37</v>
      </c>
    </row>
    <row r="70" spans="1:17">
      <c r="A70" s="146">
        <v>2028</v>
      </c>
      <c r="B70" s="193">
        <f t="shared" si="19"/>
        <v>85416</v>
      </c>
      <c r="C70" s="193">
        <f t="shared" si="19"/>
        <v>82384</v>
      </c>
      <c r="D70" s="193">
        <f t="shared" si="19"/>
        <v>51774</v>
      </c>
      <c r="E70" s="193">
        <f t="shared" si="19"/>
        <v>48366</v>
      </c>
      <c r="F70" s="193">
        <f t="shared" si="19"/>
        <v>60369</v>
      </c>
      <c r="G70" s="193">
        <f t="shared" si="19"/>
        <v>66245</v>
      </c>
      <c r="H70" s="193">
        <f t="shared" si="19"/>
        <v>63568</v>
      </c>
      <c r="I70" s="193">
        <f t="shared" si="19"/>
        <v>62798</v>
      </c>
      <c r="J70" s="193">
        <f t="shared" si="19"/>
        <v>66635</v>
      </c>
      <c r="K70" s="193">
        <f t="shared" si="19"/>
        <v>52180</v>
      </c>
      <c r="L70" s="193">
        <f t="shared" si="19"/>
        <v>61088</v>
      </c>
      <c r="M70" s="193">
        <f t="shared" si="19"/>
        <v>58439</v>
      </c>
      <c r="N70" s="179">
        <f t="shared" si="20"/>
        <v>85416</v>
      </c>
      <c r="O70" s="196" t="s">
        <v>32</v>
      </c>
      <c r="P70" s="179">
        <f t="shared" si="21"/>
        <v>66245</v>
      </c>
      <c r="Q70" s="174" t="s">
        <v>37</v>
      </c>
    </row>
    <row r="71" spans="1:17">
      <c r="A71" s="146">
        <v>2029</v>
      </c>
      <c r="B71" s="193">
        <f t="shared" si="19"/>
        <v>85844</v>
      </c>
      <c r="C71" s="193">
        <f t="shared" si="19"/>
        <v>82796</v>
      </c>
      <c r="D71" s="193">
        <f t="shared" si="19"/>
        <v>52033</v>
      </c>
      <c r="E71" s="193">
        <f t="shared" si="19"/>
        <v>48608</v>
      </c>
      <c r="F71" s="193">
        <f t="shared" si="19"/>
        <v>60670</v>
      </c>
      <c r="G71" s="193">
        <f t="shared" si="19"/>
        <v>66577</v>
      </c>
      <c r="H71" s="193">
        <f t="shared" si="19"/>
        <v>63887</v>
      </c>
      <c r="I71" s="193">
        <f t="shared" si="19"/>
        <v>63112</v>
      </c>
      <c r="J71" s="193">
        <f t="shared" si="19"/>
        <v>66968</v>
      </c>
      <c r="K71" s="193">
        <f t="shared" si="19"/>
        <v>52441</v>
      </c>
      <c r="L71" s="193">
        <f t="shared" si="19"/>
        <v>61394</v>
      </c>
      <c r="M71" s="193">
        <f t="shared" si="19"/>
        <v>58730</v>
      </c>
      <c r="N71" s="179">
        <f t="shared" si="20"/>
        <v>85844</v>
      </c>
      <c r="O71" s="196" t="s">
        <v>32</v>
      </c>
      <c r="P71" s="179">
        <f t="shared" si="21"/>
        <v>66577</v>
      </c>
      <c r="Q71" s="174" t="s">
        <v>37</v>
      </c>
    </row>
    <row r="72" spans="1:17">
      <c r="A72" s="146">
        <v>2030</v>
      </c>
      <c r="B72" s="193">
        <f t="shared" si="19"/>
        <v>86273</v>
      </c>
      <c r="C72" s="193">
        <f t="shared" si="19"/>
        <v>83210</v>
      </c>
      <c r="D72" s="193">
        <f t="shared" si="19"/>
        <v>52293</v>
      </c>
      <c r="E72" s="193">
        <f t="shared" si="19"/>
        <v>48851</v>
      </c>
      <c r="F72" s="193">
        <f t="shared" si="19"/>
        <v>60974</v>
      </c>
      <c r="G72" s="193">
        <f t="shared" si="19"/>
        <v>66910</v>
      </c>
      <c r="H72" s="193">
        <f t="shared" si="19"/>
        <v>64206</v>
      </c>
      <c r="I72" s="193">
        <f t="shared" si="19"/>
        <v>63428</v>
      </c>
      <c r="J72" s="193">
        <f t="shared" si="19"/>
        <v>67303</v>
      </c>
      <c r="K72" s="193">
        <f t="shared" si="19"/>
        <v>52703</v>
      </c>
      <c r="L72" s="193">
        <f t="shared" si="19"/>
        <v>61701</v>
      </c>
      <c r="M72" s="193">
        <f t="shared" si="19"/>
        <v>59024</v>
      </c>
      <c r="N72" s="179">
        <f t="shared" si="20"/>
        <v>86273</v>
      </c>
      <c r="O72" s="196" t="s">
        <v>32</v>
      </c>
      <c r="P72" s="179">
        <f t="shared" si="21"/>
        <v>66910</v>
      </c>
      <c r="Q72" s="174" t="s">
        <v>37</v>
      </c>
    </row>
    <row r="73" spans="1:17">
      <c r="A73" s="146">
        <v>2031</v>
      </c>
      <c r="B73" s="193">
        <f t="shared" si="19"/>
        <v>86705</v>
      </c>
      <c r="C73" s="193">
        <f t="shared" si="19"/>
        <v>83626</v>
      </c>
      <c r="D73" s="193">
        <f t="shared" si="19"/>
        <v>52554</v>
      </c>
      <c r="E73" s="193">
        <f t="shared" si="19"/>
        <v>49095</v>
      </c>
      <c r="F73" s="193">
        <f t="shared" si="19"/>
        <v>61279</v>
      </c>
      <c r="G73" s="193">
        <f t="shared" si="19"/>
        <v>67244</v>
      </c>
      <c r="H73" s="193">
        <f t="shared" si="19"/>
        <v>64527</v>
      </c>
      <c r="I73" s="193">
        <f t="shared" si="19"/>
        <v>63744</v>
      </c>
      <c r="J73" s="193">
        <f t="shared" si="19"/>
        <v>67640</v>
      </c>
      <c r="K73" s="193">
        <f t="shared" si="19"/>
        <v>52967</v>
      </c>
      <c r="L73" s="193">
        <f t="shared" si="19"/>
        <v>62009</v>
      </c>
      <c r="M73" s="193">
        <f t="shared" si="19"/>
        <v>59319</v>
      </c>
      <c r="N73" s="179">
        <f t="shared" si="20"/>
        <v>86705</v>
      </c>
      <c r="O73" s="196" t="s">
        <v>32</v>
      </c>
      <c r="P73" s="179">
        <f t="shared" si="21"/>
        <v>67244</v>
      </c>
      <c r="Q73" s="174" t="s">
        <v>37</v>
      </c>
    </row>
    <row r="74" spans="1:17">
      <c r="A74" s="146">
        <v>2032</v>
      </c>
      <c r="B74" s="193">
        <f t="shared" si="19"/>
        <v>87138</v>
      </c>
      <c r="C74" s="193">
        <f t="shared" si="19"/>
        <v>84045</v>
      </c>
      <c r="D74" s="193">
        <f t="shared" si="19"/>
        <v>52818</v>
      </c>
      <c r="E74" s="193">
        <f t="shared" si="19"/>
        <v>49341</v>
      </c>
      <c r="F74" s="193">
        <f t="shared" si="19"/>
        <v>61585</v>
      </c>
      <c r="G74" s="193">
        <f t="shared" si="19"/>
        <v>67581</v>
      </c>
      <c r="H74" s="193">
        <f t="shared" si="19"/>
        <v>64850</v>
      </c>
      <c r="I74" s="193">
        <f t="shared" si="19"/>
        <v>64064</v>
      </c>
      <c r="J74" s="193">
        <f t="shared" si="19"/>
        <v>67978</v>
      </c>
      <c r="K74" s="193">
        <f t="shared" si="19"/>
        <v>53232</v>
      </c>
      <c r="L74" s="193">
        <f t="shared" si="19"/>
        <v>62320</v>
      </c>
      <c r="M74" s="193">
        <f t="shared" si="19"/>
        <v>59616</v>
      </c>
      <c r="N74" s="179">
        <f t="shared" si="20"/>
        <v>87138</v>
      </c>
      <c r="O74" s="196" t="s">
        <v>32</v>
      </c>
      <c r="P74" s="179">
        <f t="shared" si="21"/>
        <v>67581</v>
      </c>
      <c r="Q74" s="174" t="s">
        <v>37</v>
      </c>
    </row>
    <row r="75" spans="1:17">
      <c r="A75" s="146">
        <v>2033</v>
      </c>
      <c r="B75" s="193">
        <f t="shared" si="19"/>
        <v>87573</v>
      </c>
      <c r="C75" s="193">
        <f t="shared" si="19"/>
        <v>84464</v>
      </c>
      <c r="D75" s="193">
        <f t="shared" si="19"/>
        <v>53081</v>
      </c>
      <c r="E75" s="193">
        <f t="shared" si="19"/>
        <v>49587</v>
      </c>
      <c r="F75" s="193">
        <f t="shared" si="19"/>
        <v>61893</v>
      </c>
      <c r="G75" s="193">
        <f t="shared" si="19"/>
        <v>67918</v>
      </c>
      <c r="H75" s="193">
        <f t="shared" si="19"/>
        <v>65174</v>
      </c>
      <c r="I75" s="193">
        <f t="shared" si="19"/>
        <v>64384</v>
      </c>
      <c r="J75" s="193">
        <f t="shared" si="19"/>
        <v>68318</v>
      </c>
      <c r="K75" s="193">
        <f t="shared" si="19"/>
        <v>53498</v>
      </c>
      <c r="L75" s="193">
        <f t="shared" si="19"/>
        <v>62631</v>
      </c>
      <c r="M75" s="193">
        <f t="shared" si="19"/>
        <v>59914</v>
      </c>
      <c r="N75" s="179">
        <f t="shared" si="20"/>
        <v>87573</v>
      </c>
      <c r="O75" s="196" t="s">
        <v>32</v>
      </c>
      <c r="P75" s="179">
        <f t="shared" si="21"/>
        <v>67918</v>
      </c>
      <c r="Q75" s="174" t="s">
        <v>37</v>
      </c>
    </row>
    <row r="76" spans="1:17">
      <c r="A76" s="146">
        <v>2034</v>
      </c>
      <c r="B76" s="193">
        <f t="shared" si="19"/>
        <v>88011</v>
      </c>
      <c r="C76" s="193">
        <f t="shared" si="19"/>
        <v>84887</v>
      </c>
      <c r="D76" s="193">
        <f t="shared" si="19"/>
        <v>53347</v>
      </c>
      <c r="E76" s="193">
        <f t="shared" si="19"/>
        <v>49835</v>
      </c>
      <c r="F76" s="193">
        <f t="shared" si="19"/>
        <v>62202</v>
      </c>
      <c r="G76" s="193">
        <f t="shared" si="19"/>
        <v>68258</v>
      </c>
      <c r="H76" s="193">
        <f t="shared" si="19"/>
        <v>65499</v>
      </c>
      <c r="I76" s="193">
        <f t="shared" si="19"/>
        <v>64706</v>
      </c>
      <c r="J76" s="193">
        <f t="shared" si="19"/>
        <v>68660</v>
      </c>
      <c r="K76" s="193">
        <f t="shared" si="19"/>
        <v>53766</v>
      </c>
      <c r="L76" s="193">
        <f t="shared" si="19"/>
        <v>62944</v>
      </c>
      <c r="M76" s="193">
        <f t="shared" si="19"/>
        <v>60213</v>
      </c>
      <c r="N76" s="179">
        <f t="shared" si="20"/>
        <v>88011</v>
      </c>
      <c r="O76" s="196" t="s">
        <v>32</v>
      </c>
      <c r="P76" s="179">
        <f t="shared" si="21"/>
        <v>68258</v>
      </c>
      <c r="Q76" s="174" t="s">
        <v>37</v>
      </c>
    </row>
    <row r="77" spans="1:17">
      <c r="A77" s="146">
        <v>2035</v>
      </c>
      <c r="B77" s="193">
        <f>ROUND(B64*B$66,0)</f>
        <v>88451</v>
      </c>
      <c r="C77" s="193">
        <f t="shared" si="19"/>
        <v>85311</v>
      </c>
      <c r="D77" s="193">
        <f t="shared" si="19"/>
        <v>53614</v>
      </c>
      <c r="E77" s="193">
        <f t="shared" si="19"/>
        <v>50085</v>
      </c>
      <c r="F77" s="193">
        <f t="shared" si="19"/>
        <v>62513</v>
      </c>
      <c r="G77" s="193">
        <f t="shared" si="19"/>
        <v>68599</v>
      </c>
      <c r="H77" s="193">
        <f t="shared" si="19"/>
        <v>65827</v>
      </c>
      <c r="I77" s="193">
        <f t="shared" si="19"/>
        <v>65030</v>
      </c>
      <c r="J77" s="193">
        <f t="shared" si="19"/>
        <v>69003</v>
      </c>
      <c r="K77" s="193">
        <f t="shared" si="19"/>
        <v>54034</v>
      </c>
      <c r="L77" s="193">
        <f t="shared" si="19"/>
        <v>63259</v>
      </c>
      <c r="M77" s="193">
        <f t="shared" si="19"/>
        <v>60515</v>
      </c>
      <c r="N77" s="179">
        <f t="shared" si="20"/>
        <v>88451</v>
      </c>
      <c r="O77" s="196" t="s">
        <v>32</v>
      </c>
      <c r="P77" s="179">
        <f t="shared" si="21"/>
        <v>68599</v>
      </c>
      <c r="Q77" s="174" t="s">
        <v>37</v>
      </c>
    </row>
    <row r="78" spans="1:17">
      <c r="A78" s="146"/>
      <c r="B78" s="74"/>
      <c r="C78" s="74"/>
      <c r="D78" s="74"/>
      <c r="E78" s="74"/>
      <c r="F78" s="74"/>
      <c r="G78" s="74"/>
      <c r="H78" s="163"/>
      <c r="I78" s="163"/>
      <c r="J78" s="66"/>
      <c r="K78" s="74"/>
    </row>
    <row r="79" spans="1:17">
      <c r="A79" s="200" t="s">
        <v>135</v>
      </c>
      <c r="B79" s="197" t="s">
        <v>112</v>
      </c>
      <c r="C79" s="201" t="s">
        <v>101</v>
      </c>
      <c r="D79" s="74"/>
      <c r="E79" s="74"/>
      <c r="F79" s="74"/>
      <c r="G79" s="74"/>
      <c r="H79" s="163"/>
      <c r="I79" s="163"/>
      <c r="J79" s="66"/>
      <c r="K79" s="74"/>
    </row>
    <row r="80" spans="1:17">
      <c r="A80" s="202">
        <v>2026</v>
      </c>
      <c r="B80" s="203">
        <f>SUM(B68:M68)</f>
        <v>751727</v>
      </c>
      <c r="C80" s="203">
        <f>SUM(B40:M40)</f>
        <v>331988238</v>
      </c>
      <c r="D80" s="74"/>
      <c r="E80" s="74"/>
      <c r="F80" s="74"/>
      <c r="G80" s="74"/>
      <c r="H80" s="163"/>
      <c r="I80" s="163"/>
      <c r="J80" s="66"/>
      <c r="K80" s="74"/>
    </row>
    <row r="81" spans="1:11">
      <c r="A81" s="202">
        <v>2027</v>
      </c>
      <c r="B81" s="203">
        <f t="shared" ref="B81:B89" si="22">SUM(B69:M69)</f>
        <v>755488</v>
      </c>
      <c r="C81" s="203">
        <f t="shared" ref="C81:C89" si="23">SUM(B41:M41)</f>
        <v>333648178</v>
      </c>
      <c r="D81" s="74"/>
      <c r="E81" s="74"/>
      <c r="F81" s="74"/>
      <c r="G81" s="74"/>
      <c r="H81" s="163"/>
      <c r="I81" s="163"/>
      <c r="J81" s="66"/>
      <c r="K81" s="74"/>
    </row>
    <row r="82" spans="1:11">
      <c r="A82" s="202">
        <v>2028</v>
      </c>
      <c r="B82" s="203">
        <f t="shared" si="22"/>
        <v>759262</v>
      </c>
      <c r="C82" s="203">
        <f t="shared" si="23"/>
        <v>335316419</v>
      </c>
      <c r="D82" s="74"/>
      <c r="E82" s="74"/>
      <c r="F82" s="74"/>
      <c r="G82" s="74"/>
      <c r="H82" s="163"/>
      <c r="I82" s="163"/>
      <c r="J82" s="66"/>
      <c r="K82" s="74"/>
    </row>
    <row r="83" spans="1:11">
      <c r="A83" s="202">
        <v>2029</v>
      </c>
      <c r="B83" s="203">
        <f t="shared" si="22"/>
        <v>763060</v>
      </c>
      <c r="C83" s="203">
        <f t="shared" si="23"/>
        <v>336992999</v>
      </c>
      <c r="D83" s="74"/>
      <c r="E83" s="74"/>
      <c r="F83" s="74"/>
      <c r="G83" s="74"/>
      <c r="H83" s="163"/>
      <c r="I83" s="163"/>
      <c r="J83" s="66"/>
      <c r="K83" s="74"/>
    </row>
    <row r="84" spans="1:11">
      <c r="A84" s="202">
        <v>2030</v>
      </c>
      <c r="B84" s="203">
        <f t="shared" si="22"/>
        <v>766876</v>
      </c>
      <c r="C84" s="203">
        <f t="shared" si="23"/>
        <v>338677964</v>
      </c>
      <c r="D84" s="74"/>
      <c r="E84" s="74"/>
      <c r="F84" s="74"/>
      <c r="G84" s="74"/>
      <c r="H84" s="163"/>
      <c r="I84" s="163"/>
      <c r="J84" s="66"/>
      <c r="K84" s="74"/>
    </row>
    <row r="85" spans="1:11">
      <c r="A85" s="202">
        <v>2031</v>
      </c>
      <c r="B85" s="203">
        <f t="shared" si="22"/>
        <v>770709</v>
      </c>
      <c r="C85" s="203">
        <f t="shared" si="23"/>
        <v>340371356</v>
      </c>
      <c r="D85" s="74"/>
      <c r="E85" s="74"/>
      <c r="F85" s="74"/>
      <c r="G85" s="74"/>
      <c r="H85" s="163"/>
      <c r="I85" s="163"/>
      <c r="J85" s="66"/>
      <c r="K85" s="74"/>
    </row>
    <row r="86" spans="1:11">
      <c r="A86" s="202">
        <v>2032</v>
      </c>
      <c r="B86" s="203">
        <f t="shared" si="22"/>
        <v>774568</v>
      </c>
      <c r="C86" s="203">
        <f t="shared" si="23"/>
        <v>342073211</v>
      </c>
      <c r="D86" s="74"/>
      <c r="E86" s="74"/>
      <c r="F86" s="74"/>
      <c r="G86" s="74"/>
      <c r="H86" s="163"/>
      <c r="I86" s="163"/>
      <c r="J86" s="66"/>
      <c r="K86" s="74"/>
    </row>
    <row r="87" spans="1:11">
      <c r="A87" s="202">
        <v>2033</v>
      </c>
      <c r="B87" s="203">
        <f t="shared" si="22"/>
        <v>778435</v>
      </c>
      <c r="C87" s="203">
        <f t="shared" si="23"/>
        <v>343783577</v>
      </c>
      <c r="D87" s="74"/>
      <c r="E87" s="74"/>
      <c r="F87" s="74"/>
      <c r="G87" s="74"/>
      <c r="H87" s="163"/>
      <c r="I87" s="163"/>
      <c r="J87" s="66"/>
      <c r="K87" s="74"/>
    </row>
    <row r="88" spans="1:11">
      <c r="A88" s="202">
        <v>2034</v>
      </c>
      <c r="B88" s="203">
        <f t="shared" si="22"/>
        <v>782328</v>
      </c>
      <c r="C88" s="203">
        <f t="shared" si="23"/>
        <v>345502496</v>
      </c>
      <c r="D88" s="74"/>
      <c r="E88" s="74"/>
      <c r="F88" s="74"/>
      <c r="G88" s="74"/>
      <c r="H88" s="163"/>
      <c r="I88" s="163"/>
      <c r="J88" s="66"/>
      <c r="K88" s="74"/>
    </row>
    <row r="89" spans="1:11">
      <c r="A89" s="202">
        <v>2035</v>
      </c>
      <c r="B89" s="203">
        <f t="shared" si="22"/>
        <v>786241</v>
      </c>
      <c r="C89" s="203">
        <f t="shared" si="23"/>
        <v>347230006</v>
      </c>
      <c r="D89" s="164"/>
      <c r="E89" s="164"/>
      <c r="F89" s="74"/>
      <c r="G89" s="74"/>
      <c r="H89" s="74"/>
      <c r="I89" s="74"/>
      <c r="J89" s="74"/>
      <c r="K89" s="74"/>
    </row>
  </sheetData>
  <mergeCells count="3">
    <mergeCell ref="N24:P24"/>
    <mergeCell ref="N67:O67"/>
    <mergeCell ref="P67:Q67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3:E24"/>
  <sheetViews>
    <sheetView workbookViewId="0">
      <selection activeCell="L15" sqref="L15"/>
    </sheetView>
  </sheetViews>
  <sheetFormatPr defaultRowHeight="12.75"/>
  <cols>
    <col min="1" max="1" width="11" customWidth="1"/>
    <col min="2" max="2" width="18.28515625" customWidth="1"/>
    <col min="3" max="3" width="13.7109375" customWidth="1"/>
    <col min="4" max="4" width="18.28515625" customWidth="1"/>
    <col min="5" max="5" width="13.7109375" customWidth="1"/>
  </cols>
  <sheetData>
    <row r="3" spans="1:5">
      <c r="A3" s="175" t="s">
        <v>136</v>
      </c>
      <c r="B3" s="175" t="s">
        <v>137</v>
      </c>
      <c r="C3" s="175" t="s">
        <v>108</v>
      </c>
      <c r="D3" s="175" t="s">
        <v>138</v>
      </c>
      <c r="E3" s="175" t="s">
        <v>108</v>
      </c>
    </row>
    <row r="4" spans="1:5">
      <c r="A4" s="175">
        <v>2016</v>
      </c>
      <c r="B4" s="195">
        <v>71936</v>
      </c>
      <c r="C4" s="3" t="s">
        <v>32</v>
      </c>
      <c r="D4" s="195">
        <v>66486</v>
      </c>
      <c r="E4" s="194" t="s">
        <v>38</v>
      </c>
    </row>
    <row r="5" spans="1:5">
      <c r="A5" s="175">
        <f>A4+1</f>
        <v>2017</v>
      </c>
      <c r="B5" s="195">
        <v>72413</v>
      </c>
      <c r="C5" s="3" t="s">
        <v>32</v>
      </c>
      <c r="D5" s="195">
        <v>66924</v>
      </c>
      <c r="E5" s="194" t="s">
        <v>38</v>
      </c>
    </row>
    <row r="6" spans="1:5">
      <c r="A6" s="175">
        <f t="shared" ref="A6:A24" si="0">A5+1</f>
        <v>2018</v>
      </c>
      <c r="B6" s="195">
        <v>80061</v>
      </c>
      <c r="C6" s="3" t="s">
        <v>32</v>
      </c>
      <c r="D6" s="195">
        <v>62091</v>
      </c>
      <c r="E6" s="3" t="s">
        <v>37</v>
      </c>
    </row>
    <row r="7" spans="1:5">
      <c r="A7" s="175">
        <f t="shared" si="0"/>
        <v>2019</v>
      </c>
      <c r="B7" s="195">
        <v>80861</v>
      </c>
      <c r="C7" s="3" t="s">
        <v>32</v>
      </c>
      <c r="D7" s="195">
        <v>62712</v>
      </c>
      <c r="E7" s="3" t="s">
        <v>37</v>
      </c>
    </row>
    <row r="8" spans="1:5">
      <c r="A8" s="175">
        <f t="shared" si="0"/>
        <v>2020</v>
      </c>
      <c r="B8" s="195">
        <v>81670</v>
      </c>
      <c r="C8" s="3" t="s">
        <v>32</v>
      </c>
      <c r="D8" s="195">
        <v>63339</v>
      </c>
      <c r="E8" s="3" t="s">
        <v>37</v>
      </c>
    </row>
    <row r="9" spans="1:5">
      <c r="A9" s="175">
        <f t="shared" si="0"/>
        <v>2021</v>
      </c>
      <c r="B9" s="195">
        <v>82486</v>
      </c>
      <c r="C9" s="3" t="s">
        <v>32</v>
      </c>
      <c r="D9" s="195">
        <v>63972</v>
      </c>
      <c r="E9" s="3" t="s">
        <v>37</v>
      </c>
    </row>
    <row r="10" spans="1:5">
      <c r="A10" s="175">
        <f t="shared" si="0"/>
        <v>2022</v>
      </c>
      <c r="B10" s="195">
        <v>82486</v>
      </c>
      <c r="C10" s="3" t="s">
        <v>32</v>
      </c>
      <c r="D10" s="195">
        <v>63973</v>
      </c>
      <c r="E10" s="3" t="s">
        <v>37</v>
      </c>
    </row>
    <row r="11" spans="1:5">
      <c r="A11" s="175">
        <f t="shared" si="0"/>
        <v>2023</v>
      </c>
      <c r="B11" s="195">
        <v>82899</v>
      </c>
      <c r="C11" s="3" t="s">
        <v>32</v>
      </c>
      <c r="D11" s="195">
        <v>64292</v>
      </c>
      <c r="E11" s="3" t="s">
        <v>37</v>
      </c>
    </row>
    <row r="12" spans="1:5">
      <c r="A12" s="175">
        <f t="shared" si="0"/>
        <v>2024</v>
      </c>
      <c r="B12" s="195">
        <v>83313</v>
      </c>
      <c r="C12" s="3" t="s">
        <v>32</v>
      </c>
      <c r="D12" s="195">
        <v>64614</v>
      </c>
      <c r="E12" s="3" t="s">
        <v>37</v>
      </c>
    </row>
    <row r="13" spans="1:5">
      <c r="A13" s="175">
        <f t="shared" si="0"/>
        <v>2025</v>
      </c>
      <c r="B13" s="195">
        <v>83730</v>
      </c>
      <c r="C13" s="3" t="s">
        <v>32</v>
      </c>
      <c r="D13" s="195">
        <v>64937</v>
      </c>
      <c r="E13" s="3" t="s">
        <v>37</v>
      </c>
    </row>
    <row r="14" spans="1:5">
      <c r="A14" s="175">
        <f t="shared" si="0"/>
        <v>2026</v>
      </c>
      <c r="B14" s="195">
        <v>84148</v>
      </c>
      <c r="C14" s="3" t="s">
        <v>32</v>
      </c>
      <c r="D14" s="195">
        <v>65262</v>
      </c>
      <c r="E14" s="3" t="s">
        <v>37</v>
      </c>
    </row>
    <row r="15" spans="1:5">
      <c r="A15" s="175">
        <f t="shared" si="0"/>
        <v>2027</v>
      </c>
      <c r="B15" s="195">
        <v>84569</v>
      </c>
      <c r="C15" s="3" t="s">
        <v>32</v>
      </c>
      <c r="D15" s="195">
        <v>65588</v>
      </c>
      <c r="E15" s="3" t="s">
        <v>37</v>
      </c>
    </row>
    <row r="16" spans="1:5">
      <c r="A16" s="175">
        <f t="shared" si="0"/>
        <v>2028</v>
      </c>
      <c r="B16" s="195">
        <v>84992</v>
      </c>
      <c r="C16" s="3" t="s">
        <v>32</v>
      </c>
      <c r="D16" s="195">
        <v>65917</v>
      </c>
      <c r="E16" s="3" t="s">
        <v>37</v>
      </c>
    </row>
    <row r="17" spans="1:5">
      <c r="A17" s="175">
        <f t="shared" si="0"/>
        <v>2029</v>
      </c>
      <c r="B17" s="195">
        <v>85416</v>
      </c>
      <c r="C17" s="3" t="s">
        <v>32</v>
      </c>
      <c r="D17" s="195">
        <v>66245</v>
      </c>
      <c r="E17" s="3" t="s">
        <v>37</v>
      </c>
    </row>
    <row r="18" spans="1:5">
      <c r="A18" s="175">
        <f t="shared" si="0"/>
        <v>2030</v>
      </c>
      <c r="B18" s="195">
        <v>85844</v>
      </c>
      <c r="C18" s="3" t="s">
        <v>32</v>
      </c>
      <c r="D18" s="195">
        <v>66577</v>
      </c>
      <c r="E18" s="3" t="s">
        <v>37</v>
      </c>
    </row>
    <row r="19" spans="1:5">
      <c r="A19" s="175">
        <f t="shared" si="0"/>
        <v>2031</v>
      </c>
      <c r="B19" s="195">
        <v>86273</v>
      </c>
      <c r="C19" s="3" t="s">
        <v>32</v>
      </c>
      <c r="D19" s="195">
        <v>66910</v>
      </c>
      <c r="E19" s="3" t="s">
        <v>37</v>
      </c>
    </row>
    <row r="20" spans="1:5">
      <c r="A20" s="175">
        <f t="shared" si="0"/>
        <v>2032</v>
      </c>
      <c r="B20" s="195">
        <v>86705</v>
      </c>
      <c r="C20" s="3" t="s">
        <v>32</v>
      </c>
      <c r="D20" s="195">
        <v>67244</v>
      </c>
      <c r="E20" s="3" t="s">
        <v>37</v>
      </c>
    </row>
    <row r="21" spans="1:5">
      <c r="A21" s="175">
        <f t="shared" si="0"/>
        <v>2033</v>
      </c>
      <c r="B21" s="195">
        <v>87138</v>
      </c>
      <c r="C21" s="3" t="s">
        <v>32</v>
      </c>
      <c r="D21" s="195">
        <v>67581</v>
      </c>
      <c r="E21" s="3" t="s">
        <v>37</v>
      </c>
    </row>
    <row r="22" spans="1:5">
      <c r="A22" s="175">
        <f t="shared" si="0"/>
        <v>2034</v>
      </c>
      <c r="B22" s="195">
        <v>87573</v>
      </c>
      <c r="C22" s="3" t="s">
        <v>32</v>
      </c>
      <c r="D22" s="195">
        <v>67918</v>
      </c>
      <c r="E22" s="3" t="s">
        <v>37</v>
      </c>
    </row>
    <row r="23" spans="1:5">
      <c r="A23" s="175">
        <f t="shared" si="0"/>
        <v>2035</v>
      </c>
      <c r="B23" s="195">
        <v>88011</v>
      </c>
      <c r="C23" s="3" t="s">
        <v>32</v>
      </c>
      <c r="D23" s="195">
        <v>68258</v>
      </c>
      <c r="E23" s="3" t="s">
        <v>37</v>
      </c>
    </row>
    <row r="24" spans="1:5">
      <c r="A24" s="175">
        <f t="shared" si="0"/>
        <v>2036</v>
      </c>
      <c r="B24" s="195">
        <v>88451</v>
      </c>
      <c r="C24" s="3" t="s">
        <v>32</v>
      </c>
      <c r="D24" s="195">
        <v>68599</v>
      </c>
      <c r="E24" s="3" t="s">
        <v>37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Northwest Florida - Data</vt:lpstr>
      <vt:lpstr>Northwest Florida Forecast</vt:lpstr>
      <vt:lpstr>NW Monthly Energy &amp; Demand</vt:lpstr>
      <vt:lpstr>NW Fl History</vt:lpstr>
      <vt:lpstr>Sheet1</vt:lpstr>
      <vt:lpstr>Forecast 5 Year</vt:lpstr>
      <vt:lpstr>Forecast 10 year</vt:lpstr>
      <vt:lpstr>Forecast 20 Year</vt:lpstr>
      <vt:lpstr>Peak Forecast</vt:lpstr>
      <vt:lpstr>Yearly Comparison</vt:lpstr>
      <vt:lpstr>'NW Monthly Energy &amp; Demand'!Print_Area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