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A665\0-Regulatory\2019 GOALS DOCKET 20190018-EG\Discovery\STAFF\STAFF ROG 1 (1-33)\DEF Responses\ROG 11\"/>
    </mc:Choice>
  </mc:AlternateContent>
  <bookViews>
    <workbookView xWindow="0" yWindow="0" windowWidth="28800" windowHeight="12225" tabRatio="728"/>
  </bookViews>
  <sheets>
    <sheet name="Schedule_8" sheetId="10" r:id="rId1"/>
    <sheet name="Solar_Capacity" sheetId="11" r:id="rId2"/>
    <sheet name="Solar_Degradation" sheetId="12" r:id="rId3"/>
  </sheets>
  <externalReferences>
    <externalReference r:id="rId4"/>
    <externalReference r:id="rId5"/>
  </externalReferences>
  <definedNames>
    <definedName name="_PG1" localSheetId="0">#REF!</definedName>
    <definedName name="_PG1">#REF!</definedName>
    <definedName name="_PG123" localSheetId="0">#REF!</definedName>
    <definedName name="_PG123">#REF!</definedName>
    <definedName name="_PG2" localSheetId="0">#REF!</definedName>
    <definedName name="_PG2">#REF!</definedName>
    <definedName name="_PG3" localSheetId="0">#REF!</definedName>
    <definedName name="_PG3">#REF!</definedName>
    <definedName name="eee">'[1]SCHEDULE 3.2'!$A$1:$K$140</definedName>
    <definedName name="fff">'[1]SCHEDULE 3.2'!$A$1:$K$140</definedName>
    <definedName name="_xlnm.Print_Area" localSheetId="0">Schedule_8!$A$1:$AE$86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61" i="10" l="1"/>
  <c r="Y61" i="10"/>
  <c r="AA52" i="10"/>
  <c r="Y52" i="10"/>
  <c r="W16" i="10"/>
  <c r="AA65" i="10"/>
  <c r="Y65" i="10"/>
  <c r="AA56" i="10"/>
  <c r="Y56" i="10"/>
  <c r="AA43" i="10"/>
  <c r="Y43" i="10"/>
  <c r="Y75" i="10"/>
  <c r="Y72" i="10"/>
  <c r="Y70" i="10"/>
  <c r="Y67" i="10"/>
  <c r="Y66" i="10"/>
  <c r="Y63" i="10"/>
  <c r="Y58" i="10"/>
  <c r="Y59" i="10"/>
  <c r="Y54" i="10"/>
  <c r="Y53" i="10"/>
  <c r="Y50" i="10"/>
  <c r="Y48" i="10"/>
  <c r="B38" i="12"/>
  <c r="Y40" i="10"/>
  <c r="Y39" i="10"/>
  <c r="Y38" i="10"/>
  <c r="AA31" i="10"/>
  <c r="Y31" i="10"/>
  <c r="AA21" i="10"/>
  <c r="Y21" i="10"/>
  <c r="AA20" i="10"/>
  <c r="Y20" i="10"/>
  <c r="AA35" i="10"/>
  <c r="Y35" i="10"/>
  <c r="AA34" i="10"/>
  <c r="Y34" i="10"/>
  <c r="Y37" i="10"/>
  <c r="Y36" i="10"/>
  <c r="C19" i="12"/>
  <c r="C18" i="12"/>
  <c r="C17" i="12"/>
  <c r="C15" i="12"/>
  <c r="C14" i="12"/>
  <c r="C13" i="12"/>
  <c r="C12" i="12"/>
  <c r="C10" i="12"/>
  <c r="C9" i="12"/>
  <c r="C6" i="12"/>
  <c r="C4" i="12"/>
  <c r="C3" i="12"/>
  <c r="C2" i="12"/>
  <c r="D1" i="12"/>
  <c r="W25" i="10"/>
  <c r="AA25" i="10" s="1"/>
  <c r="C18" i="11"/>
  <c r="C17" i="11"/>
  <c r="C19" i="11"/>
  <c r="K19" i="11" s="1"/>
  <c r="L19" i="11" s="1"/>
  <c r="I8" i="11"/>
  <c r="C13" i="11"/>
  <c r="I13" i="11"/>
  <c r="C15" i="11"/>
  <c r="C14" i="11"/>
  <c r="J14" i="11" s="1"/>
  <c r="K14" i="11" s="1"/>
  <c r="C12" i="11"/>
  <c r="C10" i="11"/>
  <c r="C9" i="11"/>
  <c r="C6" i="11"/>
  <c r="Y25" i="10"/>
  <c r="W24" i="10"/>
  <c r="Y24" i="10" s="1"/>
  <c r="W23" i="10"/>
  <c r="Y23" i="10"/>
  <c r="W19" i="10"/>
  <c r="W18" i="10"/>
  <c r="Y18" i="10"/>
  <c r="W15" i="10"/>
  <c r="AA15" i="10" s="1"/>
  <c r="Y13" i="10"/>
  <c r="W14" i="10"/>
  <c r="Y14" i="10"/>
  <c r="C4" i="11"/>
  <c r="G4" i="11" s="1"/>
  <c r="C3" i="11"/>
  <c r="E3" i="11"/>
  <c r="F3" i="11" s="1"/>
  <c r="C2" i="11"/>
  <c r="E2" i="11" s="1"/>
  <c r="F2" i="11" s="1"/>
  <c r="K18" i="11"/>
  <c r="L18" i="11" s="1"/>
  <c r="M18" i="11" s="1"/>
  <c r="N18" i="11" s="1"/>
  <c r="K17" i="11"/>
  <c r="J15" i="11"/>
  <c r="I12" i="11"/>
  <c r="J12" i="11" s="1"/>
  <c r="J12" i="12" s="1"/>
  <c r="I10" i="11"/>
  <c r="I9" i="11"/>
  <c r="J9" i="11" s="1"/>
  <c r="H6" i="11"/>
  <c r="D1" i="11"/>
  <c r="J13" i="11"/>
  <c r="J13" i="12" s="1"/>
  <c r="L18" i="12"/>
  <c r="K13" i="11"/>
  <c r="L13" i="11" s="1"/>
  <c r="M13" i="11" s="1"/>
  <c r="M13" i="12" s="1"/>
  <c r="I6" i="11"/>
  <c r="J6" i="11" s="1"/>
  <c r="J10" i="11"/>
  <c r="J10" i="12" s="1"/>
  <c r="H4" i="11"/>
  <c r="I4" i="11" s="1"/>
  <c r="I4" i="12" s="1"/>
  <c r="K15" i="11"/>
  <c r="K15" i="12" s="1"/>
  <c r="L17" i="11"/>
  <c r="AA18" i="10"/>
  <c r="AA14" i="10"/>
  <c r="AA13" i="10"/>
  <c r="AA24" i="10"/>
  <c r="AA23" i="10"/>
  <c r="L15" i="11"/>
  <c r="L15" i="12" s="1"/>
  <c r="H4" i="12"/>
  <c r="K9" i="11"/>
  <c r="J9" i="12"/>
  <c r="K13" i="12"/>
  <c r="J8" i="11"/>
  <c r="F5" i="11"/>
  <c r="AA29" i="10"/>
  <c r="Y29" i="10"/>
  <c r="J8" i="12"/>
  <c r="L13" i="12"/>
  <c r="K8" i="11"/>
  <c r="K8" i="12"/>
  <c r="N13" i="11"/>
  <c r="L8" i="11"/>
  <c r="L8" i="12"/>
  <c r="O13" i="11"/>
  <c r="O13" i="12" s="1"/>
  <c r="N13" i="12"/>
  <c r="M8" i="11"/>
  <c r="N8" i="11" s="1"/>
  <c r="N8" i="12" s="1"/>
  <c r="P13" i="11"/>
  <c r="O8" i="11"/>
  <c r="O8" i="12" s="1"/>
  <c r="L14" i="11" l="1"/>
  <c r="K14" i="12"/>
  <c r="O18" i="11"/>
  <c r="N18" i="12"/>
  <c r="K6" i="11"/>
  <c r="J6" i="12"/>
  <c r="F2" i="12"/>
  <c r="G2" i="11"/>
  <c r="G3" i="11"/>
  <c r="F3" i="12"/>
  <c r="Q13" i="11"/>
  <c r="P13" i="12"/>
  <c r="M19" i="11"/>
  <c r="L19" i="12"/>
  <c r="Y19" i="10"/>
  <c r="AA19" i="10"/>
  <c r="AA16" i="10"/>
  <c r="Y16" i="10"/>
  <c r="L9" i="11"/>
  <c r="K9" i="12"/>
  <c r="I6" i="12"/>
  <c r="M18" i="12"/>
  <c r="K12" i="11"/>
  <c r="J4" i="11"/>
  <c r="M17" i="11"/>
  <c r="L17" i="12"/>
  <c r="P8" i="11"/>
  <c r="M15" i="11"/>
  <c r="K10" i="11"/>
  <c r="Y15" i="10"/>
  <c r="M8" i="12"/>
  <c r="N15" i="11" l="1"/>
  <c r="M15" i="12"/>
  <c r="P18" i="11"/>
  <c r="O18" i="12"/>
  <c r="K10" i="12"/>
  <c r="L10" i="11"/>
  <c r="M9" i="11"/>
  <c r="L9" i="12"/>
  <c r="L6" i="11"/>
  <c r="K6" i="12"/>
  <c r="R13" i="11"/>
  <c r="S13" i="11" s="1"/>
  <c r="T13" i="11" s="1"/>
  <c r="U13" i="11" s="1"/>
  <c r="V13" i="11" s="1"/>
  <c r="W13" i="11" s="1"/>
  <c r="X13" i="11" s="1"/>
  <c r="Y13" i="11" s="1"/>
  <c r="Z13" i="11" s="1"/>
  <c r="AA13" i="11" s="1"/>
  <c r="AB13" i="11" s="1"/>
  <c r="AC13" i="11" s="1"/>
  <c r="AD13" i="11" s="1"/>
  <c r="AE13" i="11" s="1"/>
  <c r="AF13" i="11" s="1"/>
  <c r="Q13" i="12"/>
  <c r="H3" i="11"/>
  <c r="G3" i="12"/>
  <c r="N19" i="11"/>
  <c r="M19" i="12"/>
  <c r="N17" i="11"/>
  <c r="M17" i="12"/>
  <c r="H2" i="11"/>
  <c r="G2" i="12"/>
  <c r="G5" i="11"/>
  <c r="Q8" i="11"/>
  <c r="P8" i="12"/>
  <c r="K4" i="11"/>
  <c r="J4" i="12"/>
  <c r="K12" i="12"/>
  <c r="L12" i="11"/>
  <c r="F5" i="12"/>
  <c r="L14" i="12"/>
  <c r="M14" i="11"/>
  <c r="N9" i="11" l="1"/>
  <c r="M9" i="12"/>
  <c r="M10" i="11"/>
  <c r="L10" i="12"/>
  <c r="I3" i="11"/>
  <c r="H3" i="12"/>
  <c r="K4" i="12"/>
  <c r="L4" i="11"/>
  <c r="N14" i="11"/>
  <c r="M14" i="12"/>
  <c r="M12" i="11"/>
  <c r="L12" i="12"/>
  <c r="Q18" i="11"/>
  <c r="P18" i="12"/>
  <c r="N19" i="12"/>
  <c r="O19" i="11"/>
  <c r="R8" i="11"/>
  <c r="S8" i="11" s="1"/>
  <c r="T8" i="11" s="1"/>
  <c r="U8" i="11" s="1"/>
  <c r="V8" i="11" s="1"/>
  <c r="W8" i="11" s="1"/>
  <c r="X8" i="11" s="1"/>
  <c r="Y8" i="11" s="1"/>
  <c r="Z8" i="11" s="1"/>
  <c r="AA8" i="11" s="1"/>
  <c r="AB8" i="11" s="1"/>
  <c r="AC8" i="11" s="1"/>
  <c r="AD8" i="11" s="1"/>
  <c r="AE8" i="11" s="1"/>
  <c r="AF8" i="11" s="1"/>
  <c r="Q8" i="12"/>
  <c r="G5" i="12"/>
  <c r="I2" i="11"/>
  <c r="H2" i="12"/>
  <c r="H5" i="12" s="1"/>
  <c r="H5" i="11"/>
  <c r="N17" i="12"/>
  <c r="O17" i="11"/>
  <c r="M6" i="11"/>
  <c r="L6" i="12"/>
  <c r="O15" i="11"/>
  <c r="N15" i="12"/>
  <c r="R18" i="11" l="1"/>
  <c r="S18" i="11" s="1"/>
  <c r="T18" i="11" s="1"/>
  <c r="U18" i="11" s="1"/>
  <c r="V18" i="11" s="1"/>
  <c r="W18" i="11" s="1"/>
  <c r="X18" i="11" s="1"/>
  <c r="Y18" i="11" s="1"/>
  <c r="Z18" i="11" s="1"/>
  <c r="AA18" i="11" s="1"/>
  <c r="AB18" i="11" s="1"/>
  <c r="AC18" i="11" s="1"/>
  <c r="AD18" i="11" s="1"/>
  <c r="AE18" i="11" s="1"/>
  <c r="AF18" i="11" s="1"/>
  <c r="Q18" i="12"/>
  <c r="J3" i="11"/>
  <c r="I3" i="12"/>
  <c r="P19" i="11"/>
  <c r="O19" i="12"/>
  <c r="I2" i="12"/>
  <c r="I7" i="12" s="1"/>
  <c r="I7" i="11"/>
  <c r="J2" i="11"/>
  <c r="O15" i="12"/>
  <c r="P15" i="11"/>
  <c r="N12" i="11"/>
  <c r="M12" i="12"/>
  <c r="M10" i="12"/>
  <c r="N10" i="11"/>
  <c r="O17" i="12"/>
  <c r="P17" i="11"/>
  <c r="M4" i="11"/>
  <c r="L4" i="12"/>
  <c r="M6" i="12"/>
  <c r="N6" i="11"/>
  <c r="O14" i="11"/>
  <c r="N14" i="12"/>
  <c r="N9" i="12"/>
  <c r="O9" i="11"/>
  <c r="O10" i="11" l="1"/>
  <c r="N10" i="12"/>
  <c r="O6" i="11"/>
  <c r="N6" i="12"/>
  <c r="O12" i="11"/>
  <c r="N12" i="12"/>
  <c r="Q15" i="11"/>
  <c r="P15" i="12"/>
  <c r="J3" i="12"/>
  <c r="K3" i="11"/>
  <c r="M4" i="12"/>
  <c r="N4" i="11"/>
  <c r="P14" i="11"/>
  <c r="O14" i="12"/>
  <c r="P19" i="12"/>
  <c r="Q19" i="11"/>
  <c r="P9" i="11"/>
  <c r="O9" i="12"/>
  <c r="Q17" i="11"/>
  <c r="P17" i="12"/>
  <c r="J2" i="12"/>
  <c r="J11" i="12" s="1"/>
  <c r="K2" i="11"/>
  <c r="J11" i="11"/>
  <c r="Y26" i="10" s="1"/>
  <c r="R15" i="11" l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D15" i="11" s="1"/>
  <c r="AE15" i="11" s="1"/>
  <c r="AF15" i="11" s="1"/>
  <c r="Q15" i="12"/>
  <c r="R17" i="11"/>
  <c r="S17" i="11" s="1"/>
  <c r="T17" i="11" s="1"/>
  <c r="U17" i="11" s="1"/>
  <c r="V17" i="11" s="1"/>
  <c r="W17" i="11" s="1"/>
  <c r="X17" i="11" s="1"/>
  <c r="Y17" i="11" s="1"/>
  <c r="Z17" i="11" s="1"/>
  <c r="AA17" i="11" s="1"/>
  <c r="AB17" i="11" s="1"/>
  <c r="AC17" i="11" s="1"/>
  <c r="AD17" i="11" s="1"/>
  <c r="AE17" i="11" s="1"/>
  <c r="AF17" i="11" s="1"/>
  <c r="Q17" i="12"/>
  <c r="O6" i="12"/>
  <c r="P6" i="11"/>
  <c r="R19" i="11"/>
  <c r="S19" i="11" s="1"/>
  <c r="T19" i="11" s="1"/>
  <c r="U19" i="11" s="1"/>
  <c r="V19" i="11" s="1"/>
  <c r="W19" i="11" s="1"/>
  <c r="X19" i="11" s="1"/>
  <c r="Y19" i="11" s="1"/>
  <c r="Z19" i="11" s="1"/>
  <c r="AA19" i="11" s="1"/>
  <c r="AB19" i="11" s="1"/>
  <c r="AC19" i="11" s="1"/>
  <c r="AD19" i="11" s="1"/>
  <c r="AE19" i="11" s="1"/>
  <c r="AF19" i="11" s="1"/>
  <c r="Q19" i="12"/>
  <c r="P12" i="11"/>
  <c r="O12" i="12"/>
  <c r="O4" i="11"/>
  <c r="N4" i="12"/>
  <c r="L3" i="11"/>
  <c r="K3" i="12"/>
  <c r="L2" i="11"/>
  <c r="K2" i="12"/>
  <c r="K16" i="12" s="1"/>
  <c r="K16" i="11"/>
  <c r="Y27" i="10" s="1"/>
  <c r="Q14" i="11"/>
  <c r="P14" i="12"/>
  <c r="Q9" i="11"/>
  <c r="P9" i="12"/>
  <c r="P10" i="11"/>
  <c r="O10" i="12"/>
  <c r="M2" i="11" l="1"/>
  <c r="L2" i="12"/>
  <c r="L23" i="11"/>
  <c r="Y28" i="10" s="1"/>
  <c r="R9" i="11"/>
  <c r="S9" i="11" s="1"/>
  <c r="T9" i="11" s="1"/>
  <c r="U9" i="11" s="1"/>
  <c r="V9" i="11" s="1"/>
  <c r="W9" i="11" s="1"/>
  <c r="X9" i="11" s="1"/>
  <c r="Y9" i="11" s="1"/>
  <c r="Z9" i="11" s="1"/>
  <c r="AA9" i="11" s="1"/>
  <c r="AB9" i="11" s="1"/>
  <c r="AC9" i="11" s="1"/>
  <c r="AD9" i="11" s="1"/>
  <c r="AE9" i="11" s="1"/>
  <c r="AF9" i="11" s="1"/>
  <c r="Q9" i="12"/>
  <c r="P10" i="12"/>
  <c r="Q10" i="11"/>
  <c r="Q6" i="11"/>
  <c r="P6" i="12"/>
  <c r="M3" i="11"/>
  <c r="L3" i="12"/>
  <c r="P4" i="11"/>
  <c r="O4" i="12"/>
  <c r="R14" i="11"/>
  <c r="S14" i="11" s="1"/>
  <c r="T14" i="11" s="1"/>
  <c r="U14" i="11" s="1"/>
  <c r="V14" i="11" s="1"/>
  <c r="W14" i="11" s="1"/>
  <c r="X14" i="11" s="1"/>
  <c r="Y14" i="11" s="1"/>
  <c r="Z14" i="11" s="1"/>
  <c r="AA14" i="11" s="1"/>
  <c r="AB14" i="11" s="1"/>
  <c r="AC14" i="11" s="1"/>
  <c r="AD14" i="11" s="1"/>
  <c r="AE14" i="11" s="1"/>
  <c r="AF14" i="11" s="1"/>
  <c r="Q14" i="12"/>
  <c r="P12" i="12"/>
  <c r="Q12" i="11"/>
  <c r="R10" i="11" l="1"/>
  <c r="S10" i="11" s="1"/>
  <c r="T10" i="11" s="1"/>
  <c r="U10" i="11" s="1"/>
  <c r="V10" i="11" s="1"/>
  <c r="W10" i="11" s="1"/>
  <c r="X10" i="11" s="1"/>
  <c r="Y10" i="11" s="1"/>
  <c r="Z10" i="11" s="1"/>
  <c r="AA10" i="11" s="1"/>
  <c r="AB10" i="11" s="1"/>
  <c r="AC10" i="11" s="1"/>
  <c r="AD10" i="11" s="1"/>
  <c r="AE10" i="11" s="1"/>
  <c r="AF10" i="11" s="1"/>
  <c r="Q10" i="12"/>
  <c r="Q6" i="12"/>
  <c r="R6" i="11"/>
  <c r="S6" i="11" s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F6" i="11" s="1"/>
  <c r="Q4" i="11"/>
  <c r="P4" i="12"/>
  <c r="N3" i="11"/>
  <c r="M3" i="12"/>
  <c r="L23" i="12"/>
  <c r="R12" i="11"/>
  <c r="S12" i="11" s="1"/>
  <c r="T12" i="11" s="1"/>
  <c r="U12" i="11" s="1"/>
  <c r="V12" i="11" s="1"/>
  <c r="W12" i="11" s="1"/>
  <c r="X12" i="11" s="1"/>
  <c r="Y12" i="11" s="1"/>
  <c r="Z12" i="11" s="1"/>
  <c r="AA12" i="11" s="1"/>
  <c r="AB12" i="11" s="1"/>
  <c r="AC12" i="11" s="1"/>
  <c r="AD12" i="11" s="1"/>
  <c r="AE12" i="11" s="1"/>
  <c r="AF12" i="11" s="1"/>
  <c r="Q12" i="12"/>
  <c r="M2" i="12"/>
  <c r="M26" i="11"/>
  <c r="Y30" i="10" s="1"/>
  <c r="N2" i="11"/>
  <c r="R4" i="11" l="1"/>
  <c r="S4" i="11" s="1"/>
  <c r="T4" i="11" s="1"/>
  <c r="U4" i="11" s="1"/>
  <c r="V4" i="11" s="1"/>
  <c r="W4" i="11" s="1"/>
  <c r="X4" i="11" s="1"/>
  <c r="Y4" i="11" s="1"/>
  <c r="Z4" i="11" s="1"/>
  <c r="AA4" i="11" s="1"/>
  <c r="AB4" i="11" s="1"/>
  <c r="AC4" i="11" s="1"/>
  <c r="AD4" i="11" s="1"/>
  <c r="AE4" i="11" s="1"/>
  <c r="AF4" i="11" s="1"/>
  <c r="Q4" i="12"/>
  <c r="O3" i="11"/>
  <c r="N3" i="12"/>
  <c r="N29" i="11"/>
  <c r="Y32" i="10" s="1"/>
  <c r="O2" i="11"/>
  <c r="N2" i="12"/>
  <c r="N29" i="12" s="1"/>
  <c r="M26" i="12"/>
  <c r="O3" i="12" l="1"/>
  <c r="P3" i="11"/>
  <c r="P2" i="11"/>
  <c r="O32" i="11"/>
  <c r="Y33" i="10" s="1"/>
  <c r="O2" i="12"/>
  <c r="O32" i="12" s="1"/>
  <c r="P3" i="12" l="1"/>
  <c r="Q3" i="11"/>
  <c r="Q2" i="11"/>
  <c r="P34" i="11"/>
  <c r="Y41" i="10" s="1"/>
  <c r="P2" i="12"/>
  <c r="P34" i="12" s="1"/>
  <c r="R3" i="11" l="1"/>
  <c r="S3" i="11" s="1"/>
  <c r="T3" i="11" s="1"/>
  <c r="U3" i="11" s="1"/>
  <c r="V3" i="11" s="1"/>
  <c r="W3" i="11" s="1"/>
  <c r="X3" i="11" s="1"/>
  <c r="Y3" i="11" s="1"/>
  <c r="Z3" i="11" s="1"/>
  <c r="AA3" i="11" s="1"/>
  <c r="AB3" i="11" s="1"/>
  <c r="AC3" i="11" s="1"/>
  <c r="AD3" i="11" s="1"/>
  <c r="AE3" i="11" s="1"/>
  <c r="AF3" i="11" s="1"/>
  <c r="Q3" i="12"/>
  <c r="Q2" i="12"/>
  <c r="Q36" i="12" s="1"/>
  <c r="R2" i="11"/>
  <c r="Q36" i="11"/>
  <c r="Y42" i="10" s="1"/>
  <c r="S2" i="11" l="1"/>
  <c r="R36" i="11"/>
  <c r="Y45" i="10" s="1"/>
  <c r="S36" i="11" l="1"/>
  <c r="Y46" i="10" s="1"/>
  <c r="T2" i="11"/>
  <c r="U2" i="11" l="1"/>
  <c r="T36" i="11"/>
  <c r="Y47" i="10" s="1"/>
  <c r="U36" i="11" l="1"/>
  <c r="Y49" i="10" s="1"/>
  <c r="V2" i="11"/>
  <c r="W2" i="11" l="1"/>
  <c r="V36" i="11"/>
  <c r="Y51" i="10" s="1"/>
  <c r="X2" i="11" l="1"/>
  <c r="W36" i="11"/>
  <c r="Y55" i="10" s="1"/>
  <c r="X36" i="11" l="1"/>
  <c r="Y60" i="10" s="1"/>
  <c r="Y2" i="11"/>
  <c r="Y36" i="11" l="1"/>
  <c r="Y62" i="10" s="1"/>
  <c r="Z2" i="11"/>
  <c r="AA2" i="11" l="1"/>
  <c r="Z36" i="11"/>
  <c r="Y64" i="10" s="1"/>
  <c r="AA36" i="11" l="1"/>
  <c r="Y68" i="10" s="1"/>
  <c r="AB2" i="11"/>
  <c r="AC2" i="11" l="1"/>
  <c r="AB36" i="11"/>
  <c r="Y69" i="10" s="1"/>
  <c r="AC36" i="11" l="1"/>
  <c r="Y71" i="10" s="1"/>
  <c r="AD2" i="11"/>
  <c r="AE2" i="11" l="1"/>
  <c r="AD36" i="11"/>
  <c r="Y73" i="10" s="1"/>
  <c r="AF2" i="11" l="1"/>
  <c r="AF36" i="11" s="1"/>
  <c r="Y76" i="10" s="1"/>
  <c r="AE36" i="11"/>
  <c r="Y74" i="10" s="1"/>
</calcChain>
</file>

<file path=xl/sharedStrings.xml><?xml version="1.0" encoding="utf-8"?>
<sst xmlns="http://schemas.openxmlformats.org/spreadsheetml/2006/main" count="728" uniqueCount="122">
  <si>
    <t>DUKE ENERGY FLORIDA</t>
  </si>
  <si>
    <t xml:space="preserve">SCHEDULE 8 </t>
  </si>
  <si>
    <t>PLANNED AND PROSPECTIVE GENERATING FACILITY ADDITIONS AND CHANGES</t>
  </si>
  <si>
    <t>AS OF JANUARY 1, 2019 THROUGH DECEMBER 31, 2043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</si>
  <si>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</si>
  <si>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</si>
  <si>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</si>
  <si>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</si>
  <si>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</si>
  <si>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</si>
  <si>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</si>
  <si>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</si>
  <si>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</si>
  <si>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</si>
  <si>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</si>
  <si>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</si>
  <si>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</si>
  <si>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</si>
  <si>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</si>
  <si>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</si>
  <si>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FIRM</t>
  </si>
  <si>
    <t>CONST.</t>
  </si>
  <si>
    <t>COM'L IN-</t>
  </si>
  <si>
    <t>EXPECTED</t>
  </si>
  <si>
    <t>GEN. MAX.</t>
  </si>
  <si>
    <t>NET CAPABILITY</t>
  </si>
  <si>
    <t>UNIT</t>
  </si>
  <si>
    <t>LOCATION</t>
  </si>
  <si>
    <t>FUEL</t>
  </si>
  <si>
    <t>FUEL TRANSPORT</t>
  </si>
  <si>
    <t>START</t>
  </si>
  <si>
    <t>SERVICE</t>
  </si>
  <si>
    <t>RETIREMENT</t>
  </si>
  <si>
    <t>NAMEPLATE</t>
  </si>
  <si>
    <t>SUMMER</t>
  </si>
  <si>
    <t xml:space="preserve"> WINTER</t>
  </si>
  <si>
    <t>PLANT NAME</t>
  </si>
  <si>
    <t>NO.</t>
  </si>
  <si>
    <t>(COUNTY)</t>
  </si>
  <si>
    <t>TYPE</t>
  </si>
  <si>
    <t>PRI.</t>
  </si>
  <si>
    <t>ALT.</t>
  </si>
  <si>
    <t>MO. / YR</t>
  </si>
  <si>
    <t>KW</t>
  </si>
  <si>
    <t>MW</t>
  </si>
  <si>
    <r>
      <t xml:space="preserve"> STATUS</t>
    </r>
    <r>
      <rPr>
        <u/>
        <vertAlign val="superscript"/>
        <sz val="14"/>
        <color indexed="8"/>
        <rFont val="CG Times"/>
      </rPr>
      <t>a</t>
    </r>
  </si>
  <si>
    <r>
      <t>NOTES</t>
    </r>
    <r>
      <rPr>
        <u/>
        <vertAlign val="superscript"/>
        <sz val="14"/>
        <color indexed="8"/>
        <rFont val="CG Times"/>
      </rPr>
      <t>b</t>
    </r>
  </si>
  <si>
    <t>ST PETERSBURG PIER</t>
  </si>
  <si>
    <t>PINELLAS</t>
  </si>
  <si>
    <t>PV</t>
  </si>
  <si>
    <t>SO</t>
  </si>
  <si>
    <t>P</t>
  </si>
  <si>
    <t>(1)  and (2)</t>
  </si>
  <si>
    <t>TRENTON</t>
  </si>
  <si>
    <t>GILCHRIST</t>
  </si>
  <si>
    <t>LAKE PLACID</t>
  </si>
  <si>
    <t>HIGHLANDS</t>
  </si>
  <si>
    <t>DEBARY</t>
  </si>
  <si>
    <t>VOLUSIA</t>
  </si>
  <si>
    <t xml:space="preserve">   Update to 79.5 MW was done later</t>
  </si>
  <si>
    <t>COLUMBIA</t>
  </si>
  <si>
    <t>UNKNOWN</t>
  </si>
  <si>
    <t>AVON PARK</t>
  </si>
  <si>
    <t>P 1</t>
  </si>
  <si>
    <t>GT</t>
  </si>
  <si>
    <t>NG</t>
  </si>
  <si>
    <t>DFO</t>
  </si>
  <si>
    <t>PL</t>
  </si>
  <si>
    <t>TK</t>
  </si>
  <si>
    <t>RT</t>
  </si>
  <si>
    <t>P 2</t>
  </si>
  <si>
    <t>CT</t>
  </si>
  <si>
    <t>HIGGINS</t>
  </si>
  <si>
    <t>P 1-4</t>
  </si>
  <si>
    <t>SOLAR DEGRADATION</t>
  </si>
  <si>
    <t>N/A</t>
  </si>
  <si>
    <t>OSPREY CC</t>
  </si>
  <si>
    <t>POLK</t>
  </si>
  <si>
    <t>CC</t>
  </si>
  <si>
    <t xml:space="preserve">BAYBORO </t>
  </si>
  <si>
    <t>P1 - P4</t>
  </si>
  <si>
    <t>WA</t>
  </si>
  <si>
    <t>12/2025</t>
  </si>
  <si>
    <t>P2 - P6</t>
  </si>
  <si>
    <t>06/2027</t>
  </si>
  <si>
    <t>BARTOW</t>
  </si>
  <si>
    <t>P1, P3</t>
  </si>
  <si>
    <t>P 3</t>
  </si>
  <si>
    <t>P 4</t>
  </si>
  <si>
    <t>P 5</t>
  </si>
  <si>
    <t>UNIT RETIREMENTS</t>
  </si>
  <si>
    <t>6/2029</t>
  </si>
  <si>
    <t>P 6</t>
  </si>
  <si>
    <t>P 7</t>
  </si>
  <si>
    <t>06/2034</t>
  </si>
  <si>
    <t>P 8</t>
  </si>
  <si>
    <t>P 9</t>
  </si>
  <si>
    <t>06/2035</t>
  </si>
  <si>
    <t>P 10</t>
  </si>
  <si>
    <t>P 11</t>
  </si>
  <si>
    <t>06/2036</t>
  </si>
  <si>
    <t>P 12</t>
  </si>
  <si>
    <t>P 13</t>
  </si>
  <si>
    <t>P 14</t>
  </si>
  <si>
    <t>P 15</t>
  </si>
  <si>
    <t>P 16</t>
  </si>
  <si>
    <t>P 17</t>
  </si>
  <si>
    <t>a.  See page v. for Code Legend of Future Generating Unit Status.</t>
  </si>
  <si>
    <t>b. NOTES</t>
  </si>
  <si>
    <t>Planned, Prospective, or Committed project.</t>
  </si>
  <si>
    <t>St Petersburg Pier Firm Capacity is 0.16 Mw for the Summer and 0 for the Winter</t>
  </si>
  <si>
    <t xml:space="preserve">Higgins P1 20 MW,  P2 25 MW, P3 31 MW &amp; P4 31 MW (Summer MW) is non-frim capacity and shown as 0 MW each due to non-firm fuel source. </t>
  </si>
  <si>
    <t xml:space="preserve">Higgins P1 20 MW,  P2 25 MW, P3 36 MW &amp; P4 38 MW (Winter MW) is non-frim capacity and shown as 0 MW each due to non-firm fuel source. </t>
  </si>
  <si>
    <t>Solar capacity degrades by 0.5% every year</t>
  </si>
  <si>
    <t>Osprey CC Acquisition total capacity is available once Transmission Upgrades are in service, total Summer capacity goes up to 582MW and total Winter capacity goes up to 600MW</t>
  </si>
  <si>
    <t>Capacity after degradation</t>
  </si>
  <si>
    <t>Degradation</t>
  </si>
  <si>
    <t>8/1/2035.</t>
  </si>
  <si>
    <t>Osceola</t>
  </si>
  <si>
    <t>Perry</t>
  </si>
  <si>
    <t>Suwannee</t>
  </si>
  <si>
    <t>HAMILTON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</si>
</sst>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0_)"/>
    <numFmt numFmtId="165" formatCode="0.00_)"/>
    <numFmt numFmtId="166" formatCode="mm/yyyy"/>
    <numFmt numFmtId="167" formatCode="0_);\(0\)"/>
    <numFmt numFmtId="168" formatCode="m/yyyy"/>
    <numFmt numFmtId="169" formatCode="0.0_);\(0.0\)"/>
    <numFmt numFmtId="170" formatCode="0.0%"/>
    <numFmt numFmtId="171" formatCode="_(* #,##0.000_);_(* \(#,##0.000\);_(* &quot;-&quot;??_);_(@_)"/>
    <numFmt numFmtId="172" formatCode="_(* #,##0_);_(* \(#,##0\);_(* &quot;-&quot;??_);_(@_)"/>
    <numFmt numFmtId="173" formatCode="0.000_)"/>
  </numFmts>
  <fonts count="16">
    <font>
      <sz val="10"/>
      <name val="Courier"/>
    </font>
    <font>
      <sz val="10"/>
      <name val="CG Times"/>
      <family val="1"/>
    </font>
    <font>
      <b/>
      <sz val="10"/>
      <color indexed="8"/>
      <name val="CG Times"/>
      <family val="1"/>
    </font>
    <font>
      <sz val="10"/>
      <color indexed="8"/>
      <name val="CG Times"/>
      <family val="1"/>
    </font>
    <font>
      <u/>
      <sz val="10"/>
      <color indexed="8"/>
      <name val="CG Times"/>
      <family val="1"/>
    </font>
    <font>
      <u/>
      <vertAlign val="superscript"/>
      <sz val="14"/>
      <color indexed="8"/>
      <name val="CG Times"/>
    </font>
    <font>
      <sz val="11"/>
      <color indexed="8"/>
      <name val="CG Times"/>
      <family val="1"/>
    </font>
    <font>
      <b/>
      <sz val="12"/>
      <color indexed="8"/>
      <name val="CG Times"/>
      <family val="1"/>
    </font>
    <font>
      <sz val="10"/>
      <color theme="0" tint="-0.14999847407452621"/>
      <name val="CG Times"/>
      <family val="1"/>
    </font>
    <font>
      <sz val="10"/>
      <name val="Courier"/>
      <family val="3"/>
    </font>
    <font>
      <sz val="10"/>
      <name val="Courier"/>
    </font>
    <font>
      <b/>
      <u/>
      <sz val="10"/>
      <name val="Courier"/>
      <family val="3"/>
    </font>
    <font>
      <sz val="10"/>
      <color theme="1"/>
      <name val="Calibri"/>
      <family val="2"/>
      <scheme val="minor"/>
    </font>
    <font>
      <sz val="10"/>
      <color theme="1" tint="4.9989318521683403E-2"/>
      <name val="CG Times"/>
      <family val="1"/>
    </font>
    <font>
      <sz val="10"/>
      <color rgb="FFC00000"/>
      <name val="CG Times"/>
      <family val="1"/>
    </font>
    <font>
      <sz val="10"/>
      <color theme="1"/>
      <name val="CG Times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165" fontId="0" fillId="0" borderId="0"/>
    <xf numFmtId="43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</cellStyleXfs>
  <cellXfs count="111">
    <xf numFmtId="165" fontId="0" fillId="0" borderId="0" xfId="0"/>
    <xf numFmtId="49" fontId="2" fillId="0" borderId="0" xfId="0" applyNumberFormat="1" applyFont="1" applyFill="1" applyAlignment="1" applyProtection="1">
      <alignment horizontal="centerContinuous"/>
      <protection locked="0"/>
    </xf>
    <xf numFmtId="165" fontId="3" fillId="0" borderId="0" xfId="0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7" fillId="0" borderId="0" xfId="0" applyNumberFormat="1" applyFont="1" applyFill="1" applyAlignment="1" applyProtection="1">
      <alignment horizontal="centerContinuous"/>
      <protection locked="0"/>
    </xf>
    <xf numFmtId="165" fontId="8" fillId="0" borderId="0" xfId="0" applyFont="1" applyFill="1" applyAlignment="1" applyProtection="1">
      <alignment horizontal="center" vertical="center"/>
      <protection locked="0"/>
    </xf>
    <xf numFmtId="165" fontId="3" fillId="0" borderId="0" xfId="0" applyFont="1" applyFill="1" applyAlignment="1" applyProtection="1">
      <alignment wrapText="1"/>
      <protection locked="0"/>
    </xf>
    <xf numFmtId="165" fontId="3" fillId="0" borderId="0" xfId="0" quotePrefix="1" applyFont="1" applyFill="1" applyAlignment="1" applyProtection="1">
      <alignment horizontal="center" vertical="top" wrapText="1"/>
      <protection locked="0"/>
    </xf>
    <xf numFmtId="49" fontId="3" fillId="0" borderId="0" xfId="0" applyNumberFormat="1" applyFont="1" applyFill="1" applyAlignment="1" applyProtection="1">
      <alignment wrapText="1"/>
      <protection locked="0"/>
    </xf>
    <xf numFmtId="165" fontId="3" fillId="0" borderId="0" xfId="0" quotePrefix="1" applyFont="1" applyFill="1" applyAlignment="1" applyProtection="1">
      <alignment horizontal="right" vertical="top" wrapText="1"/>
      <protection locked="0"/>
    </xf>
    <xf numFmtId="165" fontId="1" fillId="0" borderId="0" xfId="0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0" xfId="0" applyFont="1" applyFill="1" applyBorder="1" applyAlignment="1" applyProtection="1">
      <alignment horizontal="center" vertical="center"/>
      <protection locked="0"/>
    </xf>
    <xf numFmtId="16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1" fillId="0" borderId="0" xfId="0" applyNumberFormat="1" applyFont="1" applyFill="1" applyBorder="1" applyAlignment="1" applyProtection="1">
      <alignment horizontal="center" vertical="center"/>
      <protection locked="0"/>
    </xf>
    <xf numFmtId="167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" xfId="0" applyFont="1" applyFill="1" applyBorder="1" applyAlignment="1" applyProtection="1">
      <alignment horizontal="center" vertical="center" wrapText="1"/>
      <protection locked="0"/>
    </xf>
    <xf numFmtId="165" fontId="1" fillId="0" borderId="2" xfId="0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8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8" fontId="1" fillId="0" borderId="2" xfId="0" applyNumberFormat="1" applyFont="1" applyFill="1" applyBorder="1" applyAlignment="1" applyProtection="1">
      <alignment horizontal="center" vertical="center"/>
      <protection locked="0"/>
    </xf>
    <xf numFmtId="167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3" xfId="0" quotePrefix="1" applyNumberFormat="1" applyFont="1" applyFill="1" applyBorder="1" applyAlignment="1" applyProtection="1">
      <alignment horizontal="center" vertical="center"/>
      <protection locked="0"/>
    </xf>
    <xf numFmtId="165" fontId="3" fillId="0" borderId="0" xfId="0" applyFont="1" applyFill="1" applyBorder="1" applyAlignment="1" applyProtection="1">
      <alignment horizontal="center" vertical="center" wrapText="1"/>
      <protection locked="0"/>
    </xf>
    <xf numFmtId="1" fontId="1" fillId="0" borderId="5" xfId="0" quotePrefix="1" applyNumberFormat="1" applyFont="1" applyFill="1" applyBorder="1" applyAlignment="1" applyProtection="1">
      <alignment horizontal="center" vertical="center"/>
      <protection locked="0"/>
    </xf>
    <xf numFmtId="165" fontId="1" fillId="0" borderId="6" xfId="0" applyFont="1" applyFill="1" applyBorder="1" applyAlignment="1" applyProtection="1">
      <alignment horizontal="center" vertical="center" wrapText="1"/>
      <protection locked="0"/>
    </xf>
    <xf numFmtId="165" fontId="1" fillId="0" borderId="7" xfId="0" applyFont="1" applyFill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8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8" fontId="1" fillId="0" borderId="7" xfId="0" applyNumberFormat="1" applyFont="1" applyFill="1" applyBorder="1" applyAlignment="1" applyProtection="1">
      <alignment horizontal="center" vertical="center"/>
      <protection locked="0"/>
    </xf>
    <xf numFmtId="167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8" xfId="0" quotePrefix="1" applyNumberFormat="1" applyFont="1" applyFill="1" applyBorder="1" applyAlignment="1" applyProtection="1">
      <alignment horizontal="center" vertical="center"/>
      <protection locked="0"/>
    </xf>
    <xf numFmtId="165" fontId="1" fillId="0" borderId="4" xfId="0" applyFont="1" applyFill="1" applyBorder="1" applyAlignment="1" applyProtection="1">
      <alignment horizontal="center" vertical="center" wrapText="1"/>
      <protection locked="0"/>
    </xf>
    <xf numFmtId="165" fontId="8" fillId="0" borderId="7" xfId="0" applyFont="1" applyFill="1" applyBorder="1" applyAlignment="1" applyProtection="1">
      <alignment horizontal="center" vertical="center"/>
      <protection locked="0"/>
    </xf>
    <xf numFmtId="16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2" xfId="0" applyFont="1" applyFill="1" applyBorder="1" applyAlignment="1" applyProtection="1">
      <alignment horizontal="center" vertical="center"/>
      <protection locked="0"/>
    </xf>
    <xf numFmtId="172" fontId="1" fillId="0" borderId="2" xfId="1" applyNumberFormat="1" applyFont="1" applyFill="1" applyBorder="1" applyAlignment="1" applyProtection="1">
      <alignment horizontal="center" vertical="center" wrapText="1"/>
      <protection locked="0"/>
    </xf>
    <xf numFmtId="172" fontId="1" fillId="0" borderId="0" xfId="1" applyNumberFormat="1" applyFont="1" applyFill="1" applyBorder="1" applyAlignment="1" applyProtection="1">
      <alignment horizontal="center" vertical="center" wrapText="1"/>
      <protection locked="0"/>
    </xf>
    <xf numFmtId="172" fontId="1" fillId="0" borderId="7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Fill="1" applyBorder="1" applyAlignment="1" applyProtection="1">
      <alignment horizontal="right" vertical="center" wrapText="1"/>
      <protection locked="0"/>
    </xf>
    <xf numFmtId="43" fontId="0" fillId="0" borderId="0" xfId="1" applyNumberFormat="1" applyFont="1" applyFill="1" applyBorder="1"/>
    <xf numFmtId="43" fontId="0" fillId="0" borderId="7" xfId="1" applyNumberFormat="1" applyFont="1" applyFill="1" applyBorder="1"/>
    <xf numFmtId="165" fontId="0" fillId="0" borderId="7" xfId="0" applyFill="1" applyBorder="1"/>
    <xf numFmtId="43" fontId="0" fillId="0" borderId="5" xfId="1" applyNumberFormat="1" applyFont="1" applyFill="1" applyBorder="1"/>
    <xf numFmtId="43" fontId="0" fillId="0" borderId="8" xfId="1" applyNumberFormat="1" applyFont="1" applyFill="1" applyBorder="1"/>
    <xf numFmtId="165" fontId="0" fillId="0" borderId="8" xfId="0" applyFill="1" applyBorder="1"/>
    <xf numFmtId="165" fontId="0" fillId="0" borderId="0" xfId="0" applyFill="1" applyBorder="1"/>
    <xf numFmtId="164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2" xfId="0" applyFont="1" applyFill="1" applyBorder="1" applyAlignment="1" applyProtection="1">
      <alignment horizontal="center" vertical="center" wrapText="1"/>
      <protection locked="0"/>
    </xf>
    <xf numFmtId="43" fontId="0" fillId="0" borderId="4" xfId="1" applyNumberFormat="1" applyFont="1" applyFill="1" applyBorder="1"/>
    <xf numFmtId="165" fontId="0" fillId="0" borderId="4" xfId="0" applyFill="1" applyBorder="1"/>
    <xf numFmtId="165" fontId="0" fillId="0" borderId="5" xfId="0" applyFill="1" applyBorder="1"/>
    <xf numFmtId="43" fontId="0" fillId="0" borderId="6" xfId="1" applyNumberFormat="1" applyFont="1" applyFill="1" applyBorder="1"/>
    <xf numFmtId="165" fontId="0" fillId="0" borderId="6" xfId="0" applyFill="1" applyBorder="1"/>
    <xf numFmtId="16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quotePrefix="1" applyNumberFormat="1" applyFont="1" applyFill="1" applyBorder="1" applyAlignment="1" applyProtection="1">
      <alignment horizontal="center" vertical="center"/>
      <protection locked="0"/>
    </xf>
    <xf numFmtId="165" fontId="13" fillId="0" borderId="0" xfId="0" applyFont="1" applyFill="1" applyAlignment="1" applyProtection="1">
      <alignment horizontal="center" vertical="center"/>
      <protection locked="0"/>
    </xf>
    <xf numFmtId="165" fontId="13" fillId="0" borderId="0" xfId="0" applyFont="1" applyFill="1" applyAlignment="1" applyProtection="1">
      <alignment horizontal="center"/>
      <protection locked="0"/>
    </xf>
    <xf numFmtId="165" fontId="14" fillId="0" borderId="0" xfId="0" applyFont="1" applyFill="1" applyAlignment="1" applyProtection="1">
      <alignment horizontal="center"/>
      <protection locked="0"/>
    </xf>
    <xf numFmtId="165" fontId="14" fillId="0" borderId="0" xfId="0" applyFont="1" applyFill="1" applyAlignment="1" applyProtection="1">
      <alignment horizontal="center" vertical="center"/>
      <protection locked="0"/>
    </xf>
    <xf numFmtId="165" fontId="14" fillId="0" borderId="0" xfId="0" applyFont="1" applyFill="1" applyAlignment="1" applyProtection="1">
      <alignment horizontal="left" vertical="center"/>
      <protection locked="0"/>
    </xf>
    <xf numFmtId="172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165" fontId="3" fillId="0" borderId="0" xfId="0" applyFont="1" applyFill="1" applyAlignment="1" applyProtection="1">
      <alignment horizontal="left" vertical="top" wrapText="1"/>
      <protection locked="0"/>
    </xf>
    <xf numFmtId="165" fontId="3" fillId="0" borderId="0" xfId="0" applyFont="1" applyFill="1" applyAlignment="1" applyProtection="1">
      <alignment horizontal="left" wrapText="1"/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Font="1" applyFill="1" applyAlignment="1" applyProtection="1">
      <alignment horizontal="left" vertical="top" wrapText="1"/>
      <protection locked="0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165" fontId="3" fillId="0" borderId="0" xfId="0" applyFont="1" applyFill="1" applyAlignment="1" applyProtection="1">
      <alignment horizontal="left" wrapText="1"/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49" fontId="6" fillId="0" borderId="0" xfId="0" applyNumberFormat="1" applyFont="1" applyFill="1" applyAlignment="1" applyProtection="1">
      <alignment horizontal="center"/>
      <protection locked="0"/>
    </xf>
    <xf numFmtId="165" fontId="11" fillId="0" borderId="1" xfId="0" applyFont="1" applyFill="1" applyBorder="1"/>
    <xf numFmtId="165" fontId="9" fillId="0" borderId="2" xfId="0" applyFont="1" applyFill="1" applyBorder="1"/>
    <xf numFmtId="165" fontId="11" fillId="0" borderId="2" xfId="0" applyFont="1" applyFill="1" applyBorder="1" applyAlignment="1">
      <alignment horizontal="right"/>
    </xf>
    <xf numFmtId="170" fontId="0" fillId="0" borderId="2" xfId="2" applyNumberFormat="1" applyFont="1" applyFill="1" applyBorder="1"/>
    <xf numFmtId="14" fontId="0" fillId="0" borderId="2" xfId="0" applyNumberFormat="1" applyFill="1" applyBorder="1"/>
    <xf numFmtId="14" fontId="0" fillId="0" borderId="11" xfId="0" applyNumberFormat="1" applyFill="1" applyBorder="1"/>
    <xf numFmtId="14" fontId="0" fillId="0" borderId="9" xfId="0" applyNumberFormat="1" applyFill="1" applyBorder="1"/>
    <xf numFmtId="14" fontId="0" fillId="0" borderId="10" xfId="0" applyNumberFormat="1" applyFill="1" applyBorder="1"/>
    <xf numFmtId="165" fontId="0" fillId="0" borderId="0" xfId="0" applyFill="1"/>
    <xf numFmtId="165" fontId="0" fillId="0" borderId="1" xfId="0" applyFill="1" applyBorder="1"/>
    <xf numFmtId="43" fontId="0" fillId="0" borderId="2" xfId="1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 vertical="center"/>
    </xf>
    <xf numFmtId="43" fontId="0" fillId="0" borderId="2" xfId="0" applyNumberFormat="1" applyFill="1" applyBorder="1" applyAlignment="1">
      <alignment horizontal="center" vertical="center"/>
    </xf>
    <xf numFmtId="43" fontId="0" fillId="0" borderId="2" xfId="1" applyNumberFormat="1" applyFont="1" applyFill="1" applyBorder="1"/>
    <xf numFmtId="43" fontId="0" fillId="0" borderId="0" xfId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43" fontId="0" fillId="0" borderId="0" xfId="0" applyNumberFormat="1" applyFill="1" applyBorder="1" applyAlignment="1">
      <alignment horizontal="center" vertical="center"/>
    </xf>
    <xf numFmtId="43" fontId="0" fillId="0" borderId="2" xfId="1" applyFont="1" applyFill="1" applyBorder="1"/>
    <xf numFmtId="43" fontId="0" fillId="0" borderId="1" xfId="1" applyNumberFormat="1" applyFont="1" applyFill="1" applyBorder="1"/>
    <xf numFmtId="43" fontId="0" fillId="0" borderId="3" xfId="1" applyNumberFormat="1" applyFont="1" applyFill="1" applyBorder="1"/>
    <xf numFmtId="43" fontId="0" fillId="0" borderId="0" xfId="1" applyFont="1" applyFill="1" applyBorder="1"/>
    <xf numFmtId="165" fontId="0" fillId="0" borderId="2" xfId="0" applyFill="1" applyBorder="1"/>
    <xf numFmtId="173" fontId="0" fillId="0" borderId="2" xfId="0" applyNumberFormat="1" applyFill="1" applyBorder="1"/>
    <xf numFmtId="171" fontId="0" fillId="0" borderId="2" xfId="1" applyNumberFormat="1" applyFont="1" applyFill="1" applyBorder="1"/>
    <xf numFmtId="171" fontId="0" fillId="0" borderId="4" xfId="1" applyNumberFormat="1" applyFont="1" applyFill="1" applyBorder="1"/>
    <xf numFmtId="171" fontId="0" fillId="0" borderId="0" xfId="1" applyNumberFormat="1" applyFont="1" applyFill="1" applyBorder="1"/>
    <xf numFmtId="171" fontId="0" fillId="0" borderId="5" xfId="1" applyNumberFormat="1" applyFont="1" applyFill="1" applyBorder="1"/>
    <xf numFmtId="171" fontId="0" fillId="0" borderId="1" xfId="1" applyNumberFormat="1" applyFont="1" applyFill="1" applyBorder="1"/>
    <xf numFmtId="171" fontId="0" fillId="0" borderId="3" xfId="1" applyNumberFormat="1" applyFont="1" applyFill="1" applyBorder="1"/>
    <xf numFmtId="173" fontId="0" fillId="0" borderId="0" xfId="0" applyNumberFormat="1" applyFill="1" applyBorder="1"/>
    <xf numFmtId="173" fontId="0" fillId="0" borderId="0" xfId="1" applyNumberFormat="1" applyFont="1" applyFill="1" applyBorder="1"/>
    <xf numFmtId="165" fontId="0" fillId="0" borderId="3" xfId="0" applyFill="1" applyBorder="1"/>
  </cellXfs>
  <cellStyles count="4">
    <cellStyle name="Comma" xfId="1" builtinId="3"/>
    <cellStyle name="Normal" xfId="0" builtinId="0"/>
    <cellStyle name="Normal 429" xfId="3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233\grpdata\TEMP\pages_15-23_valu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233\grpdata\PEF%20Resource%20Planning\2019\2019-01%20TYSP\Schedules\Schedule%207\2019-01%202019%20TYSP%20RM%20Schedule%207%20Calculations%2001-21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.1"/>
      <sheetName val="SCHEDULE 3.2"/>
      <sheetName val="SCHEDULE 3.3"/>
    </sheetNames>
    <sheetDataSet>
      <sheetData sheetId="0" refreshError="1"/>
      <sheetData sheetId="1">
        <row r="1">
          <cell r="A1" t="str">
            <v>FLORIDA POWER CORPORATION</v>
          </cell>
        </row>
        <row r="3">
          <cell r="A3" t="str">
            <v>SCHEDULE 3.2.1</v>
          </cell>
        </row>
        <row r="4">
          <cell r="A4" t="str">
            <v>HISTORY AND FORECAST OF WINTER PEAK DEMAND (MW)</v>
          </cell>
        </row>
        <row r="5">
          <cell r="A5" t="str">
            <v>BASE CASE</v>
          </cell>
        </row>
        <row r="8">
          <cell r="A8" t="str">
            <v>(1)</v>
          </cell>
          <cell r="B8" t="str">
            <v>(2)</v>
          </cell>
          <cell r="C8" t="str">
            <v>(3)</v>
          </cell>
          <cell r="D8" t="str">
            <v>(4)</v>
          </cell>
          <cell r="E8" t="str">
            <v>(5)</v>
          </cell>
          <cell r="F8" t="str">
            <v>(6)</v>
          </cell>
          <cell r="G8" t="str">
            <v>(7)</v>
          </cell>
          <cell r="H8" t="str">
            <v>(8)</v>
          </cell>
          <cell r="I8" t="str">
            <v>(9)</v>
          </cell>
          <cell r="J8" t="str">
            <v>(OTH)</v>
          </cell>
          <cell r="K8" t="str">
            <v>(10)</v>
          </cell>
        </row>
        <row r="12">
          <cell r="F12" t="str">
            <v>RESIDENTIAL</v>
          </cell>
          <cell r="H12" t="str">
            <v>COMM. / IND.</v>
          </cell>
          <cell r="J12" t="str">
            <v>OTHER</v>
          </cell>
        </row>
        <row r="13">
          <cell r="F13" t="str">
            <v>LOAD</v>
          </cell>
          <cell r="G13" t="str">
            <v>RESIDENTIAL</v>
          </cell>
          <cell r="H13" t="str">
            <v>LOAD</v>
          </cell>
          <cell r="I13" t="str">
            <v>COMM. / IND.</v>
          </cell>
          <cell r="J13" t="str">
            <v>DEMAND</v>
          </cell>
          <cell r="K13" t="str">
            <v>NET FIRM</v>
          </cell>
        </row>
        <row r="14">
          <cell r="A14" t="str">
            <v>YEAR</v>
          </cell>
          <cell r="B14" t="str">
            <v>TOTAL</v>
          </cell>
          <cell r="C14" t="str">
            <v>WHOLESALE</v>
          </cell>
          <cell r="D14" t="str">
            <v>RETAIL</v>
          </cell>
          <cell r="E14" t="str">
            <v>INTERRUPTIBLE</v>
          </cell>
          <cell r="F14" t="str">
            <v>MANAGEMENT</v>
          </cell>
          <cell r="G14" t="str">
            <v>CONSERVATION</v>
          </cell>
          <cell r="H14" t="str">
            <v>MANAGEMENT</v>
          </cell>
          <cell r="I14" t="str">
            <v>CONSERVATION</v>
          </cell>
          <cell r="J14" t="str">
            <v>REDUCTIONS</v>
          </cell>
          <cell r="K14" t="str">
            <v>DEMAND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</row>
        <row r="17">
          <cell r="A17" t="str">
            <v>1991/92</v>
          </cell>
          <cell r="B17">
            <v>7162.5</v>
          </cell>
          <cell r="C17">
            <v>972</v>
          </cell>
          <cell r="D17">
            <v>6190.5</v>
          </cell>
          <cell r="E17">
            <v>181</v>
          </cell>
          <cell r="F17">
            <v>611</v>
          </cell>
          <cell r="G17">
            <v>60</v>
          </cell>
          <cell r="H17">
            <v>0</v>
          </cell>
          <cell r="I17">
            <v>55</v>
          </cell>
          <cell r="J17">
            <v>154.5</v>
          </cell>
          <cell r="K17">
            <v>6101</v>
          </cell>
        </row>
        <row r="18">
          <cell r="A18" t="str">
            <v>1992/93</v>
          </cell>
          <cell r="B18">
            <v>7190.5</v>
          </cell>
          <cell r="C18">
            <v>851</v>
          </cell>
          <cell r="D18">
            <v>6339.5</v>
          </cell>
          <cell r="E18">
            <v>155</v>
          </cell>
          <cell r="F18">
            <v>599</v>
          </cell>
          <cell r="G18">
            <v>67</v>
          </cell>
          <cell r="H18">
            <v>0</v>
          </cell>
          <cell r="I18">
            <v>57</v>
          </cell>
          <cell r="J18">
            <v>158.5</v>
          </cell>
          <cell r="K18">
            <v>6154</v>
          </cell>
        </row>
        <row r="19">
          <cell r="A19" t="str">
            <v>1993/94</v>
          </cell>
          <cell r="B19">
            <v>7183.5</v>
          </cell>
          <cell r="C19">
            <v>972</v>
          </cell>
          <cell r="D19">
            <v>6211.5</v>
          </cell>
          <cell r="E19">
            <v>199</v>
          </cell>
          <cell r="F19">
            <v>759</v>
          </cell>
          <cell r="G19">
            <v>90</v>
          </cell>
          <cell r="H19">
            <v>2.25</v>
          </cell>
          <cell r="I19">
            <v>66</v>
          </cell>
          <cell r="J19">
            <v>164.5</v>
          </cell>
          <cell r="K19">
            <v>5902.75</v>
          </cell>
        </row>
        <row r="20">
          <cell r="A20" t="str">
            <v>1994/95</v>
          </cell>
          <cell r="B20">
            <v>9083.5</v>
          </cell>
          <cell r="C20">
            <v>1145</v>
          </cell>
          <cell r="D20">
            <v>7938.5</v>
          </cell>
          <cell r="E20">
            <v>281</v>
          </cell>
          <cell r="F20">
            <v>997</v>
          </cell>
          <cell r="G20">
            <v>101</v>
          </cell>
          <cell r="H20">
            <v>5.4</v>
          </cell>
          <cell r="I20">
            <v>75</v>
          </cell>
          <cell r="J20">
            <v>130.5</v>
          </cell>
          <cell r="K20">
            <v>7493.6</v>
          </cell>
        </row>
        <row r="21">
          <cell r="A21" t="str">
            <v>1995/96</v>
          </cell>
          <cell r="B21">
            <v>10561.5</v>
          </cell>
          <cell r="C21">
            <v>1489</v>
          </cell>
          <cell r="D21">
            <v>9072.5</v>
          </cell>
          <cell r="E21">
            <v>255</v>
          </cell>
          <cell r="F21">
            <v>1156</v>
          </cell>
          <cell r="G21">
            <v>106</v>
          </cell>
          <cell r="H21">
            <v>14.85</v>
          </cell>
          <cell r="I21">
            <v>95</v>
          </cell>
          <cell r="J21">
            <v>200.5</v>
          </cell>
          <cell r="K21">
            <v>8734.15</v>
          </cell>
        </row>
        <row r="22">
          <cell r="A22" t="str">
            <v>1996/97</v>
          </cell>
          <cell r="B22">
            <v>8485.5</v>
          </cell>
          <cell r="C22">
            <v>1235</v>
          </cell>
          <cell r="D22">
            <v>7250.5</v>
          </cell>
          <cell r="E22">
            <v>290</v>
          </cell>
          <cell r="F22">
            <v>917</v>
          </cell>
          <cell r="G22">
            <v>133</v>
          </cell>
          <cell r="H22">
            <v>15.75</v>
          </cell>
          <cell r="I22">
            <v>104</v>
          </cell>
          <cell r="J22">
            <v>189.5</v>
          </cell>
          <cell r="K22">
            <v>6836.25</v>
          </cell>
        </row>
        <row r="23">
          <cell r="A23" t="str">
            <v>1997/98</v>
          </cell>
          <cell r="B23">
            <v>7716.87144999066</v>
          </cell>
          <cell r="C23">
            <v>941</v>
          </cell>
          <cell r="D23">
            <v>6775.87144999066</v>
          </cell>
          <cell r="E23">
            <v>318</v>
          </cell>
          <cell r="F23">
            <v>663</v>
          </cell>
          <cell r="G23">
            <v>123.85432262495547</v>
          </cell>
          <cell r="H23">
            <v>16.777999999999999</v>
          </cell>
          <cell r="I23">
            <v>117.0171273657041</v>
          </cell>
          <cell r="J23">
            <v>168</v>
          </cell>
          <cell r="K23">
            <v>6310.2220000000007</v>
          </cell>
        </row>
        <row r="24">
          <cell r="A24" t="str">
            <v>1998/99</v>
          </cell>
          <cell r="B24">
            <v>10473.019725013599</v>
          </cell>
          <cell r="C24">
            <v>1741</v>
          </cell>
          <cell r="D24">
            <v>8732.0197250135989</v>
          </cell>
          <cell r="E24">
            <v>305</v>
          </cell>
          <cell r="F24">
            <v>874</v>
          </cell>
          <cell r="G24">
            <v>196.10154454250986</v>
          </cell>
          <cell r="H24">
            <v>17.763999999999999</v>
          </cell>
          <cell r="I24">
            <v>116.91818047109018</v>
          </cell>
          <cell r="J24">
            <v>187</v>
          </cell>
          <cell r="K24">
            <v>8776.235999999999</v>
          </cell>
        </row>
        <row r="25">
          <cell r="A25" t="str">
            <v>1999/00</v>
          </cell>
          <cell r="B25">
            <v>10040</v>
          </cell>
          <cell r="C25">
            <v>1728</v>
          </cell>
          <cell r="D25">
            <v>8312</v>
          </cell>
          <cell r="E25">
            <v>225</v>
          </cell>
          <cell r="F25">
            <v>849</v>
          </cell>
          <cell r="G25">
            <v>229</v>
          </cell>
          <cell r="H25">
            <v>20</v>
          </cell>
          <cell r="I25">
            <v>119</v>
          </cell>
          <cell r="J25">
            <v>182</v>
          </cell>
          <cell r="K25">
            <v>8416</v>
          </cell>
        </row>
        <row r="26">
          <cell r="A26" t="str">
            <v>2000/01</v>
          </cell>
          <cell r="B26">
            <v>11442</v>
          </cell>
          <cell r="C26">
            <v>1984</v>
          </cell>
          <cell r="D26">
            <v>9458</v>
          </cell>
          <cell r="E26">
            <v>247.5</v>
          </cell>
          <cell r="F26">
            <v>809</v>
          </cell>
          <cell r="G26">
            <v>254</v>
          </cell>
          <cell r="H26">
            <v>28.710968748493158</v>
          </cell>
          <cell r="I26">
            <v>120</v>
          </cell>
          <cell r="J26">
            <v>221</v>
          </cell>
          <cell r="K26">
            <v>9761.7890312515065</v>
          </cell>
        </row>
        <row r="28">
          <cell r="A28" t="str">
            <v>2001/02</v>
          </cell>
          <cell r="B28">
            <v>10223</v>
          </cell>
          <cell r="C28">
            <v>1601.9299723898148</v>
          </cell>
          <cell r="D28">
            <v>8621.0700276101852</v>
          </cell>
          <cell r="E28">
            <v>297</v>
          </cell>
          <cell r="F28">
            <v>761</v>
          </cell>
          <cell r="G28">
            <v>277.93784499999998</v>
          </cell>
          <cell r="H28">
            <v>32.468591148493161</v>
          </cell>
          <cell r="I28">
            <v>121</v>
          </cell>
          <cell r="J28">
            <v>204</v>
          </cell>
          <cell r="K28">
            <v>8529.5935638515075</v>
          </cell>
        </row>
        <row r="29">
          <cell r="A29" t="str">
            <v>2002/03</v>
          </cell>
          <cell r="B29">
            <v>10273</v>
          </cell>
          <cell r="C29">
            <v>1359.8299723898149</v>
          </cell>
          <cell r="D29">
            <v>8913.1700276101856</v>
          </cell>
          <cell r="E29">
            <v>336</v>
          </cell>
          <cell r="F29">
            <v>713</v>
          </cell>
          <cell r="G29">
            <v>303.22807519999998</v>
          </cell>
          <cell r="H29">
            <v>35.607791148493156</v>
          </cell>
          <cell r="I29">
            <v>122</v>
          </cell>
          <cell r="J29">
            <v>204</v>
          </cell>
          <cell r="K29">
            <v>8559.1641336515077</v>
          </cell>
        </row>
        <row r="30">
          <cell r="A30" t="str">
            <v>2003/04</v>
          </cell>
          <cell r="B30">
            <v>10302</v>
          </cell>
          <cell r="C30">
            <v>1193.1299723898148</v>
          </cell>
          <cell r="D30">
            <v>9108.8700276101845</v>
          </cell>
          <cell r="E30">
            <v>340</v>
          </cell>
          <cell r="F30">
            <v>683</v>
          </cell>
          <cell r="G30">
            <v>330.326167</v>
          </cell>
          <cell r="H30">
            <v>38.746991148493159</v>
          </cell>
          <cell r="I30">
            <v>123</v>
          </cell>
          <cell r="J30">
            <v>204</v>
          </cell>
          <cell r="K30">
            <v>8582.9268418515076</v>
          </cell>
        </row>
        <row r="31">
          <cell r="A31" t="str">
            <v>2004/05</v>
          </cell>
          <cell r="B31">
            <v>10518</v>
          </cell>
          <cell r="C31">
            <v>1266.0299723898147</v>
          </cell>
          <cell r="D31">
            <v>9251.9700276101848</v>
          </cell>
          <cell r="E31">
            <v>350</v>
          </cell>
          <cell r="F31">
            <v>659</v>
          </cell>
          <cell r="G31">
            <v>358.707089</v>
          </cell>
          <cell r="H31">
            <v>41.886191148493154</v>
          </cell>
          <cell r="I31">
            <v>124</v>
          </cell>
          <cell r="J31">
            <v>206</v>
          </cell>
          <cell r="K31">
            <v>8778.4067198515077</v>
          </cell>
        </row>
        <row r="32">
          <cell r="A32" t="str">
            <v>2005/06</v>
          </cell>
          <cell r="B32">
            <v>10726</v>
          </cell>
          <cell r="C32">
            <v>1320.9299723898148</v>
          </cell>
          <cell r="D32">
            <v>9405.0700276101852</v>
          </cell>
          <cell r="E32">
            <v>354</v>
          </cell>
          <cell r="F32">
            <v>640</v>
          </cell>
          <cell r="G32">
            <v>387.80405779999995</v>
          </cell>
          <cell r="H32">
            <v>45.025391148493156</v>
          </cell>
          <cell r="I32">
            <v>125</v>
          </cell>
          <cell r="J32">
            <v>209</v>
          </cell>
          <cell r="K32">
            <v>8965.1705510515076</v>
          </cell>
        </row>
        <row r="33">
          <cell r="A33" t="str">
            <v>2006/07</v>
          </cell>
          <cell r="B33">
            <v>10976</v>
          </cell>
          <cell r="C33">
            <v>1401.1299723898148</v>
          </cell>
          <cell r="D33">
            <v>9574.8700276101845</v>
          </cell>
          <cell r="E33">
            <v>355</v>
          </cell>
          <cell r="F33">
            <v>623</v>
          </cell>
          <cell r="G33">
            <v>417.15780139999998</v>
          </cell>
          <cell r="H33">
            <v>48.164591148493159</v>
          </cell>
          <cell r="I33">
            <v>126</v>
          </cell>
          <cell r="J33">
            <v>212</v>
          </cell>
          <cell r="K33">
            <v>9194.6776074515074</v>
          </cell>
        </row>
        <row r="34">
          <cell r="A34" t="str">
            <v>2007/08</v>
          </cell>
          <cell r="B34">
            <v>11197</v>
          </cell>
          <cell r="C34">
            <v>1448.1</v>
          </cell>
          <cell r="D34">
            <v>9748.9</v>
          </cell>
          <cell r="E34">
            <v>348</v>
          </cell>
          <cell r="F34">
            <v>608</v>
          </cell>
          <cell r="G34">
            <v>446.32052959999999</v>
          </cell>
          <cell r="H34">
            <v>51.303791148493154</v>
          </cell>
          <cell r="I34">
            <v>127</v>
          </cell>
          <cell r="J34">
            <v>214</v>
          </cell>
          <cell r="K34">
            <v>9402.3756792515069</v>
          </cell>
        </row>
        <row r="35">
          <cell r="A35" t="str">
            <v>2008/09</v>
          </cell>
          <cell r="B35">
            <v>11486</v>
          </cell>
          <cell r="C35">
            <v>1548.2</v>
          </cell>
          <cell r="D35">
            <v>9937.7999999999993</v>
          </cell>
          <cell r="E35">
            <v>349</v>
          </cell>
          <cell r="F35">
            <v>594</v>
          </cell>
          <cell r="G35">
            <v>474.95091980000001</v>
          </cell>
          <cell r="H35">
            <v>54.442991148493157</v>
          </cell>
          <cell r="I35">
            <v>128</v>
          </cell>
          <cell r="J35">
            <v>218</v>
          </cell>
          <cell r="K35">
            <v>9667.6060890515073</v>
          </cell>
        </row>
        <row r="36">
          <cell r="A36" t="str">
            <v>2009/10</v>
          </cell>
          <cell r="B36">
            <v>11742</v>
          </cell>
          <cell r="C36">
            <v>1616.2</v>
          </cell>
          <cell r="D36">
            <v>10125.799999999999</v>
          </cell>
          <cell r="E36">
            <v>350</v>
          </cell>
          <cell r="F36">
            <v>582</v>
          </cell>
          <cell r="G36">
            <v>502.83708059999998</v>
          </cell>
          <cell r="H36">
            <v>57.320591148493158</v>
          </cell>
          <cell r="I36">
            <v>129</v>
          </cell>
          <cell r="J36">
            <v>221</v>
          </cell>
          <cell r="K36">
            <v>9899.8423282515068</v>
          </cell>
        </row>
        <row r="37">
          <cell r="A37" t="str">
            <v>2010/11</v>
          </cell>
          <cell r="B37">
            <v>12025</v>
          </cell>
          <cell r="C37">
            <v>1715.2</v>
          </cell>
          <cell r="D37">
            <v>10309.799999999999</v>
          </cell>
          <cell r="E37">
            <v>351</v>
          </cell>
          <cell r="F37">
            <v>571</v>
          </cell>
          <cell r="G37">
            <v>502.83708059999998</v>
          </cell>
          <cell r="H37">
            <v>57.320591148493158</v>
          </cell>
          <cell r="I37">
            <v>129</v>
          </cell>
          <cell r="J37">
            <v>224</v>
          </cell>
          <cell r="K37">
            <v>10189.842328251507</v>
          </cell>
        </row>
        <row r="39">
          <cell r="A39" t="str">
            <v>Historical Values (1992 - 2001):</v>
          </cell>
        </row>
        <row r="40">
          <cell r="A40" t="str">
            <v xml:space="preserve">Col. (2) = recorded peak + implemented load control + residential and commercial/industrial conservation and customer-owned self-service cogeneration.  </v>
          </cell>
        </row>
        <row r="41">
          <cell r="A41" t="str">
            <v>Cols. (5) - (9)  = Represent total cumulative capabilities at peak. Col. (8) includes commercial load management and standby generation.</v>
          </cell>
        </row>
        <row r="42">
          <cell r="A42" t="str">
            <v>Col. (OTH) = Residential Heat Works load control, voltage reduction and customer-owned self-service cogeneration.</v>
          </cell>
        </row>
        <row r="43">
          <cell r="A43" t="str">
            <v>Col. (10) = (2) - (5) - (6) - (7) - (8) - (9) - (OTH).</v>
          </cell>
        </row>
        <row r="44">
          <cell r="A44" t="str">
            <v>Projected Values (2002 - 2011):</v>
          </cell>
        </row>
        <row r="45">
          <cell r="A45" t="str">
            <v>Cols. (2) - (4) forecasted peak without load control and conservation.</v>
          </cell>
        </row>
        <row r="46">
          <cell r="A46" t="str">
            <v>Cols. (5) - (9)  = Represent cumulative conservation and load control capabilities at peak. Col. (8) includes commercial load management and standby generation.</v>
          </cell>
        </row>
        <row r="47">
          <cell r="A47" t="str">
            <v>Col. (OTH) = voltage reduction and customer-owned self-service cogeneration.</v>
          </cell>
        </row>
        <row r="48">
          <cell r="A48" t="str">
            <v>Col. (10) = (2) - (5) - (6) - (7) - (8) - (9) - (OTH).</v>
          </cell>
        </row>
        <row r="50">
          <cell r="A50" t="str">
            <v>FLORIDA POWER CORPORATION</v>
          </cell>
        </row>
        <row r="52">
          <cell r="A52" t="str">
            <v>SCHEDULE 3.2.2</v>
          </cell>
        </row>
        <row r="53">
          <cell r="A53" t="str">
            <v>HISTORY AND FORECAST OF WINTER PEAK DEMAND (MW)</v>
          </cell>
        </row>
        <row r="54">
          <cell r="A54" t="str">
            <v>HIGH LOAD FORECAST</v>
          </cell>
        </row>
        <row r="57">
          <cell r="A57" t="str">
            <v>(1)</v>
          </cell>
          <cell r="B57" t="str">
            <v>(2)</v>
          </cell>
          <cell r="C57" t="str">
            <v>(3)</v>
          </cell>
          <cell r="D57" t="str">
            <v>(4)</v>
          </cell>
          <cell r="E57" t="str">
            <v>(5)</v>
          </cell>
          <cell r="F57" t="str">
            <v>(6)</v>
          </cell>
          <cell r="G57" t="str">
            <v>(7)</v>
          </cell>
          <cell r="H57" t="str">
            <v>(8)</v>
          </cell>
          <cell r="I57" t="str">
            <v>(9)</v>
          </cell>
          <cell r="J57" t="str">
            <v>(OTH)</v>
          </cell>
          <cell r="K57" t="str">
            <v>(10)</v>
          </cell>
        </row>
        <row r="61">
          <cell r="F61" t="str">
            <v>RESIDENTIAL</v>
          </cell>
          <cell r="H61" t="str">
            <v>COMM. / IND.</v>
          </cell>
          <cell r="J61" t="str">
            <v>OTHER</v>
          </cell>
        </row>
        <row r="62">
          <cell r="F62" t="str">
            <v>LOAD</v>
          </cell>
          <cell r="G62" t="str">
            <v>RESIDENTIAL</v>
          </cell>
          <cell r="H62" t="str">
            <v>LOAD</v>
          </cell>
          <cell r="I62" t="str">
            <v>COMM. / IND.</v>
          </cell>
          <cell r="J62" t="str">
            <v>DEMAND</v>
          </cell>
          <cell r="K62" t="str">
            <v>NET FIRM</v>
          </cell>
        </row>
        <row r="63">
          <cell r="A63" t="str">
            <v>YEAR</v>
          </cell>
          <cell r="B63" t="str">
            <v>TOTAL</v>
          </cell>
          <cell r="C63" t="str">
            <v>WHOLESALE</v>
          </cell>
          <cell r="D63" t="str">
            <v>RETAIL</v>
          </cell>
          <cell r="E63" t="str">
            <v>INTERRUPTIBLE</v>
          </cell>
          <cell r="F63" t="str">
            <v>MANAGEMENT</v>
          </cell>
          <cell r="G63" t="str">
            <v>CONSERVATION</v>
          </cell>
          <cell r="H63" t="str">
            <v>MANAGEMENT</v>
          </cell>
          <cell r="I63" t="str">
            <v>CONSERVATION</v>
          </cell>
          <cell r="J63" t="str">
            <v>REDUCTIONS</v>
          </cell>
          <cell r="K63" t="str">
            <v>DEMAND</v>
          </cell>
        </row>
        <row r="64">
          <cell r="A64" t="str">
            <v>-</v>
          </cell>
          <cell r="B64" t="str">
            <v>-</v>
          </cell>
          <cell r="C64" t="str">
            <v>-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</row>
        <row r="66">
          <cell r="A66" t="str">
            <v>1991/92</v>
          </cell>
          <cell r="B66">
            <v>7162.5</v>
          </cell>
          <cell r="C66">
            <v>972</v>
          </cell>
          <cell r="D66">
            <v>6190.5</v>
          </cell>
          <cell r="E66">
            <v>181</v>
          </cell>
          <cell r="F66">
            <v>611</v>
          </cell>
          <cell r="G66">
            <v>60</v>
          </cell>
          <cell r="H66">
            <v>0</v>
          </cell>
          <cell r="I66">
            <v>55</v>
          </cell>
          <cell r="J66">
            <v>154.5</v>
          </cell>
          <cell r="K66">
            <v>6101</v>
          </cell>
        </row>
        <row r="67">
          <cell r="A67" t="str">
            <v>1992/93</v>
          </cell>
          <cell r="B67">
            <v>7190.5</v>
          </cell>
          <cell r="C67">
            <v>851</v>
          </cell>
          <cell r="D67">
            <v>6339.5</v>
          </cell>
          <cell r="E67">
            <v>155</v>
          </cell>
          <cell r="F67">
            <v>599</v>
          </cell>
          <cell r="G67">
            <v>67</v>
          </cell>
          <cell r="H67">
            <v>0</v>
          </cell>
          <cell r="I67">
            <v>57</v>
          </cell>
          <cell r="J67">
            <v>158.5</v>
          </cell>
          <cell r="K67">
            <v>6154</v>
          </cell>
        </row>
        <row r="68">
          <cell r="A68" t="str">
            <v>1993/94</v>
          </cell>
          <cell r="B68">
            <v>7183.5</v>
          </cell>
          <cell r="C68">
            <v>972</v>
          </cell>
          <cell r="D68">
            <v>6211.5</v>
          </cell>
          <cell r="E68">
            <v>199</v>
          </cell>
          <cell r="F68">
            <v>759</v>
          </cell>
          <cell r="G68">
            <v>90</v>
          </cell>
          <cell r="H68">
            <v>2.25</v>
          </cell>
          <cell r="I68">
            <v>66</v>
          </cell>
          <cell r="J68">
            <v>164.5</v>
          </cell>
          <cell r="K68">
            <v>5902.75</v>
          </cell>
        </row>
        <row r="69">
          <cell r="A69" t="str">
            <v>1994/95</v>
          </cell>
          <cell r="B69">
            <v>9083.5</v>
          </cell>
          <cell r="C69">
            <v>1145</v>
          </cell>
          <cell r="D69">
            <v>7938.5</v>
          </cell>
          <cell r="E69">
            <v>281</v>
          </cell>
          <cell r="F69">
            <v>997</v>
          </cell>
          <cell r="G69">
            <v>101</v>
          </cell>
          <cell r="H69">
            <v>5.4</v>
          </cell>
          <cell r="I69">
            <v>75</v>
          </cell>
          <cell r="J69">
            <v>130.5</v>
          </cell>
          <cell r="K69">
            <v>7493.6</v>
          </cell>
        </row>
        <row r="70">
          <cell r="A70" t="str">
            <v>1995/96</v>
          </cell>
          <cell r="B70">
            <v>10561.5</v>
          </cell>
          <cell r="C70">
            <v>1489</v>
          </cell>
          <cell r="D70">
            <v>9072.5</v>
          </cell>
          <cell r="E70">
            <v>255</v>
          </cell>
          <cell r="F70">
            <v>1156</v>
          </cell>
          <cell r="G70">
            <v>106</v>
          </cell>
          <cell r="H70">
            <v>14.85</v>
          </cell>
          <cell r="I70">
            <v>95</v>
          </cell>
          <cell r="J70">
            <v>200.5</v>
          </cell>
          <cell r="K70">
            <v>8734.15</v>
          </cell>
        </row>
        <row r="71">
          <cell r="A71" t="str">
            <v>1996/97</v>
          </cell>
          <cell r="B71">
            <v>8485.5</v>
          </cell>
          <cell r="C71">
            <v>1235</v>
          </cell>
          <cell r="D71">
            <v>7250.5</v>
          </cell>
          <cell r="E71">
            <v>290</v>
          </cell>
          <cell r="F71">
            <v>917</v>
          </cell>
          <cell r="G71">
            <v>133</v>
          </cell>
          <cell r="H71">
            <v>15.75</v>
          </cell>
          <cell r="I71">
            <v>104</v>
          </cell>
          <cell r="J71">
            <v>189.5</v>
          </cell>
          <cell r="K71">
            <v>6836.25</v>
          </cell>
        </row>
        <row r="72">
          <cell r="A72" t="str">
            <v>1997/98</v>
          </cell>
          <cell r="B72">
            <v>7716.87144999066</v>
          </cell>
          <cell r="C72">
            <v>941</v>
          </cell>
          <cell r="D72">
            <v>6775.87144999066</v>
          </cell>
          <cell r="E72">
            <v>318</v>
          </cell>
          <cell r="F72">
            <v>663</v>
          </cell>
          <cell r="G72">
            <v>123.85432262495547</v>
          </cell>
          <cell r="H72">
            <v>16.777999999999999</v>
          </cell>
          <cell r="I72">
            <v>117.0171273657041</v>
          </cell>
          <cell r="J72">
            <v>168</v>
          </cell>
          <cell r="K72">
            <v>6310.2220000000007</v>
          </cell>
        </row>
        <row r="73">
          <cell r="A73" t="str">
            <v>1998/99</v>
          </cell>
          <cell r="B73">
            <v>10473.019725013599</v>
          </cell>
          <cell r="C73">
            <v>1741</v>
          </cell>
          <cell r="D73">
            <v>8732.0197250135989</v>
          </cell>
          <cell r="E73">
            <v>305</v>
          </cell>
          <cell r="F73">
            <v>874</v>
          </cell>
          <cell r="G73">
            <v>196.10154454250986</v>
          </cell>
          <cell r="H73">
            <v>17.763999999999999</v>
          </cell>
          <cell r="I73">
            <v>116.91818047109018</v>
          </cell>
          <cell r="J73">
            <v>187</v>
          </cell>
          <cell r="K73">
            <v>8776.235999999999</v>
          </cell>
        </row>
        <row r="74">
          <cell r="A74" t="str">
            <v>1999/00</v>
          </cell>
          <cell r="B74">
            <v>10040</v>
          </cell>
          <cell r="C74">
            <v>1728</v>
          </cell>
          <cell r="D74">
            <v>8312</v>
          </cell>
          <cell r="E74">
            <v>225</v>
          </cell>
          <cell r="F74">
            <v>849</v>
          </cell>
          <cell r="G74">
            <v>229</v>
          </cell>
          <cell r="H74">
            <v>20</v>
          </cell>
          <cell r="I74">
            <v>119</v>
          </cell>
          <cell r="J74">
            <v>182</v>
          </cell>
          <cell r="K74">
            <v>8416</v>
          </cell>
        </row>
        <row r="75">
          <cell r="A75" t="str">
            <v>2000/01</v>
          </cell>
          <cell r="B75">
            <v>11442</v>
          </cell>
          <cell r="C75">
            <v>1984</v>
          </cell>
          <cell r="D75">
            <v>9458</v>
          </cell>
          <cell r="E75">
            <v>247.5</v>
          </cell>
          <cell r="F75">
            <v>809</v>
          </cell>
          <cell r="G75">
            <v>254</v>
          </cell>
          <cell r="H75">
            <v>28.710968748493158</v>
          </cell>
          <cell r="I75">
            <v>120</v>
          </cell>
          <cell r="J75">
            <v>221</v>
          </cell>
          <cell r="K75">
            <v>9761.7890312515065</v>
          </cell>
        </row>
        <row r="77">
          <cell r="A77" t="str">
            <v>2001/02</v>
          </cell>
          <cell r="B77">
            <v>10370.867817389815</v>
          </cell>
          <cell r="C77">
            <v>1601.9299723898148</v>
          </cell>
          <cell r="D77">
            <v>8768.9378450000004</v>
          </cell>
          <cell r="E77">
            <v>297</v>
          </cell>
          <cell r="F77">
            <v>761</v>
          </cell>
          <cell r="G77">
            <v>277.93784499999998</v>
          </cell>
          <cell r="H77">
            <v>32.468591148493161</v>
          </cell>
          <cell r="I77">
            <v>121</v>
          </cell>
          <cell r="J77">
            <v>204</v>
          </cell>
          <cell r="K77">
            <v>8677.4613812413227</v>
          </cell>
        </row>
        <row r="78">
          <cell r="A78" t="str">
            <v>2002/03</v>
          </cell>
          <cell r="B78">
            <v>10443.058047589815</v>
          </cell>
          <cell r="C78">
            <v>1359.8299723898149</v>
          </cell>
          <cell r="D78">
            <v>9083.2280752000006</v>
          </cell>
          <cell r="E78">
            <v>336</v>
          </cell>
          <cell r="F78">
            <v>713</v>
          </cell>
          <cell r="G78">
            <v>303.22807519999998</v>
          </cell>
          <cell r="H78">
            <v>35.607791148493156</v>
          </cell>
          <cell r="I78">
            <v>122</v>
          </cell>
          <cell r="J78">
            <v>204</v>
          </cell>
          <cell r="K78">
            <v>8729.2221812413227</v>
          </cell>
        </row>
        <row r="79">
          <cell r="A79" t="str">
            <v>2003/04</v>
          </cell>
          <cell r="B79">
            <v>10505.456139389815</v>
          </cell>
          <cell r="C79">
            <v>1193.1299723898148</v>
          </cell>
          <cell r="D79">
            <v>9312.3261669999993</v>
          </cell>
          <cell r="E79">
            <v>340</v>
          </cell>
          <cell r="F79">
            <v>683</v>
          </cell>
          <cell r="G79">
            <v>330.326167</v>
          </cell>
          <cell r="H79">
            <v>38.746991148493159</v>
          </cell>
          <cell r="I79">
            <v>123</v>
          </cell>
          <cell r="J79">
            <v>204</v>
          </cell>
          <cell r="K79">
            <v>8786.3829812413223</v>
          </cell>
        </row>
        <row r="80">
          <cell r="A80" t="str">
            <v>2004/05</v>
          </cell>
          <cell r="B80">
            <v>10745.737061389815</v>
          </cell>
          <cell r="C80">
            <v>1266.0299723898147</v>
          </cell>
          <cell r="D80">
            <v>9479.7070889999995</v>
          </cell>
          <cell r="E80">
            <v>350</v>
          </cell>
          <cell r="F80">
            <v>659</v>
          </cell>
          <cell r="G80">
            <v>358.707089</v>
          </cell>
          <cell r="H80">
            <v>41.886191148493154</v>
          </cell>
          <cell r="I80">
            <v>124</v>
          </cell>
          <cell r="J80">
            <v>206</v>
          </cell>
          <cell r="K80">
            <v>9006.1437812413205</v>
          </cell>
        </row>
        <row r="81">
          <cell r="A81" t="str">
            <v>2005/06</v>
          </cell>
          <cell r="B81">
            <v>10985.734030189815</v>
          </cell>
          <cell r="C81">
            <v>1320.9299723898148</v>
          </cell>
          <cell r="D81">
            <v>9664.8040578</v>
          </cell>
          <cell r="E81">
            <v>354</v>
          </cell>
          <cell r="F81">
            <v>640</v>
          </cell>
          <cell r="G81">
            <v>387.80405779999995</v>
          </cell>
          <cell r="H81">
            <v>45.025391148493156</v>
          </cell>
          <cell r="I81">
            <v>125</v>
          </cell>
          <cell r="J81">
            <v>209</v>
          </cell>
          <cell r="K81">
            <v>9224.9045812413224</v>
          </cell>
        </row>
        <row r="82">
          <cell r="A82" t="str">
            <v>2006/07</v>
          </cell>
          <cell r="B82">
            <v>11261.287773789816</v>
          </cell>
          <cell r="C82">
            <v>1401.1299723898148</v>
          </cell>
          <cell r="D82">
            <v>9860.1578014000006</v>
          </cell>
          <cell r="E82">
            <v>355</v>
          </cell>
          <cell r="F82">
            <v>623</v>
          </cell>
          <cell r="G82">
            <v>417.15780139999998</v>
          </cell>
          <cell r="H82">
            <v>48.164591148493159</v>
          </cell>
          <cell r="I82">
            <v>126</v>
          </cell>
          <cell r="J82">
            <v>212</v>
          </cell>
          <cell r="K82">
            <v>9479.9653812413235</v>
          </cell>
        </row>
        <row r="83">
          <cell r="A83" t="str">
            <v>2007/08</v>
          </cell>
          <cell r="B83">
            <v>11529.4205296</v>
          </cell>
          <cell r="C83">
            <v>1448.1</v>
          </cell>
          <cell r="D83">
            <v>10081.3205296</v>
          </cell>
          <cell r="E83">
            <v>348</v>
          </cell>
          <cell r="F83">
            <v>608</v>
          </cell>
          <cell r="G83">
            <v>446.32052959999999</v>
          </cell>
          <cell r="H83">
            <v>51.303791148493154</v>
          </cell>
          <cell r="I83">
            <v>127</v>
          </cell>
          <cell r="J83">
            <v>214</v>
          </cell>
          <cell r="K83">
            <v>9734.7962088515069</v>
          </cell>
        </row>
        <row r="84">
          <cell r="A84" t="str">
            <v>2008/09</v>
          </cell>
          <cell r="B84">
            <v>11878.1509198</v>
          </cell>
          <cell r="C84">
            <v>1548.2</v>
          </cell>
          <cell r="D84">
            <v>10329.9509198</v>
          </cell>
          <cell r="E84">
            <v>349</v>
          </cell>
          <cell r="F84">
            <v>594</v>
          </cell>
          <cell r="G84">
            <v>474.95091980000001</v>
          </cell>
          <cell r="H84">
            <v>54.442991148493157</v>
          </cell>
          <cell r="I84">
            <v>128</v>
          </cell>
          <cell r="J84">
            <v>218</v>
          </cell>
          <cell r="K84">
            <v>10059.757008851508</v>
          </cell>
        </row>
        <row r="85">
          <cell r="A85" t="str">
            <v>2009/10</v>
          </cell>
          <cell r="B85">
            <v>12182.037080600001</v>
          </cell>
          <cell r="C85">
            <v>1616.2</v>
          </cell>
          <cell r="D85">
            <v>10565.8370806</v>
          </cell>
          <cell r="E85">
            <v>350</v>
          </cell>
          <cell r="F85">
            <v>582</v>
          </cell>
          <cell r="G85">
            <v>502.83708059999998</v>
          </cell>
          <cell r="H85">
            <v>57.320591148493158</v>
          </cell>
          <cell r="I85">
            <v>129</v>
          </cell>
          <cell r="J85">
            <v>221</v>
          </cell>
          <cell r="K85">
            <v>10339.879408851508</v>
          </cell>
        </row>
        <row r="86">
          <cell r="A86" t="str">
            <v>2010/11</v>
          </cell>
          <cell r="B86">
            <v>12543.037080600001</v>
          </cell>
          <cell r="C86">
            <v>1715.2</v>
          </cell>
          <cell r="D86">
            <v>10827.8370806</v>
          </cell>
          <cell r="E86">
            <v>351</v>
          </cell>
          <cell r="F86">
            <v>571</v>
          </cell>
          <cell r="G86">
            <v>502.83708059999998</v>
          </cell>
          <cell r="H86">
            <v>57.320591148493158</v>
          </cell>
          <cell r="I86">
            <v>129</v>
          </cell>
          <cell r="J86">
            <v>224</v>
          </cell>
          <cell r="K86">
            <v>10707.879408851508</v>
          </cell>
        </row>
        <row r="88">
          <cell r="A88" t="str">
            <v>Historical Values (1992 - 2001):</v>
          </cell>
        </row>
        <row r="89">
          <cell r="A89" t="str">
            <v xml:space="preserve">Col. (2) = recorded peak + implemented load control + residential and commercial/industrial conservation and customer-owned self-service cogeneration.  </v>
          </cell>
        </row>
        <row r="90">
          <cell r="A90" t="str">
            <v>Cols. (5) - (9)  = Represent total cumulative capabilities at peak. Col. (8) includes commercial load management and standby generation.</v>
          </cell>
        </row>
        <row r="91">
          <cell r="A91" t="str">
            <v>Col. (OTH) = Residential Heat Works load control, voltage reduction and customer-owned self-service cogeneration.</v>
          </cell>
        </row>
        <row r="92">
          <cell r="A92" t="str">
            <v>Col. (10) = (2) - (5) - (6) - (7) - (8) - (9) - (OTH).</v>
          </cell>
        </row>
        <row r="93">
          <cell r="A93" t="str">
            <v>Projected Values (2002 - 2011):</v>
          </cell>
        </row>
        <row r="94">
          <cell r="A94" t="str">
            <v>Cols. (2) - (4) forecasted peak without load control and conservation.</v>
          </cell>
        </row>
        <row r="95">
          <cell r="A95" t="str">
            <v>Cols. (5) - (9)  = Represent cumulative conservation and load control capabilities at peak. Col. (8) includes commercial load management and standby generation.</v>
          </cell>
        </row>
        <row r="96">
          <cell r="A96" t="str">
            <v>Col. (OTH) = voltage reduction and customer-owned self-service cogeneration.</v>
          </cell>
        </row>
        <row r="97">
          <cell r="A97" t="str">
            <v>Col. (10) = (2) - (5) - (6) - (7) - (8) - (9) - (OTH).</v>
          </cell>
        </row>
        <row r="99">
          <cell r="A99" t="str">
            <v>FLORIDA POWER CORPORATION</v>
          </cell>
        </row>
        <row r="101">
          <cell r="A101" t="str">
            <v>SCHEDULE 3.2.3</v>
          </cell>
        </row>
        <row r="102">
          <cell r="A102" t="str">
            <v>HISTORY AND FORECAST OF WINTER PEAK DEMAND (MW)</v>
          </cell>
        </row>
        <row r="103">
          <cell r="A103" t="str">
            <v>LOW  LOAD FORECAST</v>
          </cell>
        </row>
        <row r="106">
          <cell r="A106" t="str">
            <v>(1)</v>
          </cell>
          <cell r="B106" t="str">
            <v>(2)</v>
          </cell>
          <cell r="C106" t="str">
            <v>(3)</v>
          </cell>
          <cell r="D106" t="str">
            <v>(4)</v>
          </cell>
          <cell r="E106" t="str">
            <v>(5)</v>
          </cell>
          <cell r="F106" t="str">
            <v>(6)</v>
          </cell>
          <cell r="G106" t="str">
            <v>(7)</v>
          </cell>
          <cell r="H106" t="str">
            <v>(8)</v>
          </cell>
          <cell r="I106" t="str">
            <v>(9)</v>
          </cell>
          <cell r="J106" t="str">
            <v>(OTH)</v>
          </cell>
          <cell r="K106" t="str">
            <v>(10)</v>
          </cell>
        </row>
        <row r="110">
          <cell r="F110" t="str">
            <v>RESIDENTIAL</v>
          </cell>
          <cell r="H110" t="str">
            <v>COMM. / IND.</v>
          </cell>
          <cell r="J110" t="str">
            <v>OTHER</v>
          </cell>
        </row>
        <row r="111">
          <cell r="F111" t="str">
            <v>LOAD</v>
          </cell>
          <cell r="G111" t="str">
            <v>RESIDENTIAL</v>
          </cell>
          <cell r="H111" t="str">
            <v>LOAD</v>
          </cell>
          <cell r="I111" t="str">
            <v>COMM. / IND.</v>
          </cell>
          <cell r="J111" t="str">
            <v>DEMAND</v>
          </cell>
          <cell r="K111" t="str">
            <v>NET FIRM</v>
          </cell>
        </row>
        <row r="112">
          <cell r="A112" t="str">
            <v>YEAR</v>
          </cell>
          <cell r="B112" t="str">
            <v>TOTAL</v>
          </cell>
          <cell r="C112" t="str">
            <v>WHOLESALE</v>
          </cell>
          <cell r="D112" t="str">
            <v>RETAIL</v>
          </cell>
          <cell r="E112" t="str">
            <v>INTERRUPTIBLE</v>
          </cell>
          <cell r="F112" t="str">
            <v>MANAGEMENT</v>
          </cell>
          <cell r="G112" t="str">
            <v>CONSERVATION</v>
          </cell>
          <cell r="H112" t="str">
            <v>MANAGEMENT</v>
          </cell>
          <cell r="I112" t="str">
            <v>CONSERVATION</v>
          </cell>
          <cell r="J112" t="str">
            <v>REDUCTIONS</v>
          </cell>
          <cell r="K112" t="str">
            <v>DEMAND</v>
          </cell>
        </row>
        <row r="113">
          <cell r="A113" t="str">
            <v>-</v>
          </cell>
          <cell r="B113" t="str">
            <v>-</v>
          </cell>
          <cell r="C113" t="str">
            <v>-</v>
          </cell>
          <cell r="D113" t="str">
            <v>-</v>
          </cell>
          <cell r="E113" t="str">
            <v>-</v>
          </cell>
          <cell r="F113" t="str">
            <v>-</v>
          </cell>
          <cell r="G113" t="str">
            <v>-</v>
          </cell>
          <cell r="H113" t="str">
            <v>-</v>
          </cell>
          <cell r="I113" t="str">
            <v>-</v>
          </cell>
          <cell r="J113" t="str">
            <v>-</v>
          </cell>
          <cell r="K113" t="str">
            <v>-</v>
          </cell>
        </row>
        <row r="115">
          <cell r="A115" t="str">
            <v>1991/92</v>
          </cell>
          <cell r="B115">
            <v>7162.5</v>
          </cell>
          <cell r="C115">
            <v>972</v>
          </cell>
          <cell r="D115">
            <v>6190.5</v>
          </cell>
          <cell r="E115">
            <v>181</v>
          </cell>
          <cell r="F115">
            <v>611</v>
          </cell>
          <cell r="G115">
            <v>60</v>
          </cell>
          <cell r="H115">
            <v>0</v>
          </cell>
          <cell r="I115">
            <v>55</v>
          </cell>
          <cell r="J115">
            <v>154.5</v>
          </cell>
          <cell r="K115">
            <v>6101</v>
          </cell>
        </row>
        <row r="116">
          <cell r="A116" t="str">
            <v>1992/93</v>
          </cell>
          <cell r="B116">
            <v>7190.5</v>
          </cell>
          <cell r="C116">
            <v>851</v>
          </cell>
          <cell r="D116">
            <v>6339.5</v>
          </cell>
          <cell r="E116">
            <v>155</v>
          </cell>
          <cell r="F116">
            <v>599</v>
          </cell>
          <cell r="G116">
            <v>67</v>
          </cell>
          <cell r="H116">
            <v>0</v>
          </cell>
          <cell r="I116">
            <v>57</v>
          </cell>
          <cell r="J116">
            <v>158.5</v>
          </cell>
          <cell r="K116">
            <v>6154</v>
          </cell>
        </row>
        <row r="117">
          <cell r="A117" t="str">
            <v>1993/94</v>
          </cell>
          <cell r="B117">
            <v>7183.5</v>
          </cell>
          <cell r="C117">
            <v>972</v>
          </cell>
          <cell r="D117">
            <v>6211.5</v>
          </cell>
          <cell r="E117">
            <v>199</v>
          </cell>
          <cell r="F117">
            <v>759</v>
          </cell>
          <cell r="G117">
            <v>90</v>
          </cell>
          <cell r="H117">
            <v>2.25</v>
          </cell>
          <cell r="I117">
            <v>66</v>
          </cell>
          <cell r="J117">
            <v>164.5</v>
          </cell>
          <cell r="K117">
            <v>5902.75</v>
          </cell>
        </row>
        <row r="118">
          <cell r="A118" t="str">
            <v>1994/95</v>
          </cell>
          <cell r="B118">
            <v>9083.5</v>
          </cell>
          <cell r="C118">
            <v>1145</v>
          </cell>
          <cell r="D118">
            <v>7938.5</v>
          </cell>
          <cell r="E118">
            <v>281</v>
          </cell>
          <cell r="F118">
            <v>997</v>
          </cell>
          <cell r="G118">
            <v>101</v>
          </cell>
          <cell r="H118">
            <v>5.4</v>
          </cell>
          <cell r="I118">
            <v>75</v>
          </cell>
          <cell r="J118">
            <v>130.5</v>
          </cell>
          <cell r="K118">
            <v>7493.6</v>
          </cell>
        </row>
        <row r="119">
          <cell r="A119" t="str">
            <v>1995/96</v>
          </cell>
          <cell r="B119">
            <v>10561.5</v>
          </cell>
          <cell r="C119">
            <v>1489</v>
          </cell>
          <cell r="D119">
            <v>9072.5</v>
          </cell>
          <cell r="E119">
            <v>255</v>
          </cell>
          <cell r="F119">
            <v>1156</v>
          </cell>
          <cell r="G119">
            <v>106</v>
          </cell>
          <cell r="H119">
            <v>14.85</v>
          </cell>
          <cell r="I119">
            <v>95</v>
          </cell>
          <cell r="J119">
            <v>200.5</v>
          </cell>
          <cell r="K119">
            <v>8734.15</v>
          </cell>
        </row>
        <row r="120">
          <cell r="A120" t="str">
            <v>1996/97</v>
          </cell>
          <cell r="B120">
            <v>8485.5</v>
          </cell>
          <cell r="C120">
            <v>1235</v>
          </cell>
          <cell r="D120">
            <v>7250.5</v>
          </cell>
          <cell r="E120">
            <v>290</v>
          </cell>
          <cell r="F120">
            <v>917</v>
          </cell>
          <cell r="G120">
            <v>133</v>
          </cell>
          <cell r="H120">
            <v>15.75</v>
          </cell>
          <cell r="I120">
            <v>104</v>
          </cell>
          <cell r="J120">
            <v>189.5</v>
          </cell>
          <cell r="K120">
            <v>6836.25</v>
          </cell>
        </row>
        <row r="121">
          <cell r="A121" t="str">
            <v>1997/98</v>
          </cell>
          <cell r="B121">
            <v>7716.87144999066</v>
          </cell>
          <cell r="C121">
            <v>941</v>
          </cell>
          <cell r="D121">
            <v>6775.87144999066</v>
          </cell>
          <cell r="E121">
            <v>318</v>
          </cell>
          <cell r="F121">
            <v>663</v>
          </cell>
          <cell r="G121">
            <v>123.85432262495547</v>
          </cell>
          <cell r="H121">
            <v>16.777999999999999</v>
          </cell>
          <cell r="I121">
            <v>117.0171273657041</v>
          </cell>
          <cell r="J121">
            <v>168</v>
          </cell>
          <cell r="K121">
            <v>6310.2220000000007</v>
          </cell>
        </row>
        <row r="122">
          <cell r="A122" t="str">
            <v>1998/99</v>
          </cell>
          <cell r="B122">
            <v>10473.019725013599</v>
          </cell>
          <cell r="C122">
            <v>1741</v>
          </cell>
          <cell r="D122">
            <v>8732.0197250135989</v>
          </cell>
          <cell r="E122">
            <v>305</v>
          </cell>
          <cell r="F122">
            <v>874</v>
          </cell>
          <cell r="G122">
            <v>196.10154454250986</v>
          </cell>
          <cell r="H122">
            <v>17.763999999999999</v>
          </cell>
          <cell r="I122">
            <v>116.91818047109018</v>
          </cell>
          <cell r="J122">
            <v>187</v>
          </cell>
          <cell r="K122">
            <v>8776.235999999999</v>
          </cell>
        </row>
        <row r="123">
          <cell r="A123" t="str">
            <v>1999/00</v>
          </cell>
          <cell r="B123">
            <v>10040</v>
          </cell>
          <cell r="C123">
            <v>1728</v>
          </cell>
          <cell r="D123">
            <v>8312</v>
          </cell>
          <cell r="E123">
            <v>225</v>
          </cell>
          <cell r="F123">
            <v>849</v>
          </cell>
          <cell r="G123">
            <v>229</v>
          </cell>
          <cell r="H123">
            <v>20</v>
          </cell>
          <cell r="I123">
            <v>119</v>
          </cell>
          <cell r="J123">
            <v>182</v>
          </cell>
          <cell r="K123">
            <v>8416</v>
          </cell>
        </row>
        <row r="124">
          <cell r="A124" t="str">
            <v>2000/01</v>
          </cell>
          <cell r="B124">
            <v>11442</v>
          </cell>
          <cell r="C124">
            <v>1984</v>
          </cell>
          <cell r="D124">
            <v>9458</v>
          </cell>
          <cell r="E124">
            <v>247.5</v>
          </cell>
          <cell r="F124">
            <v>809</v>
          </cell>
          <cell r="G124">
            <v>254</v>
          </cell>
          <cell r="H124">
            <v>28.710968748493158</v>
          </cell>
          <cell r="I124">
            <v>120</v>
          </cell>
          <cell r="J124">
            <v>221</v>
          </cell>
          <cell r="K124">
            <v>9761.7890312515065</v>
          </cell>
        </row>
        <row r="126">
          <cell r="A126" t="str">
            <v>2001/02</v>
          </cell>
          <cell r="B126">
            <v>10022.867817389815</v>
          </cell>
          <cell r="C126">
            <v>1601.9299723898148</v>
          </cell>
          <cell r="D126">
            <v>8420.9378450000004</v>
          </cell>
          <cell r="E126">
            <v>297</v>
          </cell>
          <cell r="F126">
            <v>761</v>
          </cell>
          <cell r="G126">
            <v>277.93784499999998</v>
          </cell>
          <cell r="H126">
            <v>32.468591148493161</v>
          </cell>
          <cell r="I126">
            <v>121</v>
          </cell>
          <cell r="J126">
            <v>204</v>
          </cell>
          <cell r="K126">
            <v>8329.4613812413227</v>
          </cell>
        </row>
        <row r="127">
          <cell r="A127" t="str">
            <v>2002/03</v>
          </cell>
          <cell r="B127">
            <v>10051.058047589815</v>
          </cell>
          <cell r="C127">
            <v>1359.8299723898149</v>
          </cell>
          <cell r="D127">
            <v>8691.2280752000006</v>
          </cell>
          <cell r="E127">
            <v>336</v>
          </cell>
          <cell r="F127">
            <v>713</v>
          </cell>
          <cell r="G127">
            <v>303.22807519999998</v>
          </cell>
          <cell r="H127">
            <v>35.607791148493156</v>
          </cell>
          <cell r="I127">
            <v>122</v>
          </cell>
          <cell r="J127">
            <v>204</v>
          </cell>
          <cell r="K127">
            <v>8337.2221812413227</v>
          </cell>
        </row>
        <row r="128">
          <cell r="A128" t="str">
            <v>2003/04</v>
          </cell>
          <cell r="B128">
            <v>10055.456139389815</v>
          </cell>
          <cell r="C128">
            <v>1193.1299723898148</v>
          </cell>
          <cell r="D128">
            <v>8862.3261669999993</v>
          </cell>
          <cell r="E128">
            <v>340</v>
          </cell>
          <cell r="F128">
            <v>683</v>
          </cell>
          <cell r="G128">
            <v>330.326167</v>
          </cell>
          <cell r="H128">
            <v>38.746991148493159</v>
          </cell>
          <cell r="I128">
            <v>123</v>
          </cell>
          <cell r="J128">
            <v>204</v>
          </cell>
          <cell r="K128">
            <v>8336.3829812413223</v>
          </cell>
        </row>
        <row r="129">
          <cell r="A129" t="str">
            <v>2004/05</v>
          </cell>
          <cell r="B129">
            <v>10238.737061389815</v>
          </cell>
          <cell r="C129">
            <v>1266.0299723898147</v>
          </cell>
          <cell r="D129">
            <v>8972.7070889999995</v>
          </cell>
          <cell r="E129">
            <v>350</v>
          </cell>
          <cell r="F129">
            <v>659</v>
          </cell>
          <cell r="G129">
            <v>358.707089</v>
          </cell>
          <cell r="H129">
            <v>41.886191148493154</v>
          </cell>
          <cell r="I129">
            <v>124</v>
          </cell>
          <cell r="J129">
            <v>206</v>
          </cell>
          <cell r="K129">
            <v>8499.1437812413205</v>
          </cell>
        </row>
        <row r="130">
          <cell r="A130" t="str">
            <v>2005/06</v>
          </cell>
          <cell r="B130">
            <v>10406.734030189815</v>
          </cell>
          <cell r="C130">
            <v>1320.9299723898148</v>
          </cell>
          <cell r="D130">
            <v>9085.8040578</v>
          </cell>
          <cell r="E130">
            <v>354</v>
          </cell>
          <cell r="F130">
            <v>640</v>
          </cell>
          <cell r="G130">
            <v>387.80405779999995</v>
          </cell>
          <cell r="H130">
            <v>45.025391148493156</v>
          </cell>
          <cell r="I130">
            <v>125</v>
          </cell>
          <cell r="J130">
            <v>209</v>
          </cell>
          <cell r="K130">
            <v>8645.9045812413224</v>
          </cell>
        </row>
        <row r="131">
          <cell r="A131" t="str">
            <v>2006/07</v>
          </cell>
          <cell r="B131">
            <v>10617.287773789816</v>
          </cell>
          <cell r="C131">
            <v>1401.1299723898148</v>
          </cell>
          <cell r="D131">
            <v>9216.1578014000006</v>
          </cell>
          <cell r="E131">
            <v>355</v>
          </cell>
          <cell r="F131">
            <v>623</v>
          </cell>
          <cell r="G131">
            <v>417.15780139999998</v>
          </cell>
          <cell r="H131">
            <v>48.164591148493159</v>
          </cell>
          <cell r="I131">
            <v>126</v>
          </cell>
          <cell r="J131">
            <v>212</v>
          </cell>
          <cell r="K131">
            <v>8835.9653812413235</v>
          </cell>
        </row>
        <row r="132">
          <cell r="A132" t="str">
            <v>2007/08</v>
          </cell>
          <cell r="B132">
            <v>10791.4205296</v>
          </cell>
          <cell r="C132">
            <v>1448.1</v>
          </cell>
          <cell r="D132">
            <v>9343.3205295999996</v>
          </cell>
          <cell r="E132">
            <v>348</v>
          </cell>
          <cell r="F132">
            <v>608</v>
          </cell>
          <cell r="G132">
            <v>446.32052959999999</v>
          </cell>
          <cell r="H132">
            <v>51.303791148493154</v>
          </cell>
          <cell r="I132">
            <v>127</v>
          </cell>
          <cell r="J132">
            <v>214</v>
          </cell>
          <cell r="K132">
            <v>8996.7962088515069</v>
          </cell>
        </row>
        <row r="133">
          <cell r="A133" t="str">
            <v>2008/09</v>
          </cell>
          <cell r="B133">
            <v>11048.1509198</v>
          </cell>
          <cell r="C133">
            <v>1548.2</v>
          </cell>
          <cell r="D133">
            <v>9499.9509197999996</v>
          </cell>
          <cell r="E133">
            <v>349</v>
          </cell>
          <cell r="F133">
            <v>594</v>
          </cell>
          <cell r="G133">
            <v>474.95091980000001</v>
          </cell>
          <cell r="H133">
            <v>54.442991148493157</v>
          </cell>
          <cell r="I133">
            <v>128</v>
          </cell>
          <cell r="J133">
            <v>218</v>
          </cell>
          <cell r="K133">
            <v>9229.7570088515076</v>
          </cell>
        </row>
        <row r="134">
          <cell r="A134" t="str">
            <v>2009/10</v>
          </cell>
          <cell r="B134">
            <v>11242.037080600001</v>
          </cell>
          <cell r="C134">
            <v>1616.2</v>
          </cell>
          <cell r="D134">
            <v>9625.8370806000003</v>
          </cell>
          <cell r="E134">
            <v>350</v>
          </cell>
          <cell r="F134">
            <v>582</v>
          </cell>
          <cell r="G134">
            <v>502.83708059999998</v>
          </cell>
          <cell r="H134">
            <v>57.320591148493158</v>
          </cell>
          <cell r="I134">
            <v>129</v>
          </cell>
          <cell r="J134">
            <v>221</v>
          </cell>
          <cell r="K134">
            <v>9399.8794088515078</v>
          </cell>
        </row>
        <row r="135">
          <cell r="A135" t="str">
            <v>2010/11</v>
          </cell>
          <cell r="B135">
            <v>11465.037080600001</v>
          </cell>
          <cell r="C135">
            <v>1715.2</v>
          </cell>
          <cell r="D135">
            <v>9749.8370806000003</v>
          </cell>
          <cell r="E135">
            <v>351</v>
          </cell>
          <cell r="F135">
            <v>571</v>
          </cell>
          <cell r="G135">
            <v>502.83708059999998</v>
          </cell>
          <cell r="H135">
            <v>57.320591148493158</v>
          </cell>
          <cell r="I135">
            <v>129</v>
          </cell>
          <cell r="J135">
            <v>224</v>
          </cell>
          <cell r="K135">
            <v>9629.8794088515078</v>
          </cell>
        </row>
        <row r="137">
          <cell r="A137" t="str">
            <v>Historical Values (1992 - 2001):</v>
          </cell>
        </row>
        <row r="138">
          <cell r="A138" t="str">
            <v xml:space="preserve">Col. (2) = recorded peak + implemented load control + residential and commercial/industrial conservation and customer-owned self-service cogeneration.  </v>
          </cell>
        </row>
        <row r="139">
          <cell r="A139" t="str">
            <v>Cols. (5) - (9)  = Represent total cumulative capabilities at peak. Col. (8) includes commercial load management and standby generation.</v>
          </cell>
        </row>
        <row r="140">
          <cell r="A140" t="str">
            <v>Col. (OTH) = Residential Heat Works load control, voltage reduction and customer-owned self-service cogeneration.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irement MWs"/>
      <sheetName val="SO"/>
      <sheetName val="Solar"/>
      <sheetName val="Unit_Retirements_PPAs_Exp"/>
      <sheetName val="Capacity_Letter_Jan_2018"/>
      <sheetName val="Summer 7.1"/>
      <sheetName val="Winter 7.2"/>
      <sheetName val="Schedule 7.1_Formulas"/>
      <sheetName val="Schedule 7.2_Formulas"/>
      <sheetName val="Schedule 7.1"/>
      <sheetName val="Schedule 7.2"/>
      <sheetName val="2019_TYSP_RP"/>
      <sheetName val="2019_TYSP"/>
      <sheetName val="DR"/>
      <sheetName val="DEF FLEET_WINTER"/>
      <sheetName val="DEF FLEET_SUMMER"/>
      <sheetName val="Capital_Costs"/>
    </sheetNames>
    <sheetDataSet>
      <sheetData sheetId="0" refreshError="1"/>
      <sheetData sheetId="1">
        <row r="22">
          <cell r="D22">
            <v>25</v>
          </cell>
          <cell r="E22">
            <v>24</v>
          </cell>
        </row>
        <row r="23">
          <cell r="D23">
            <v>25</v>
          </cell>
          <cell r="E23">
            <v>24</v>
          </cell>
        </row>
        <row r="24">
          <cell r="D24">
            <v>52</v>
          </cell>
          <cell r="E24">
            <v>41</v>
          </cell>
        </row>
        <row r="26">
          <cell r="D26">
            <v>53</v>
          </cell>
          <cell r="E26">
            <v>41</v>
          </cell>
        </row>
        <row r="28">
          <cell r="D28">
            <v>61</v>
          </cell>
          <cell r="E28">
            <v>44</v>
          </cell>
        </row>
        <row r="29">
          <cell r="D29">
            <v>58</v>
          </cell>
          <cell r="E29">
            <v>41</v>
          </cell>
        </row>
        <row r="30">
          <cell r="D30">
            <v>60</v>
          </cell>
          <cell r="E30">
            <v>43</v>
          </cell>
        </row>
        <row r="31">
          <cell r="D31">
            <v>59</v>
          </cell>
          <cell r="E31">
            <v>43</v>
          </cell>
        </row>
        <row r="33">
          <cell r="D33">
            <v>64</v>
          </cell>
          <cell r="E33">
            <v>48</v>
          </cell>
        </row>
        <row r="34">
          <cell r="D34">
            <v>65</v>
          </cell>
          <cell r="E34">
            <v>50</v>
          </cell>
        </row>
        <row r="35">
          <cell r="D35">
            <v>65</v>
          </cell>
          <cell r="E35">
            <v>50</v>
          </cell>
        </row>
        <row r="36">
          <cell r="D36">
            <v>65</v>
          </cell>
          <cell r="E36">
            <v>50</v>
          </cell>
        </row>
        <row r="37">
          <cell r="D37">
            <v>65</v>
          </cell>
          <cell r="E37">
            <v>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7"/>
  <sheetViews>
    <sheetView showGridLines="0" tabSelected="1" zoomScaleNormal="100" workbookViewId="0">
      <selection sqref="A1:XFD1048576"/>
    </sheetView>
  </sheetViews>
  <sheetFormatPr defaultColWidth="9.625" defaultRowHeight="24" customHeight="1"/>
  <cols>
    <col min="1" max="1" width="21.75" style="2" customWidth="1"/>
    <col min="2" max="2" width="1.875" style="2" customWidth="1"/>
    <col min="3" max="3" width="9.5" style="2" customWidth="1"/>
    <col min="4" max="4" width="1.875" style="2" customWidth="1"/>
    <col min="5" max="5" width="12.5" style="2" customWidth="1"/>
    <col min="6" max="6" width="1.875" style="2" customWidth="1"/>
    <col min="7" max="7" width="6.25" style="2" customWidth="1"/>
    <col min="8" max="8" width="1.875" style="2" customWidth="1"/>
    <col min="9" max="9" width="6.25" style="2" customWidth="1"/>
    <col min="10" max="10" width="1.875" style="2" customWidth="1"/>
    <col min="11" max="11" width="6.5" style="2" customWidth="1"/>
    <col min="12" max="12" width="1.875" style="2" customWidth="1"/>
    <col min="13" max="13" width="11.75" style="2" customWidth="1"/>
    <col min="14" max="14" width="1.875" style="2" customWidth="1"/>
    <col min="15" max="15" width="9.5" style="2" customWidth="1"/>
    <col min="16" max="16" width="1.875" style="2" customWidth="1"/>
    <col min="17" max="17" width="10.5" style="2" customWidth="1"/>
    <col min="18" max="18" width="1.875" style="2" customWidth="1"/>
    <col min="19" max="19" width="14.125" style="68" customWidth="1"/>
    <col min="20" max="20" width="1.875" style="68" customWidth="1"/>
    <col min="21" max="21" width="14.5" style="68" customWidth="1"/>
    <col min="22" max="22" width="1.875" style="68" customWidth="1"/>
    <col min="23" max="23" width="14.625" style="68" customWidth="1"/>
    <col min="24" max="24" width="1.875" style="68" customWidth="1"/>
    <col min="25" max="25" width="8.75" style="2" customWidth="1"/>
    <col min="26" max="26" width="3.5" style="2" bestFit="1" customWidth="1"/>
    <col min="27" max="27" width="8.875" style="2" bestFit="1" customWidth="1"/>
    <col min="28" max="28" width="1.875" style="2" customWidth="1"/>
    <col min="29" max="29" width="10.875" style="2" customWidth="1"/>
    <col min="30" max="30" width="1.875" style="2" customWidth="1"/>
    <col min="31" max="31" width="12.75" style="2" customWidth="1"/>
    <col min="32" max="34" width="9.625" style="64"/>
    <col min="35" max="35" width="9.625" style="63"/>
    <col min="36" max="16384" width="9.625" style="2"/>
  </cols>
  <sheetData>
    <row r="1" spans="1:35" ht="24" customHeight="1">
      <c r="A1" s="4" t="s">
        <v>0</v>
      </c>
      <c r="B1" s="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5" ht="24" customHeight="1">
      <c r="A2" s="3"/>
      <c r="B2" s="3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Y2" s="68"/>
      <c r="Z2" s="68"/>
      <c r="AA2" s="68"/>
      <c r="AB2" s="68"/>
      <c r="AC2" s="68"/>
      <c r="AD2" s="68"/>
      <c r="AE2" s="68"/>
    </row>
    <row r="3" spans="1:35" ht="15" customHeight="1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</row>
    <row r="4" spans="1:35" ht="15" customHeight="1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</row>
    <row r="5" spans="1:35" ht="15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</row>
    <row r="6" spans="1:35" ht="15" customHeight="1">
      <c r="A6" s="74" t="s">
        <v>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</row>
    <row r="7" spans="1:35" ht="24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Y7" s="68"/>
      <c r="Z7" s="68"/>
      <c r="AA7" s="68"/>
      <c r="AB7" s="68"/>
      <c r="AC7" s="68"/>
      <c r="AD7" s="68"/>
      <c r="AE7" s="68"/>
    </row>
    <row r="8" spans="1:35" ht="20.100000000000001" customHeight="1">
      <c r="A8" s="68" t="s">
        <v>4</v>
      </c>
      <c r="B8" s="68"/>
      <c r="C8" s="68" t="s">
        <v>5</v>
      </c>
      <c r="D8" s="68"/>
      <c r="E8" s="68" t="s">
        <v>6</v>
      </c>
      <c r="F8" s="68"/>
      <c r="G8" s="68" t="s">
        <v>7</v>
      </c>
      <c r="H8" s="68"/>
      <c r="I8" s="68" t="s">
        <v>8</v>
      </c>
      <c r="J8" s="68"/>
      <c r="K8" s="68" t="s">
        <v>9</v>
      </c>
      <c r="L8" s="68"/>
      <c r="M8" s="68" t="s">
        <v>10</v>
      </c>
      <c r="N8" s="68"/>
      <c r="O8" s="68" t="s">
        <v>11</v>
      </c>
      <c r="P8" s="68"/>
      <c r="Q8" s="68" t="s">
        <v>12</v>
      </c>
      <c r="R8" s="68"/>
      <c r="S8" s="68" t="s">
        <v>13</v>
      </c>
      <c r="U8" s="68" t="s">
        <v>14</v>
      </c>
      <c r="W8" s="68" t="s">
        <v>15</v>
      </c>
      <c r="Y8" s="68" t="s">
        <v>16</v>
      </c>
      <c r="Z8" s="68"/>
      <c r="AA8" s="68" t="s">
        <v>17</v>
      </c>
      <c r="AB8" s="68"/>
      <c r="AC8" s="68" t="s">
        <v>18</v>
      </c>
      <c r="AD8" s="68"/>
      <c r="AE8" s="68" t="s">
        <v>19</v>
      </c>
    </row>
    <row r="9" spans="1:35" ht="20.100000000000001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Y9" s="74" t="s">
        <v>20</v>
      </c>
      <c r="Z9" s="74"/>
      <c r="AA9" s="74"/>
      <c r="AB9" s="68"/>
      <c r="AC9" s="68"/>
      <c r="AD9" s="68"/>
      <c r="AE9" s="68"/>
    </row>
    <row r="10" spans="1:35" ht="20.100000000000001" customHeight="1">
      <c r="A10" s="68"/>
      <c r="B10" s="68"/>
      <c r="C10" s="68"/>
      <c r="D10" s="68"/>
      <c r="E10" s="68"/>
      <c r="F10" s="68"/>
      <c r="G10" s="68"/>
      <c r="H10" s="68"/>
      <c r="I10" s="69"/>
      <c r="J10" s="69"/>
      <c r="K10" s="69"/>
      <c r="L10" s="69"/>
      <c r="M10" s="69"/>
      <c r="N10" s="69"/>
      <c r="O10" s="69"/>
      <c r="P10" s="69"/>
      <c r="Q10" s="68" t="s">
        <v>21</v>
      </c>
      <c r="R10" s="68"/>
      <c r="S10" s="68" t="s">
        <v>22</v>
      </c>
      <c r="U10" s="68" t="s">
        <v>23</v>
      </c>
      <c r="W10" s="68" t="s">
        <v>24</v>
      </c>
      <c r="Y10" s="75" t="s">
        <v>25</v>
      </c>
      <c r="Z10" s="75"/>
      <c r="AA10" s="75"/>
      <c r="AB10" s="69"/>
      <c r="AC10" s="68"/>
      <c r="AD10" s="68"/>
      <c r="AE10" s="68"/>
    </row>
    <row r="11" spans="1:35" ht="20.100000000000001" customHeight="1">
      <c r="A11" s="68"/>
      <c r="B11" s="68"/>
      <c r="C11" s="68" t="s">
        <v>26</v>
      </c>
      <c r="D11" s="68"/>
      <c r="E11" s="68" t="s">
        <v>27</v>
      </c>
      <c r="F11" s="68"/>
      <c r="G11" s="68" t="s">
        <v>26</v>
      </c>
      <c r="H11" s="68"/>
      <c r="I11" s="75" t="s">
        <v>28</v>
      </c>
      <c r="J11" s="75"/>
      <c r="K11" s="75"/>
      <c r="L11" s="69"/>
      <c r="M11" s="75" t="s">
        <v>29</v>
      </c>
      <c r="N11" s="75"/>
      <c r="O11" s="75"/>
      <c r="P11" s="69"/>
      <c r="Q11" s="68" t="s">
        <v>30</v>
      </c>
      <c r="R11" s="68"/>
      <c r="S11" s="68" t="s">
        <v>31</v>
      </c>
      <c r="U11" s="68" t="s">
        <v>32</v>
      </c>
      <c r="W11" s="68" t="s">
        <v>33</v>
      </c>
      <c r="Y11" s="68" t="s">
        <v>34</v>
      </c>
      <c r="Z11" s="68"/>
      <c r="AA11" s="68" t="s">
        <v>35</v>
      </c>
      <c r="AB11" s="68"/>
      <c r="AC11" s="68"/>
      <c r="AD11" s="68"/>
      <c r="AE11" s="68"/>
    </row>
    <row r="12" spans="1:35" ht="22.5">
      <c r="A12" s="69" t="s">
        <v>36</v>
      </c>
      <c r="B12" s="69"/>
      <c r="C12" s="69" t="s">
        <v>37</v>
      </c>
      <c r="D12" s="69"/>
      <c r="E12" s="69" t="s">
        <v>38</v>
      </c>
      <c r="F12" s="69"/>
      <c r="G12" s="69" t="s">
        <v>39</v>
      </c>
      <c r="H12" s="69"/>
      <c r="I12" s="69" t="s">
        <v>40</v>
      </c>
      <c r="J12" s="69"/>
      <c r="K12" s="69" t="s">
        <v>41</v>
      </c>
      <c r="L12" s="69"/>
      <c r="M12" s="69" t="s">
        <v>40</v>
      </c>
      <c r="N12" s="69"/>
      <c r="O12" s="69" t="s">
        <v>41</v>
      </c>
      <c r="P12" s="69"/>
      <c r="Q12" s="69" t="s">
        <v>42</v>
      </c>
      <c r="R12" s="69"/>
      <c r="S12" s="69" t="s">
        <v>42</v>
      </c>
      <c r="T12" s="69"/>
      <c r="U12" s="69" t="s">
        <v>42</v>
      </c>
      <c r="V12" s="69"/>
      <c r="W12" s="69" t="s">
        <v>43</v>
      </c>
      <c r="X12" s="69"/>
      <c r="Y12" s="69" t="s">
        <v>44</v>
      </c>
      <c r="Z12" s="69"/>
      <c r="AA12" s="69" t="s">
        <v>44</v>
      </c>
      <c r="AB12" s="69"/>
      <c r="AC12" s="69" t="s">
        <v>45</v>
      </c>
      <c r="AD12" s="69"/>
      <c r="AE12" s="69" t="s">
        <v>46</v>
      </c>
    </row>
    <row r="13" spans="1:35" s="5" customFormat="1" ht="24.75" customHeight="1">
      <c r="A13" s="17" t="s">
        <v>47</v>
      </c>
      <c r="B13" s="18"/>
      <c r="C13" s="19">
        <v>1</v>
      </c>
      <c r="D13" s="38"/>
      <c r="E13" s="18" t="s">
        <v>48</v>
      </c>
      <c r="F13" s="18"/>
      <c r="G13" s="18" t="s">
        <v>49</v>
      </c>
      <c r="H13" s="18"/>
      <c r="I13" s="18" t="s">
        <v>50</v>
      </c>
      <c r="J13" s="18"/>
      <c r="K13" s="18"/>
      <c r="L13" s="18"/>
      <c r="M13" s="18"/>
      <c r="N13" s="18"/>
      <c r="O13" s="18"/>
      <c r="P13" s="18"/>
      <c r="Q13" s="20">
        <v>43466</v>
      </c>
      <c r="R13" s="20"/>
      <c r="S13" s="20">
        <v>43800</v>
      </c>
      <c r="T13" s="21"/>
      <c r="U13" s="20"/>
      <c r="V13" s="22"/>
      <c r="W13" s="39">
        <v>350</v>
      </c>
      <c r="X13" s="19"/>
      <c r="Y13" s="23">
        <f>W13*0.45/1000</f>
        <v>0.1575</v>
      </c>
      <c r="Z13" s="23"/>
      <c r="AA13" s="23">
        <f>W13*0</f>
        <v>0</v>
      </c>
      <c r="AB13" s="23"/>
      <c r="AC13" s="18" t="s">
        <v>51</v>
      </c>
      <c r="AD13" s="18"/>
      <c r="AE13" s="24" t="s">
        <v>52</v>
      </c>
      <c r="AF13" s="65"/>
      <c r="AG13" s="65"/>
      <c r="AH13" s="65"/>
      <c r="AI13" s="62"/>
    </row>
    <row r="14" spans="1:35" s="5" customFormat="1" ht="24.75" customHeight="1">
      <c r="A14" s="35" t="s">
        <v>53</v>
      </c>
      <c r="B14" s="10"/>
      <c r="C14" s="11">
        <v>1</v>
      </c>
      <c r="D14" s="12"/>
      <c r="E14" s="10" t="s">
        <v>54</v>
      </c>
      <c r="F14" s="10"/>
      <c r="G14" s="10" t="s">
        <v>49</v>
      </c>
      <c r="H14" s="10"/>
      <c r="I14" s="10" t="s">
        <v>50</v>
      </c>
      <c r="J14" s="10"/>
      <c r="K14" s="10"/>
      <c r="L14" s="10"/>
      <c r="M14" s="10"/>
      <c r="N14" s="10"/>
      <c r="O14" s="10"/>
      <c r="P14" s="10"/>
      <c r="Q14" s="13">
        <v>43556</v>
      </c>
      <c r="R14" s="13"/>
      <c r="S14" s="13">
        <v>43800</v>
      </c>
      <c r="T14" s="14"/>
      <c r="U14" s="13"/>
      <c r="V14" s="15"/>
      <c r="W14" s="40">
        <f>74.9*1000</f>
        <v>74900</v>
      </c>
      <c r="X14" s="11"/>
      <c r="Y14" s="16">
        <f t="shared" ref="Y14:Y19" si="0">W14*0.57/1000</f>
        <v>42.692999999999991</v>
      </c>
      <c r="Z14" s="16"/>
      <c r="AA14" s="16">
        <f t="shared" ref="AA14:AA25" si="1">W14*0</f>
        <v>0</v>
      </c>
      <c r="AB14" s="16"/>
      <c r="AC14" s="10" t="s">
        <v>51</v>
      </c>
      <c r="AD14" s="10"/>
      <c r="AE14" s="26" t="s">
        <v>4</v>
      </c>
      <c r="AF14" s="65"/>
      <c r="AG14" s="65"/>
      <c r="AH14" s="65"/>
      <c r="AI14" s="62"/>
    </row>
    <row r="15" spans="1:35" s="5" customFormat="1" ht="24.75" customHeight="1">
      <c r="A15" s="27" t="s">
        <v>55</v>
      </c>
      <c r="B15" s="28"/>
      <c r="C15" s="29">
        <v>1</v>
      </c>
      <c r="D15" s="36"/>
      <c r="E15" s="28" t="s">
        <v>56</v>
      </c>
      <c r="F15" s="28"/>
      <c r="G15" s="28" t="s">
        <v>49</v>
      </c>
      <c r="H15" s="28"/>
      <c r="I15" s="28" t="s">
        <v>50</v>
      </c>
      <c r="J15" s="28"/>
      <c r="K15" s="28"/>
      <c r="L15" s="28"/>
      <c r="M15" s="28"/>
      <c r="N15" s="28"/>
      <c r="O15" s="28"/>
      <c r="P15" s="28"/>
      <c r="Q15" s="30">
        <v>43586</v>
      </c>
      <c r="R15" s="30"/>
      <c r="S15" s="30">
        <v>43800</v>
      </c>
      <c r="T15" s="31"/>
      <c r="U15" s="30"/>
      <c r="V15" s="32"/>
      <c r="W15" s="41">
        <f>45*1000</f>
        <v>45000</v>
      </c>
      <c r="X15" s="29"/>
      <c r="Y15" s="33">
        <f t="shared" si="0"/>
        <v>25.649999999999995</v>
      </c>
      <c r="Z15" s="33"/>
      <c r="AA15" s="33">
        <f t="shared" si="1"/>
        <v>0</v>
      </c>
      <c r="AB15" s="33"/>
      <c r="AC15" s="28" t="s">
        <v>51</v>
      </c>
      <c r="AD15" s="28"/>
      <c r="AE15" s="34" t="s">
        <v>4</v>
      </c>
      <c r="AF15" s="65"/>
      <c r="AG15" s="65"/>
      <c r="AH15" s="65"/>
      <c r="AI15" s="62"/>
    </row>
    <row r="16" spans="1:35" s="5" customFormat="1" ht="24.75" customHeight="1">
      <c r="A16" s="35" t="s">
        <v>57</v>
      </c>
      <c r="B16" s="10"/>
      <c r="C16" s="11">
        <v>1</v>
      </c>
      <c r="D16" s="12"/>
      <c r="E16" s="10" t="s">
        <v>58</v>
      </c>
      <c r="F16" s="10"/>
      <c r="G16" s="10" t="s">
        <v>49</v>
      </c>
      <c r="H16" s="10"/>
      <c r="I16" s="10" t="s">
        <v>50</v>
      </c>
      <c r="J16" s="10"/>
      <c r="K16" s="10"/>
      <c r="L16" s="10"/>
      <c r="M16" s="10"/>
      <c r="N16" s="10"/>
      <c r="O16" s="10"/>
      <c r="P16" s="10"/>
      <c r="Q16" s="13">
        <v>43647</v>
      </c>
      <c r="R16" s="13"/>
      <c r="S16" s="13">
        <v>43891</v>
      </c>
      <c r="T16" s="14"/>
      <c r="U16" s="13"/>
      <c r="V16" s="15"/>
      <c r="W16" s="67">
        <f>74.5*1000</f>
        <v>74500</v>
      </c>
      <c r="X16" s="11"/>
      <c r="Y16" s="23">
        <f>W16*0.45/1000</f>
        <v>33.524999999999999</v>
      </c>
      <c r="Z16" s="16"/>
      <c r="AA16" s="16">
        <f t="shared" si="1"/>
        <v>0</v>
      </c>
      <c r="AB16" s="16"/>
      <c r="AC16" s="10" t="s">
        <v>51</v>
      </c>
      <c r="AD16" s="10"/>
      <c r="AE16" s="24" t="s">
        <v>4</v>
      </c>
      <c r="AF16" s="66" t="s">
        <v>59</v>
      </c>
      <c r="AG16" s="65"/>
      <c r="AH16" s="65"/>
      <c r="AI16" s="62"/>
    </row>
    <row r="17" spans="1:35" s="5" customFormat="1" ht="24.75" customHeight="1">
      <c r="A17" s="35" t="s">
        <v>60</v>
      </c>
      <c r="B17" s="10"/>
      <c r="C17" s="11">
        <v>1</v>
      </c>
      <c r="D17" s="12"/>
      <c r="E17" s="10" t="s">
        <v>60</v>
      </c>
      <c r="F17" s="10"/>
      <c r="G17" s="10" t="s">
        <v>49</v>
      </c>
      <c r="H17" s="10"/>
      <c r="I17" s="10" t="s">
        <v>50</v>
      </c>
      <c r="J17" s="10"/>
      <c r="K17" s="10"/>
      <c r="L17" s="10"/>
      <c r="M17" s="10"/>
      <c r="N17" s="10"/>
      <c r="O17" s="10"/>
      <c r="P17" s="10"/>
      <c r="Q17" s="13">
        <v>43678</v>
      </c>
      <c r="R17" s="13"/>
      <c r="S17" s="13">
        <v>43891</v>
      </c>
      <c r="T17" s="14"/>
      <c r="U17" s="13"/>
      <c r="V17" s="15"/>
      <c r="W17" s="40">
        <v>74900</v>
      </c>
      <c r="X17" s="11"/>
      <c r="Y17" s="16">
        <v>42.692999999999991</v>
      </c>
      <c r="Z17" s="16"/>
      <c r="AA17" s="16">
        <v>0</v>
      </c>
      <c r="AB17" s="16"/>
      <c r="AC17" s="10" t="s">
        <v>51</v>
      </c>
      <c r="AD17" s="10"/>
      <c r="AE17" s="26" t="s">
        <v>4</v>
      </c>
      <c r="AF17" s="65"/>
      <c r="AG17" s="65"/>
      <c r="AH17" s="65"/>
      <c r="AI17" s="62"/>
    </row>
    <row r="18" spans="1:35" s="5" customFormat="1" ht="24.75" customHeight="1">
      <c r="A18" s="35" t="s">
        <v>61</v>
      </c>
      <c r="B18" s="10"/>
      <c r="C18" s="11">
        <v>1</v>
      </c>
      <c r="D18" s="12"/>
      <c r="E18" s="10" t="s">
        <v>61</v>
      </c>
      <c r="F18" s="10"/>
      <c r="G18" s="10" t="s">
        <v>49</v>
      </c>
      <c r="H18" s="10"/>
      <c r="I18" s="10" t="s">
        <v>50</v>
      </c>
      <c r="J18" s="10"/>
      <c r="K18" s="10"/>
      <c r="L18" s="10"/>
      <c r="M18" s="10"/>
      <c r="N18" s="10"/>
      <c r="O18" s="10"/>
      <c r="P18" s="10"/>
      <c r="Q18" s="13">
        <v>43922</v>
      </c>
      <c r="R18" s="13"/>
      <c r="S18" s="13">
        <v>44166</v>
      </c>
      <c r="T18" s="14"/>
      <c r="U18" s="13"/>
      <c r="V18" s="15"/>
      <c r="W18" s="40">
        <f>74.9*1000</f>
        <v>74900</v>
      </c>
      <c r="X18" s="11"/>
      <c r="Y18" s="16">
        <f t="shared" si="0"/>
        <v>42.692999999999991</v>
      </c>
      <c r="Z18" s="16"/>
      <c r="AA18" s="16">
        <f t="shared" si="1"/>
        <v>0</v>
      </c>
      <c r="AB18" s="16"/>
      <c r="AC18" s="10" t="s">
        <v>51</v>
      </c>
      <c r="AD18" s="10"/>
      <c r="AE18" s="26" t="s">
        <v>4</v>
      </c>
      <c r="AF18" s="65"/>
      <c r="AG18" s="65"/>
      <c r="AH18" s="65"/>
      <c r="AI18" s="62"/>
    </row>
    <row r="19" spans="1:35" s="5" customFormat="1" ht="24.75" customHeight="1">
      <c r="A19" s="35" t="s">
        <v>61</v>
      </c>
      <c r="B19" s="10"/>
      <c r="C19" s="11">
        <v>1</v>
      </c>
      <c r="D19" s="12"/>
      <c r="E19" s="10" t="s">
        <v>61</v>
      </c>
      <c r="F19" s="10"/>
      <c r="G19" s="10" t="s">
        <v>49</v>
      </c>
      <c r="H19" s="10"/>
      <c r="I19" s="10" t="s">
        <v>50</v>
      </c>
      <c r="J19" s="10"/>
      <c r="K19" s="10"/>
      <c r="L19" s="10"/>
      <c r="M19" s="10"/>
      <c r="N19" s="10"/>
      <c r="O19" s="10"/>
      <c r="P19" s="10"/>
      <c r="Q19" s="13">
        <v>43922</v>
      </c>
      <c r="R19" s="13"/>
      <c r="S19" s="13">
        <v>44166</v>
      </c>
      <c r="T19" s="14"/>
      <c r="U19" s="13"/>
      <c r="V19" s="15"/>
      <c r="W19" s="40">
        <f>74.9*1000</f>
        <v>74900</v>
      </c>
      <c r="X19" s="11"/>
      <c r="Y19" s="16">
        <f t="shared" si="0"/>
        <v>42.692999999999991</v>
      </c>
      <c r="Z19" s="16"/>
      <c r="AA19" s="16">
        <f t="shared" si="1"/>
        <v>0</v>
      </c>
      <c r="AB19" s="16"/>
      <c r="AC19" s="10" t="s">
        <v>51</v>
      </c>
      <c r="AD19" s="10"/>
      <c r="AE19" s="26" t="s">
        <v>4</v>
      </c>
      <c r="AF19" s="65"/>
      <c r="AG19" s="65"/>
      <c r="AH19" s="65"/>
      <c r="AI19" s="62"/>
    </row>
    <row r="20" spans="1:35" s="5" customFormat="1" ht="24.75" customHeight="1">
      <c r="A20" s="35" t="s">
        <v>62</v>
      </c>
      <c r="B20" s="10"/>
      <c r="C20" s="11" t="s">
        <v>63</v>
      </c>
      <c r="D20" s="11"/>
      <c r="E20" s="10" t="s">
        <v>56</v>
      </c>
      <c r="F20" s="10"/>
      <c r="G20" s="10" t="s">
        <v>64</v>
      </c>
      <c r="H20" s="10"/>
      <c r="I20" s="10" t="s">
        <v>65</v>
      </c>
      <c r="J20" s="10"/>
      <c r="K20" s="10" t="s">
        <v>66</v>
      </c>
      <c r="L20" s="10"/>
      <c r="M20" s="25" t="s">
        <v>67</v>
      </c>
      <c r="N20" s="10"/>
      <c r="O20" s="10" t="s">
        <v>68</v>
      </c>
      <c r="P20" s="10"/>
      <c r="Q20" s="13"/>
      <c r="R20" s="13"/>
      <c r="S20" s="13"/>
      <c r="T20" s="14"/>
      <c r="U20" s="13">
        <v>43983</v>
      </c>
      <c r="V20" s="15"/>
      <c r="W20" s="11"/>
      <c r="X20" s="11"/>
      <c r="Y20" s="16">
        <f>-[2]SO!$E$22</f>
        <v>-24</v>
      </c>
      <c r="Z20" s="16"/>
      <c r="AA20" s="16">
        <f>-[2]SO!$D$22</f>
        <v>-25</v>
      </c>
      <c r="AB20" s="16"/>
      <c r="AC20" s="10" t="s">
        <v>69</v>
      </c>
      <c r="AD20" s="10"/>
      <c r="AE20" s="26" t="s">
        <v>4</v>
      </c>
      <c r="AF20" s="65"/>
      <c r="AG20" s="65"/>
      <c r="AH20" s="65"/>
      <c r="AI20" s="62"/>
    </row>
    <row r="21" spans="1:35" s="5" customFormat="1" ht="24.75" customHeight="1">
      <c r="A21" s="35" t="s">
        <v>62</v>
      </c>
      <c r="B21" s="10"/>
      <c r="C21" s="11" t="s">
        <v>70</v>
      </c>
      <c r="D21" s="11"/>
      <c r="E21" s="10" t="s">
        <v>56</v>
      </c>
      <c r="F21" s="10"/>
      <c r="G21" s="10" t="s">
        <v>71</v>
      </c>
      <c r="H21" s="10"/>
      <c r="I21" s="10" t="s">
        <v>66</v>
      </c>
      <c r="J21" s="10"/>
      <c r="K21" s="10"/>
      <c r="L21" s="10"/>
      <c r="M21" s="10" t="s">
        <v>68</v>
      </c>
      <c r="N21" s="10"/>
      <c r="O21" s="10"/>
      <c r="P21" s="10"/>
      <c r="Q21" s="13"/>
      <c r="R21" s="13"/>
      <c r="S21" s="13"/>
      <c r="T21" s="14"/>
      <c r="U21" s="13">
        <v>43983</v>
      </c>
      <c r="V21" s="15"/>
      <c r="W21" s="11"/>
      <c r="X21" s="11"/>
      <c r="Y21" s="16">
        <f>-[2]SO!$E$23</f>
        <v>-24</v>
      </c>
      <c r="Z21" s="16"/>
      <c r="AA21" s="16">
        <f>-[2]SO!$D$23</f>
        <v>-25</v>
      </c>
      <c r="AB21" s="16"/>
      <c r="AC21" s="10" t="s">
        <v>69</v>
      </c>
      <c r="AD21" s="10"/>
      <c r="AE21" s="26" t="s">
        <v>4</v>
      </c>
      <c r="AF21" s="65"/>
      <c r="AG21" s="65"/>
      <c r="AH21" s="65"/>
      <c r="AI21" s="62"/>
    </row>
    <row r="22" spans="1:35" s="5" customFormat="1" ht="24.75" customHeight="1">
      <c r="A22" s="35" t="s">
        <v>72</v>
      </c>
      <c r="B22" s="10"/>
      <c r="C22" s="11" t="s">
        <v>73</v>
      </c>
      <c r="D22" s="11"/>
      <c r="E22" s="10" t="s">
        <v>48</v>
      </c>
      <c r="F22" s="10"/>
      <c r="G22" s="10" t="s">
        <v>64</v>
      </c>
      <c r="H22" s="10"/>
      <c r="I22" s="10" t="s">
        <v>65</v>
      </c>
      <c r="J22" s="10"/>
      <c r="K22" s="10" t="s">
        <v>66</v>
      </c>
      <c r="L22" s="10"/>
      <c r="M22" s="25" t="s">
        <v>67</v>
      </c>
      <c r="N22" s="10"/>
      <c r="O22" s="10" t="s">
        <v>68</v>
      </c>
      <c r="P22" s="10"/>
      <c r="Q22" s="13"/>
      <c r="R22" s="13"/>
      <c r="S22" s="14"/>
      <c r="T22" s="14"/>
      <c r="U22" s="13">
        <v>43983</v>
      </c>
      <c r="V22" s="15"/>
      <c r="W22" s="11"/>
      <c r="X22" s="11"/>
      <c r="Y22" s="16">
        <v>0</v>
      </c>
      <c r="Z22" s="16"/>
      <c r="AA22" s="16">
        <v>0</v>
      </c>
      <c r="AB22" s="16"/>
      <c r="AC22" s="10" t="s">
        <v>69</v>
      </c>
      <c r="AD22" s="10"/>
      <c r="AE22" s="26" t="s">
        <v>6</v>
      </c>
      <c r="AF22" s="65"/>
      <c r="AG22" s="65"/>
      <c r="AH22" s="65"/>
      <c r="AI22" s="62"/>
    </row>
    <row r="23" spans="1:35" s="5" customFormat="1" ht="24.75" customHeight="1">
      <c r="A23" s="17" t="s">
        <v>61</v>
      </c>
      <c r="B23" s="18"/>
      <c r="C23" s="19">
        <v>1</v>
      </c>
      <c r="D23" s="38"/>
      <c r="E23" s="18" t="s">
        <v>61</v>
      </c>
      <c r="F23" s="18"/>
      <c r="G23" s="18" t="s">
        <v>49</v>
      </c>
      <c r="H23" s="18"/>
      <c r="I23" s="18" t="s">
        <v>50</v>
      </c>
      <c r="J23" s="18"/>
      <c r="K23" s="18"/>
      <c r="L23" s="18"/>
      <c r="M23" s="18"/>
      <c r="N23" s="18"/>
      <c r="O23" s="18"/>
      <c r="P23" s="18"/>
      <c r="Q23" s="20">
        <v>44287</v>
      </c>
      <c r="R23" s="20"/>
      <c r="S23" s="20">
        <v>44531</v>
      </c>
      <c r="T23" s="21"/>
      <c r="U23" s="20"/>
      <c r="V23" s="22"/>
      <c r="W23" s="39">
        <f>74.9*1000</f>
        <v>74900</v>
      </c>
      <c r="X23" s="19"/>
      <c r="Y23" s="23">
        <f>W23*0.57/1000</f>
        <v>42.692999999999991</v>
      </c>
      <c r="Z23" s="23"/>
      <c r="AA23" s="23">
        <f t="shared" si="1"/>
        <v>0</v>
      </c>
      <c r="AB23" s="23"/>
      <c r="AC23" s="18" t="s">
        <v>51</v>
      </c>
      <c r="AD23" s="18"/>
      <c r="AE23" s="24" t="s">
        <v>4</v>
      </c>
      <c r="AF23" s="65"/>
      <c r="AG23" s="65"/>
      <c r="AH23" s="65"/>
      <c r="AI23" s="62"/>
    </row>
    <row r="24" spans="1:35" s="5" customFormat="1" ht="24.75" customHeight="1">
      <c r="A24" s="35" t="s">
        <v>61</v>
      </c>
      <c r="B24" s="10"/>
      <c r="C24" s="11">
        <v>1</v>
      </c>
      <c r="D24" s="12"/>
      <c r="E24" s="10" t="s">
        <v>61</v>
      </c>
      <c r="F24" s="10"/>
      <c r="G24" s="10" t="s">
        <v>49</v>
      </c>
      <c r="H24" s="10"/>
      <c r="I24" s="10" t="s">
        <v>50</v>
      </c>
      <c r="J24" s="10"/>
      <c r="K24" s="10"/>
      <c r="L24" s="10"/>
      <c r="M24" s="10"/>
      <c r="N24" s="10"/>
      <c r="O24" s="10"/>
      <c r="P24" s="10"/>
      <c r="Q24" s="13">
        <v>44287</v>
      </c>
      <c r="R24" s="13"/>
      <c r="S24" s="13">
        <v>44531</v>
      </c>
      <c r="T24" s="14"/>
      <c r="U24" s="13"/>
      <c r="V24" s="15"/>
      <c r="W24" s="40">
        <f>74.9*1000</f>
        <v>74900</v>
      </c>
      <c r="X24" s="11"/>
      <c r="Y24" s="16">
        <f>W24*0.57/1000</f>
        <v>42.692999999999991</v>
      </c>
      <c r="Z24" s="16"/>
      <c r="AA24" s="16">
        <f t="shared" si="1"/>
        <v>0</v>
      </c>
      <c r="AB24" s="16"/>
      <c r="AC24" s="10" t="s">
        <v>51</v>
      </c>
      <c r="AD24" s="10"/>
      <c r="AE24" s="26" t="s">
        <v>4</v>
      </c>
      <c r="AF24" s="65"/>
      <c r="AG24" s="65"/>
      <c r="AH24" s="65"/>
      <c r="AI24" s="62"/>
    </row>
    <row r="25" spans="1:35" s="5" customFormat="1" ht="24.75" customHeight="1">
      <c r="A25" s="35" t="s">
        <v>61</v>
      </c>
      <c r="B25" s="10"/>
      <c r="C25" s="11">
        <v>1</v>
      </c>
      <c r="D25" s="12"/>
      <c r="E25" s="10" t="s">
        <v>61</v>
      </c>
      <c r="F25" s="10"/>
      <c r="G25" s="10" t="s">
        <v>49</v>
      </c>
      <c r="H25" s="10"/>
      <c r="I25" s="10" t="s">
        <v>50</v>
      </c>
      <c r="J25" s="10"/>
      <c r="K25" s="10"/>
      <c r="L25" s="10"/>
      <c r="M25" s="10"/>
      <c r="N25" s="10"/>
      <c r="O25" s="10"/>
      <c r="P25" s="10"/>
      <c r="Q25" s="13">
        <v>44287</v>
      </c>
      <c r="R25" s="13"/>
      <c r="S25" s="13">
        <v>44531</v>
      </c>
      <c r="T25" s="14"/>
      <c r="U25" s="13"/>
      <c r="V25" s="15"/>
      <c r="W25" s="40">
        <f>55*1000</f>
        <v>55000</v>
      </c>
      <c r="X25" s="11"/>
      <c r="Y25" s="16">
        <f>W25*0.57/1000</f>
        <v>31.349999999999998</v>
      </c>
      <c r="Z25" s="16"/>
      <c r="AA25" s="16">
        <f t="shared" si="1"/>
        <v>0</v>
      </c>
      <c r="AB25" s="16"/>
      <c r="AC25" s="10" t="s">
        <v>51</v>
      </c>
      <c r="AD25" s="10"/>
      <c r="AE25" s="26" t="s">
        <v>4</v>
      </c>
      <c r="AF25" s="65"/>
      <c r="AG25" s="65"/>
      <c r="AH25" s="65"/>
      <c r="AI25" s="62"/>
    </row>
    <row r="26" spans="1:35" s="5" customFormat="1" ht="24.75" customHeight="1">
      <c r="A26" s="27" t="s">
        <v>74</v>
      </c>
      <c r="B26" s="28"/>
      <c r="C26" s="29" t="s">
        <v>75</v>
      </c>
      <c r="D26" s="36"/>
      <c r="E26" s="29" t="s">
        <v>75</v>
      </c>
      <c r="F26" s="28"/>
      <c r="G26" s="29" t="s">
        <v>75</v>
      </c>
      <c r="H26" s="28"/>
      <c r="I26" s="29" t="s">
        <v>75</v>
      </c>
      <c r="J26" s="28"/>
      <c r="K26" s="28"/>
      <c r="L26" s="28"/>
      <c r="M26" s="29" t="s">
        <v>75</v>
      </c>
      <c r="N26" s="28"/>
      <c r="O26" s="28"/>
      <c r="P26" s="28"/>
      <c r="Q26" s="29" t="s">
        <v>75</v>
      </c>
      <c r="R26" s="30"/>
      <c r="S26" s="29" t="s">
        <v>75</v>
      </c>
      <c r="T26" s="31"/>
      <c r="U26" s="29" t="s">
        <v>75</v>
      </c>
      <c r="V26" s="32"/>
      <c r="W26" s="42" t="s">
        <v>75</v>
      </c>
      <c r="X26" s="29"/>
      <c r="Y26" s="33">
        <f>Solar_Capacity!J11</f>
        <v>-0.97533713011238632</v>
      </c>
      <c r="Z26" s="33"/>
      <c r="AA26" s="33"/>
      <c r="AB26" s="33"/>
      <c r="AC26" s="28"/>
      <c r="AD26" s="28"/>
      <c r="AE26" s="34" t="s">
        <v>7</v>
      </c>
      <c r="AF26" s="65"/>
      <c r="AG26" s="65"/>
      <c r="AH26" s="65"/>
      <c r="AI26" s="62"/>
    </row>
    <row r="27" spans="1:35" s="5" customFormat="1" ht="24.75" customHeight="1">
      <c r="A27" s="27" t="s">
        <v>74</v>
      </c>
      <c r="B27" s="28"/>
      <c r="C27" s="29" t="s">
        <v>75</v>
      </c>
      <c r="D27" s="36"/>
      <c r="E27" s="29" t="s">
        <v>75</v>
      </c>
      <c r="F27" s="28"/>
      <c r="G27" s="29" t="s">
        <v>75</v>
      </c>
      <c r="H27" s="28"/>
      <c r="I27" s="29" t="s">
        <v>75</v>
      </c>
      <c r="J27" s="28"/>
      <c r="K27" s="28"/>
      <c r="L27" s="28"/>
      <c r="M27" s="29" t="s">
        <v>75</v>
      </c>
      <c r="N27" s="28"/>
      <c r="O27" s="28"/>
      <c r="P27" s="28"/>
      <c r="Q27" s="29" t="s">
        <v>75</v>
      </c>
      <c r="R27" s="30"/>
      <c r="S27" s="29" t="s">
        <v>75</v>
      </c>
      <c r="T27" s="31"/>
      <c r="U27" s="29" t="s">
        <v>75</v>
      </c>
      <c r="V27" s="32"/>
      <c r="W27" s="42" t="s">
        <v>75</v>
      </c>
      <c r="X27" s="29"/>
      <c r="Y27" s="33">
        <f>Solar_Capacity!K16</f>
        <v>-1.3973904444618057</v>
      </c>
      <c r="Z27" s="33"/>
      <c r="AA27" s="37"/>
      <c r="AB27" s="33"/>
      <c r="AC27" s="28"/>
      <c r="AD27" s="28"/>
      <c r="AE27" s="34" t="s">
        <v>7</v>
      </c>
      <c r="AF27" s="65"/>
      <c r="AG27" s="65"/>
      <c r="AH27" s="65"/>
      <c r="AI27" s="62"/>
    </row>
    <row r="28" spans="1:35" s="5" customFormat="1" ht="24.75" customHeight="1">
      <c r="A28" s="27" t="s">
        <v>74</v>
      </c>
      <c r="B28" s="28"/>
      <c r="C28" s="29" t="s">
        <v>75</v>
      </c>
      <c r="D28" s="36"/>
      <c r="E28" s="29" t="s">
        <v>75</v>
      </c>
      <c r="F28" s="28"/>
      <c r="G28" s="29" t="s">
        <v>75</v>
      </c>
      <c r="H28" s="28"/>
      <c r="I28" s="29" t="s">
        <v>75</v>
      </c>
      <c r="J28" s="28"/>
      <c r="K28" s="28"/>
      <c r="L28" s="28"/>
      <c r="M28" s="29" t="s">
        <v>75</v>
      </c>
      <c r="N28" s="28"/>
      <c r="O28" s="28"/>
      <c r="P28" s="28"/>
      <c r="Q28" s="29" t="s">
        <v>75</v>
      </c>
      <c r="R28" s="30"/>
      <c r="S28" s="29" t="s">
        <v>75</v>
      </c>
      <c r="T28" s="31"/>
      <c r="U28" s="29" t="s">
        <v>75</v>
      </c>
      <c r="V28" s="32"/>
      <c r="W28" s="42" t="s">
        <v>75</v>
      </c>
      <c r="X28" s="29"/>
      <c r="Y28" s="33">
        <f>Solar_Capacity!L23</f>
        <v>-1.9740834922394015</v>
      </c>
      <c r="Z28" s="33"/>
      <c r="AA28" s="37"/>
      <c r="AB28" s="33"/>
      <c r="AC28" s="28"/>
      <c r="AD28" s="28"/>
      <c r="AE28" s="34" t="s">
        <v>7</v>
      </c>
      <c r="AF28" s="65"/>
      <c r="AG28" s="65"/>
      <c r="AH28" s="65"/>
      <c r="AI28" s="62"/>
    </row>
    <row r="29" spans="1:35" s="5" customFormat="1" ht="24.75" customHeight="1">
      <c r="A29" s="17" t="s">
        <v>76</v>
      </c>
      <c r="B29" s="18"/>
      <c r="C29" s="19">
        <v>1</v>
      </c>
      <c r="D29" s="19"/>
      <c r="E29" s="18" t="s">
        <v>77</v>
      </c>
      <c r="F29" s="18"/>
      <c r="G29" s="18" t="s">
        <v>78</v>
      </c>
      <c r="H29" s="18"/>
      <c r="I29" s="18" t="s">
        <v>65</v>
      </c>
      <c r="J29" s="18"/>
      <c r="K29" s="19" t="s">
        <v>66</v>
      </c>
      <c r="L29" s="18"/>
      <c r="M29" s="54" t="s">
        <v>67</v>
      </c>
      <c r="N29" s="18"/>
      <c r="O29" s="19" t="s">
        <v>68</v>
      </c>
      <c r="P29" s="18"/>
      <c r="Q29" s="20"/>
      <c r="R29" s="20"/>
      <c r="S29" s="20">
        <v>45413</v>
      </c>
      <c r="T29" s="21"/>
      <c r="U29" s="20"/>
      <c r="V29" s="22"/>
      <c r="W29" s="19"/>
      <c r="X29" s="19"/>
      <c r="Y29" s="23">
        <f>582-245.4</f>
        <v>336.6</v>
      </c>
      <c r="Z29" s="23"/>
      <c r="AA29" s="23">
        <f>600-245.4</f>
        <v>354.6</v>
      </c>
      <c r="AB29" s="23"/>
      <c r="AC29" s="18" t="s">
        <v>51</v>
      </c>
      <c r="AD29" s="18"/>
      <c r="AE29" s="24" t="s">
        <v>8</v>
      </c>
      <c r="AF29" s="65"/>
      <c r="AG29" s="65"/>
      <c r="AH29" s="65"/>
      <c r="AI29" s="62"/>
    </row>
    <row r="30" spans="1:35" s="5" customFormat="1" ht="24.75" customHeight="1">
      <c r="A30" s="27" t="s">
        <v>74</v>
      </c>
      <c r="B30" s="28"/>
      <c r="C30" s="29" t="s">
        <v>75</v>
      </c>
      <c r="D30" s="36"/>
      <c r="E30" s="29" t="s">
        <v>75</v>
      </c>
      <c r="F30" s="28"/>
      <c r="G30" s="29" t="s">
        <v>75</v>
      </c>
      <c r="H30" s="28"/>
      <c r="I30" s="29" t="s">
        <v>75</v>
      </c>
      <c r="J30" s="28"/>
      <c r="K30" s="28"/>
      <c r="L30" s="28"/>
      <c r="M30" s="29" t="s">
        <v>75</v>
      </c>
      <c r="N30" s="28"/>
      <c r="O30" s="28"/>
      <c r="P30" s="28"/>
      <c r="Q30" s="29" t="s">
        <v>75</v>
      </c>
      <c r="R30" s="30"/>
      <c r="S30" s="29" t="s">
        <v>75</v>
      </c>
      <c r="T30" s="31"/>
      <c r="U30" s="29" t="s">
        <v>75</v>
      </c>
      <c r="V30" s="32"/>
      <c r="W30" s="42" t="s">
        <v>75</v>
      </c>
      <c r="X30" s="29"/>
      <c r="Y30" s="33">
        <f>Solar_Capacity!M26</f>
        <v>-1.9642130747782289</v>
      </c>
      <c r="Z30" s="33"/>
      <c r="AA30" s="33"/>
      <c r="AB30" s="33"/>
      <c r="AC30" s="28"/>
      <c r="AD30" s="28"/>
      <c r="AE30" s="34" t="s">
        <v>7</v>
      </c>
      <c r="AF30" s="65"/>
      <c r="AG30" s="65"/>
      <c r="AH30" s="65"/>
      <c r="AI30" s="62"/>
    </row>
    <row r="31" spans="1:35" s="5" customFormat="1" ht="24.75" customHeight="1">
      <c r="A31" s="35" t="s">
        <v>79</v>
      </c>
      <c r="B31" s="10"/>
      <c r="C31" s="11" t="s">
        <v>80</v>
      </c>
      <c r="D31" s="12"/>
      <c r="E31" s="11" t="s">
        <v>48</v>
      </c>
      <c r="F31" s="10"/>
      <c r="G31" s="11" t="s">
        <v>71</v>
      </c>
      <c r="H31" s="10"/>
      <c r="I31" s="11" t="s">
        <v>66</v>
      </c>
      <c r="J31" s="10"/>
      <c r="K31" s="10"/>
      <c r="L31" s="10"/>
      <c r="M31" s="11" t="s">
        <v>81</v>
      </c>
      <c r="N31" s="10"/>
      <c r="O31" s="10"/>
      <c r="P31" s="10"/>
      <c r="Q31" s="11"/>
      <c r="R31" s="13"/>
      <c r="S31" s="11"/>
      <c r="T31" s="14"/>
      <c r="U31" s="51" t="s">
        <v>82</v>
      </c>
      <c r="V31" s="15"/>
      <c r="W31" s="50"/>
      <c r="X31" s="11"/>
      <c r="Y31" s="16">
        <f>-SUM([2]SO!$E$28:$E$31)</f>
        <v>-171</v>
      </c>
      <c r="Z31" s="16"/>
      <c r="AA31" s="16">
        <f>-SUM([2]SO!$D$28:$D$31)</f>
        <v>-238</v>
      </c>
      <c r="AB31" s="16"/>
      <c r="AC31" s="10" t="s">
        <v>69</v>
      </c>
      <c r="AD31" s="10"/>
      <c r="AE31" s="26"/>
      <c r="AF31" s="65"/>
      <c r="AG31" s="65"/>
      <c r="AH31" s="65"/>
      <c r="AI31" s="62"/>
    </row>
    <row r="32" spans="1:35" s="5" customFormat="1" ht="24.75" customHeight="1">
      <c r="A32" s="27" t="s">
        <v>74</v>
      </c>
      <c r="B32" s="28"/>
      <c r="C32" s="29" t="s">
        <v>75</v>
      </c>
      <c r="D32" s="36"/>
      <c r="E32" s="29" t="s">
        <v>75</v>
      </c>
      <c r="F32" s="28"/>
      <c r="G32" s="29" t="s">
        <v>75</v>
      </c>
      <c r="H32" s="28"/>
      <c r="I32" s="29" t="s">
        <v>75</v>
      </c>
      <c r="J32" s="28"/>
      <c r="K32" s="28"/>
      <c r="L32" s="28"/>
      <c r="M32" s="29" t="s">
        <v>75</v>
      </c>
      <c r="N32" s="28"/>
      <c r="O32" s="28"/>
      <c r="P32" s="28"/>
      <c r="Q32" s="29" t="s">
        <v>75</v>
      </c>
      <c r="R32" s="30"/>
      <c r="S32" s="29" t="s">
        <v>75</v>
      </c>
      <c r="T32" s="31"/>
      <c r="U32" s="29" t="s">
        <v>75</v>
      </c>
      <c r="V32" s="32"/>
      <c r="W32" s="42" t="s">
        <v>75</v>
      </c>
      <c r="X32" s="29"/>
      <c r="Y32" s="33">
        <f>Solar_Capacity!N29</f>
        <v>-1.9543920094045006</v>
      </c>
      <c r="Z32" s="33"/>
      <c r="AA32" s="33"/>
      <c r="AB32" s="33"/>
      <c r="AC32" s="28"/>
      <c r="AD32" s="28"/>
      <c r="AE32" s="34" t="s">
        <v>7</v>
      </c>
      <c r="AF32" s="65"/>
      <c r="AG32" s="65"/>
      <c r="AH32" s="65"/>
      <c r="AI32" s="62"/>
    </row>
    <row r="33" spans="1:35" s="5" customFormat="1" ht="24.75" customHeight="1">
      <c r="A33" s="35" t="s">
        <v>74</v>
      </c>
      <c r="B33" s="10"/>
      <c r="C33" s="11" t="s">
        <v>75</v>
      </c>
      <c r="D33" s="12"/>
      <c r="E33" s="11" t="s">
        <v>75</v>
      </c>
      <c r="F33" s="10"/>
      <c r="G33" s="11" t="s">
        <v>75</v>
      </c>
      <c r="H33" s="10"/>
      <c r="I33" s="11" t="s">
        <v>75</v>
      </c>
      <c r="J33" s="10"/>
      <c r="K33" s="10"/>
      <c r="L33" s="10"/>
      <c r="M33" s="11" t="s">
        <v>75</v>
      </c>
      <c r="N33" s="10"/>
      <c r="O33" s="10"/>
      <c r="P33" s="10"/>
      <c r="Q33" s="11" t="s">
        <v>75</v>
      </c>
      <c r="R33" s="13"/>
      <c r="S33" s="11" t="s">
        <v>75</v>
      </c>
      <c r="T33" s="14"/>
      <c r="U33" s="11" t="s">
        <v>75</v>
      </c>
      <c r="V33" s="15"/>
      <c r="W33" s="50" t="s">
        <v>75</v>
      </c>
      <c r="X33" s="11"/>
      <c r="Y33" s="16">
        <f>Solar_Capacity!O32</f>
        <v>-1.9446200493574111</v>
      </c>
      <c r="Z33" s="16"/>
      <c r="AA33" s="16"/>
      <c r="AB33" s="16"/>
      <c r="AC33" s="10"/>
      <c r="AD33" s="10"/>
      <c r="AE33" s="34" t="s">
        <v>7</v>
      </c>
      <c r="AF33" s="65"/>
      <c r="AG33" s="65"/>
      <c r="AH33" s="65"/>
      <c r="AI33" s="62"/>
    </row>
    <row r="34" spans="1:35" s="5" customFormat="1" ht="24.75" customHeight="1">
      <c r="A34" s="17" t="s">
        <v>57</v>
      </c>
      <c r="B34" s="18"/>
      <c r="C34" s="19" t="s">
        <v>83</v>
      </c>
      <c r="D34" s="38"/>
      <c r="E34" s="19" t="s">
        <v>58</v>
      </c>
      <c r="F34" s="18"/>
      <c r="G34" s="19" t="s">
        <v>71</v>
      </c>
      <c r="H34" s="18"/>
      <c r="I34" s="19" t="s">
        <v>66</v>
      </c>
      <c r="J34" s="18"/>
      <c r="K34" s="18"/>
      <c r="L34" s="18"/>
      <c r="M34" s="19" t="s">
        <v>68</v>
      </c>
      <c r="N34" s="18"/>
      <c r="O34" s="18"/>
      <c r="P34" s="18"/>
      <c r="Q34" s="19"/>
      <c r="R34" s="20"/>
      <c r="S34" s="19"/>
      <c r="T34" s="21"/>
      <c r="U34" s="52" t="s">
        <v>84</v>
      </c>
      <c r="V34" s="22"/>
      <c r="W34" s="53"/>
      <c r="X34" s="19"/>
      <c r="Y34" s="23">
        <f>-SUM([2]SO!$E$33:$E$37)</f>
        <v>-249</v>
      </c>
      <c r="Z34" s="23"/>
      <c r="AA34" s="23">
        <f>-SUM([2]SO!$D$33:$D$37)</f>
        <v>-324</v>
      </c>
      <c r="AB34" s="23"/>
      <c r="AC34" s="18" t="s">
        <v>69</v>
      </c>
      <c r="AD34" s="18"/>
      <c r="AE34" s="24"/>
      <c r="AF34" s="65"/>
      <c r="AG34" s="65"/>
      <c r="AH34" s="65"/>
      <c r="AI34" s="62"/>
    </row>
    <row r="35" spans="1:35" s="5" customFormat="1" ht="24.75" customHeight="1">
      <c r="A35" s="35" t="s">
        <v>85</v>
      </c>
      <c r="B35" s="10"/>
      <c r="C35" s="11" t="s">
        <v>86</v>
      </c>
      <c r="D35" s="12"/>
      <c r="E35" s="11" t="s">
        <v>48</v>
      </c>
      <c r="F35" s="10"/>
      <c r="G35" s="11" t="s">
        <v>71</v>
      </c>
      <c r="H35" s="10"/>
      <c r="I35" s="11" t="s">
        <v>66</v>
      </c>
      <c r="J35" s="10"/>
      <c r="K35" s="10"/>
      <c r="L35" s="10"/>
      <c r="M35" s="11" t="s">
        <v>81</v>
      </c>
      <c r="N35" s="10"/>
      <c r="O35" s="10"/>
      <c r="P35" s="10"/>
      <c r="Q35" s="11"/>
      <c r="R35" s="13"/>
      <c r="S35" s="11"/>
      <c r="T35" s="14"/>
      <c r="U35" s="51" t="s">
        <v>84</v>
      </c>
      <c r="V35" s="15"/>
      <c r="W35" s="50"/>
      <c r="X35" s="11"/>
      <c r="Y35" s="16">
        <f>-[2]SO!$E$24-[2]SO!$E$26</f>
        <v>-82</v>
      </c>
      <c r="Z35" s="16"/>
      <c r="AA35" s="16">
        <f>-[2]SO!$D$24-[2]SO!$D$26</f>
        <v>-105</v>
      </c>
      <c r="AB35" s="16"/>
      <c r="AC35" s="10" t="s">
        <v>69</v>
      </c>
      <c r="AD35" s="10"/>
      <c r="AE35" s="26"/>
      <c r="AF35" s="65"/>
      <c r="AG35" s="65"/>
      <c r="AH35" s="65"/>
      <c r="AI35" s="62"/>
    </row>
    <row r="36" spans="1:35" s="5" customFormat="1" ht="24.75" customHeight="1">
      <c r="A36" s="35" t="s">
        <v>61</v>
      </c>
      <c r="B36" s="10"/>
      <c r="C36" s="11" t="s">
        <v>63</v>
      </c>
      <c r="D36" s="11"/>
      <c r="E36" s="10" t="s">
        <v>61</v>
      </c>
      <c r="F36" s="10"/>
      <c r="G36" s="10" t="s">
        <v>64</v>
      </c>
      <c r="H36" s="10"/>
      <c r="I36" s="10" t="s">
        <v>65</v>
      </c>
      <c r="J36" s="10"/>
      <c r="K36" s="10" t="s">
        <v>66</v>
      </c>
      <c r="L36" s="10"/>
      <c r="M36" s="25" t="s">
        <v>67</v>
      </c>
      <c r="N36" s="10"/>
      <c r="O36" s="10" t="s">
        <v>68</v>
      </c>
      <c r="P36" s="10"/>
      <c r="Q36" s="13">
        <v>45658</v>
      </c>
      <c r="R36" s="13"/>
      <c r="S36" s="13">
        <v>46539</v>
      </c>
      <c r="T36" s="14"/>
      <c r="U36" s="13"/>
      <c r="V36" s="15"/>
      <c r="W36" s="40">
        <v>229400</v>
      </c>
      <c r="X36" s="11"/>
      <c r="Y36" s="16">
        <f>210.8+7.6</f>
        <v>218.4</v>
      </c>
      <c r="Z36" s="16"/>
      <c r="AA36" s="16">
        <v>233.3</v>
      </c>
      <c r="AB36" s="16"/>
      <c r="AC36" s="10" t="s">
        <v>51</v>
      </c>
      <c r="AD36" s="10"/>
      <c r="AE36" s="26" t="s">
        <v>4</v>
      </c>
      <c r="AF36" s="65"/>
      <c r="AG36" s="65"/>
      <c r="AH36" s="65"/>
      <c r="AI36" s="62"/>
    </row>
    <row r="37" spans="1:35" s="5" customFormat="1" ht="24.75" customHeight="1">
      <c r="A37" s="35" t="s">
        <v>61</v>
      </c>
      <c r="B37" s="10"/>
      <c r="C37" s="11" t="s">
        <v>70</v>
      </c>
      <c r="D37" s="11"/>
      <c r="E37" s="10" t="s">
        <v>61</v>
      </c>
      <c r="F37" s="10"/>
      <c r="G37" s="10" t="s">
        <v>64</v>
      </c>
      <c r="H37" s="10"/>
      <c r="I37" s="10" t="s">
        <v>65</v>
      </c>
      <c r="J37" s="10"/>
      <c r="K37" s="10" t="s">
        <v>66</v>
      </c>
      <c r="L37" s="10"/>
      <c r="M37" s="25" t="s">
        <v>67</v>
      </c>
      <c r="N37" s="10"/>
      <c r="O37" s="10" t="s">
        <v>68</v>
      </c>
      <c r="P37" s="10"/>
      <c r="Q37" s="13">
        <v>45658</v>
      </c>
      <c r="R37" s="13"/>
      <c r="S37" s="13">
        <v>46539</v>
      </c>
      <c r="T37" s="14"/>
      <c r="U37" s="13"/>
      <c r="V37" s="15"/>
      <c r="W37" s="40">
        <v>229400</v>
      </c>
      <c r="X37" s="11"/>
      <c r="Y37" s="16">
        <f>210.8+7.6</f>
        <v>218.4</v>
      </c>
      <c r="Z37" s="16"/>
      <c r="AA37" s="16">
        <v>233.3</v>
      </c>
      <c r="AB37" s="16"/>
      <c r="AC37" s="10" t="s">
        <v>51</v>
      </c>
      <c r="AD37" s="10"/>
      <c r="AE37" s="26" t="s">
        <v>4</v>
      </c>
      <c r="AF37" s="65"/>
      <c r="AG37" s="65"/>
      <c r="AH37" s="65"/>
      <c r="AI37" s="62"/>
    </row>
    <row r="38" spans="1:35" s="5" customFormat="1" ht="24.75" customHeight="1">
      <c r="A38" s="35" t="s">
        <v>61</v>
      </c>
      <c r="B38" s="10"/>
      <c r="C38" s="11" t="s">
        <v>87</v>
      </c>
      <c r="D38" s="11"/>
      <c r="E38" s="10" t="s">
        <v>61</v>
      </c>
      <c r="F38" s="10"/>
      <c r="G38" s="10" t="s">
        <v>64</v>
      </c>
      <c r="H38" s="10"/>
      <c r="I38" s="10" t="s">
        <v>65</v>
      </c>
      <c r="J38" s="10"/>
      <c r="K38" s="10" t="s">
        <v>66</v>
      </c>
      <c r="L38" s="10"/>
      <c r="M38" s="25" t="s">
        <v>67</v>
      </c>
      <c r="N38" s="10"/>
      <c r="O38" s="10" t="s">
        <v>68</v>
      </c>
      <c r="P38" s="10"/>
      <c r="Q38" s="13">
        <v>45658</v>
      </c>
      <c r="R38" s="13"/>
      <c r="S38" s="13">
        <v>46539</v>
      </c>
      <c r="T38" s="14"/>
      <c r="U38" s="13"/>
      <c r="V38" s="15"/>
      <c r="W38" s="40">
        <v>229400</v>
      </c>
      <c r="X38" s="11"/>
      <c r="Y38" s="16">
        <f>210.8+7.6</f>
        <v>218.4</v>
      </c>
      <c r="Z38" s="16"/>
      <c r="AA38" s="16">
        <v>233.3</v>
      </c>
      <c r="AB38" s="16"/>
      <c r="AC38" s="10" t="s">
        <v>51</v>
      </c>
      <c r="AD38" s="10"/>
      <c r="AE38" s="26" t="s">
        <v>4</v>
      </c>
      <c r="AF38" s="65"/>
      <c r="AG38" s="65"/>
      <c r="AH38" s="65"/>
      <c r="AI38" s="62"/>
    </row>
    <row r="39" spans="1:35" s="5" customFormat="1" ht="24.75" customHeight="1">
      <c r="A39" s="35" t="s">
        <v>61</v>
      </c>
      <c r="B39" s="10"/>
      <c r="C39" s="11" t="s">
        <v>88</v>
      </c>
      <c r="D39" s="11"/>
      <c r="E39" s="10" t="s">
        <v>61</v>
      </c>
      <c r="F39" s="10"/>
      <c r="G39" s="10" t="s">
        <v>64</v>
      </c>
      <c r="H39" s="10"/>
      <c r="I39" s="10" t="s">
        <v>65</v>
      </c>
      <c r="J39" s="10"/>
      <c r="K39" s="10" t="s">
        <v>66</v>
      </c>
      <c r="L39" s="10"/>
      <c r="M39" s="25" t="s">
        <v>67</v>
      </c>
      <c r="N39" s="10"/>
      <c r="O39" s="10" t="s">
        <v>68</v>
      </c>
      <c r="P39" s="10"/>
      <c r="Q39" s="13">
        <v>45658</v>
      </c>
      <c r="R39" s="13"/>
      <c r="S39" s="13">
        <v>46539</v>
      </c>
      <c r="T39" s="14"/>
      <c r="U39" s="13"/>
      <c r="V39" s="15"/>
      <c r="W39" s="40">
        <v>229400</v>
      </c>
      <c r="X39" s="11"/>
      <c r="Y39" s="16">
        <f>210.8+7.6</f>
        <v>218.4</v>
      </c>
      <c r="Z39" s="16"/>
      <c r="AA39" s="16">
        <v>233.3</v>
      </c>
      <c r="AB39" s="16"/>
      <c r="AC39" s="10" t="s">
        <v>51</v>
      </c>
      <c r="AD39" s="10"/>
      <c r="AE39" s="26" t="s">
        <v>4</v>
      </c>
      <c r="AF39" s="65"/>
      <c r="AG39" s="65"/>
      <c r="AH39" s="65"/>
      <c r="AI39" s="62"/>
    </row>
    <row r="40" spans="1:35" s="5" customFormat="1" ht="24.75" customHeight="1">
      <c r="A40" s="35" t="s">
        <v>61</v>
      </c>
      <c r="B40" s="10"/>
      <c r="C40" s="11" t="s">
        <v>89</v>
      </c>
      <c r="D40" s="11"/>
      <c r="E40" s="10" t="s">
        <v>61</v>
      </c>
      <c r="F40" s="10"/>
      <c r="G40" s="10" t="s">
        <v>64</v>
      </c>
      <c r="H40" s="10"/>
      <c r="I40" s="10" t="s">
        <v>65</v>
      </c>
      <c r="J40" s="10"/>
      <c r="K40" s="10" t="s">
        <v>66</v>
      </c>
      <c r="L40" s="10"/>
      <c r="M40" s="25" t="s">
        <v>67</v>
      </c>
      <c r="N40" s="10"/>
      <c r="O40" s="10" t="s">
        <v>68</v>
      </c>
      <c r="P40" s="10"/>
      <c r="Q40" s="13">
        <v>45658</v>
      </c>
      <c r="R40" s="13"/>
      <c r="S40" s="13">
        <v>46539</v>
      </c>
      <c r="T40" s="14"/>
      <c r="U40" s="13"/>
      <c r="V40" s="15"/>
      <c r="W40" s="40">
        <v>229400</v>
      </c>
      <c r="X40" s="11"/>
      <c r="Y40" s="16">
        <f>210.8+7.6</f>
        <v>218.4</v>
      </c>
      <c r="Z40" s="16"/>
      <c r="AA40" s="16">
        <v>233.3</v>
      </c>
      <c r="AB40" s="16"/>
      <c r="AC40" s="10" t="s">
        <v>51</v>
      </c>
      <c r="AD40" s="10"/>
      <c r="AE40" s="26" t="s">
        <v>4</v>
      </c>
      <c r="AF40" s="65"/>
      <c r="AG40" s="65"/>
      <c r="AH40" s="65"/>
      <c r="AI40" s="62"/>
    </row>
    <row r="41" spans="1:35" ht="24" customHeight="1">
      <c r="A41" s="27" t="s">
        <v>74</v>
      </c>
      <c r="B41" s="28"/>
      <c r="C41" s="29" t="s">
        <v>75</v>
      </c>
      <c r="D41" s="36"/>
      <c r="E41" s="29" t="s">
        <v>75</v>
      </c>
      <c r="F41" s="28"/>
      <c r="G41" s="29" t="s">
        <v>75</v>
      </c>
      <c r="H41" s="28"/>
      <c r="I41" s="29" t="s">
        <v>75</v>
      </c>
      <c r="J41" s="28"/>
      <c r="K41" s="28"/>
      <c r="L41" s="28"/>
      <c r="M41" s="29" t="s">
        <v>75</v>
      </c>
      <c r="N41" s="28"/>
      <c r="O41" s="28"/>
      <c r="P41" s="28"/>
      <c r="Q41" s="29" t="s">
        <v>75</v>
      </c>
      <c r="R41" s="30"/>
      <c r="S41" s="29" t="s">
        <v>75</v>
      </c>
      <c r="T41" s="31"/>
      <c r="U41" s="29" t="s">
        <v>75</v>
      </c>
      <c r="V41" s="32"/>
      <c r="W41" s="42" t="s">
        <v>75</v>
      </c>
      <c r="X41" s="29"/>
      <c r="Y41" s="33">
        <f>Solar_Capacity!P34</f>
        <v>-1.9348969491105095</v>
      </c>
      <c r="Z41" s="33"/>
      <c r="AA41" s="37"/>
      <c r="AB41" s="33"/>
      <c r="AC41" s="28"/>
      <c r="AD41" s="28"/>
      <c r="AE41" s="34" t="s">
        <v>7</v>
      </c>
    </row>
    <row r="42" spans="1:35" ht="24" customHeight="1">
      <c r="A42" s="27" t="s">
        <v>74</v>
      </c>
      <c r="B42" s="28"/>
      <c r="C42" s="29" t="s">
        <v>75</v>
      </c>
      <c r="D42" s="36"/>
      <c r="E42" s="29" t="s">
        <v>75</v>
      </c>
      <c r="F42" s="28"/>
      <c r="G42" s="29" t="s">
        <v>75</v>
      </c>
      <c r="H42" s="28"/>
      <c r="I42" s="29" t="s">
        <v>75</v>
      </c>
      <c r="J42" s="28"/>
      <c r="K42" s="28"/>
      <c r="L42" s="28"/>
      <c r="M42" s="29" t="s">
        <v>75</v>
      </c>
      <c r="N42" s="28"/>
      <c r="O42" s="28"/>
      <c r="P42" s="28"/>
      <c r="Q42" s="29" t="s">
        <v>75</v>
      </c>
      <c r="R42" s="30"/>
      <c r="S42" s="29" t="s">
        <v>75</v>
      </c>
      <c r="T42" s="31"/>
      <c r="U42" s="29" t="s">
        <v>75</v>
      </c>
      <c r="V42" s="32"/>
      <c r="W42" s="42" t="s">
        <v>75</v>
      </c>
      <c r="X42" s="29"/>
      <c r="Y42" s="33">
        <f>Solar_Capacity!Q36</f>
        <v>-1.925222464365163</v>
      </c>
      <c r="Z42" s="33"/>
      <c r="AA42" s="37"/>
      <c r="AB42" s="33"/>
      <c r="AC42" s="28"/>
      <c r="AD42" s="28"/>
      <c r="AE42" s="34" t="s">
        <v>7</v>
      </c>
    </row>
    <row r="43" spans="1:35" ht="24" customHeight="1">
      <c r="A43" s="35" t="s">
        <v>90</v>
      </c>
      <c r="B43" s="10"/>
      <c r="C43" s="11"/>
      <c r="D43" s="12"/>
      <c r="E43" s="11"/>
      <c r="F43" s="10"/>
      <c r="G43" s="11"/>
      <c r="H43" s="10"/>
      <c r="I43" s="11"/>
      <c r="J43" s="10"/>
      <c r="K43" s="10"/>
      <c r="L43" s="10"/>
      <c r="M43" s="11"/>
      <c r="N43" s="10"/>
      <c r="O43" s="10"/>
      <c r="P43" s="10"/>
      <c r="Q43" s="11"/>
      <c r="R43" s="13"/>
      <c r="S43" s="11"/>
      <c r="T43" s="14"/>
      <c r="U43" s="51" t="s">
        <v>91</v>
      </c>
      <c r="V43" s="15"/>
      <c r="W43" s="40"/>
      <c r="X43" s="11"/>
      <c r="Y43" s="16">
        <f>-(498+505)</f>
        <v>-1003</v>
      </c>
      <c r="Z43" s="16"/>
      <c r="AA43" s="16">
        <f>-(511+514)</f>
        <v>-1025</v>
      </c>
      <c r="AB43" s="16"/>
      <c r="AC43" s="10" t="s">
        <v>69</v>
      </c>
      <c r="AD43" s="10"/>
      <c r="AE43" s="26"/>
    </row>
    <row r="44" spans="1:35" ht="24" customHeight="1">
      <c r="A44" s="35" t="s">
        <v>61</v>
      </c>
      <c r="B44" s="10"/>
      <c r="C44" s="11">
        <v>1</v>
      </c>
      <c r="D44" s="11"/>
      <c r="E44" s="10" t="s">
        <v>61</v>
      </c>
      <c r="F44" s="10"/>
      <c r="G44" s="10" t="s">
        <v>78</v>
      </c>
      <c r="H44" s="10"/>
      <c r="I44" s="10" t="s">
        <v>65</v>
      </c>
      <c r="J44" s="10"/>
      <c r="K44" s="10" t="s">
        <v>66</v>
      </c>
      <c r="L44" s="10"/>
      <c r="M44" s="25" t="s">
        <v>67</v>
      </c>
      <c r="N44" s="10"/>
      <c r="O44" s="10" t="s">
        <v>68</v>
      </c>
      <c r="P44" s="10"/>
      <c r="Q44" s="13">
        <v>46023</v>
      </c>
      <c r="R44" s="13"/>
      <c r="S44" s="13">
        <v>47270</v>
      </c>
      <c r="T44" s="14"/>
      <c r="U44" s="13"/>
      <c r="V44" s="15"/>
      <c r="W44" s="40">
        <v>1335000</v>
      </c>
      <c r="X44" s="11"/>
      <c r="Y44" s="16">
        <v>1240.5999999999999</v>
      </c>
      <c r="Z44" s="16"/>
      <c r="AA44" s="16">
        <v>1366</v>
      </c>
      <c r="AB44" s="16"/>
      <c r="AC44" s="10" t="s">
        <v>51</v>
      </c>
      <c r="AD44" s="10"/>
      <c r="AE44" s="26" t="s">
        <v>4</v>
      </c>
    </row>
    <row r="45" spans="1:35" ht="24" customHeight="1">
      <c r="A45" s="27" t="s">
        <v>74</v>
      </c>
      <c r="B45" s="28"/>
      <c r="C45" s="29" t="s">
        <v>75</v>
      </c>
      <c r="D45" s="36"/>
      <c r="E45" s="29" t="s">
        <v>75</v>
      </c>
      <c r="F45" s="28"/>
      <c r="G45" s="29" t="s">
        <v>75</v>
      </c>
      <c r="H45" s="28"/>
      <c r="I45" s="29" t="s">
        <v>75</v>
      </c>
      <c r="J45" s="28"/>
      <c r="K45" s="28"/>
      <c r="L45" s="28"/>
      <c r="M45" s="29" t="s">
        <v>75</v>
      </c>
      <c r="N45" s="28"/>
      <c r="O45" s="28"/>
      <c r="P45" s="28"/>
      <c r="Q45" s="29" t="s">
        <v>75</v>
      </c>
      <c r="R45" s="30"/>
      <c r="S45" s="29" t="s">
        <v>75</v>
      </c>
      <c r="T45" s="31"/>
      <c r="U45" s="29" t="s">
        <v>75</v>
      </c>
      <c r="V45" s="32"/>
      <c r="W45" s="42" t="s">
        <v>75</v>
      </c>
      <c r="X45" s="29"/>
      <c r="Y45" s="33">
        <f>Solar_Capacity!$R$36</f>
        <v>-1.9155963520431669</v>
      </c>
      <c r="Z45" s="33"/>
      <c r="AA45" s="37"/>
      <c r="AB45" s="33"/>
      <c r="AC45" s="28"/>
      <c r="AD45" s="28"/>
      <c r="AE45" s="34" t="s">
        <v>7</v>
      </c>
    </row>
    <row r="46" spans="1:35" ht="24" customHeight="1">
      <c r="A46" s="27" t="s">
        <v>74</v>
      </c>
      <c r="B46" s="28"/>
      <c r="C46" s="29" t="s">
        <v>75</v>
      </c>
      <c r="D46" s="36"/>
      <c r="E46" s="29" t="s">
        <v>75</v>
      </c>
      <c r="F46" s="28"/>
      <c r="G46" s="29" t="s">
        <v>75</v>
      </c>
      <c r="H46" s="28"/>
      <c r="I46" s="29" t="s">
        <v>75</v>
      </c>
      <c r="J46" s="28"/>
      <c r="K46" s="28"/>
      <c r="L46" s="28"/>
      <c r="M46" s="29" t="s">
        <v>75</v>
      </c>
      <c r="N46" s="28"/>
      <c r="O46" s="28"/>
      <c r="P46" s="28"/>
      <c r="Q46" s="29" t="s">
        <v>75</v>
      </c>
      <c r="R46" s="30"/>
      <c r="S46" s="29" t="s">
        <v>75</v>
      </c>
      <c r="T46" s="31"/>
      <c r="U46" s="29" t="s">
        <v>75</v>
      </c>
      <c r="V46" s="32"/>
      <c r="W46" s="42" t="s">
        <v>75</v>
      </c>
      <c r="X46" s="29"/>
      <c r="Y46" s="33">
        <f>Solar_Capacity!$S$36</f>
        <v>-1.9060183702829931</v>
      </c>
      <c r="Z46" s="33"/>
      <c r="AA46" s="37"/>
      <c r="AB46" s="33"/>
      <c r="AC46" s="28"/>
      <c r="AD46" s="28"/>
      <c r="AE46" s="34" t="s">
        <v>7</v>
      </c>
    </row>
    <row r="47" spans="1:35" ht="24" customHeight="1">
      <c r="A47" s="27" t="s">
        <v>74</v>
      </c>
      <c r="B47" s="28"/>
      <c r="C47" s="29" t="s">
        <v>75</v>
      </c>
      <c r="D47" s="36"/>
      <c r="E47" s="29" t="s">
        <v>75</v>
      </c>
      <c r="F47" s="28"/>
      <c r="G47" s="29" t="s">
        <v>75</v>
      </c>
      <c r="H47" s="28"/>
      <c r="I47" s="29" t="s">
        <v>75</v>
      </c>
      <c r="J47" s="28"/>
      <c r="K47" s="28"/>
      <c r="L47" s="28"/>
      <c r="M47" s="29" t="s">
        <v>75</v>
      </c>
      <c r="N47" s="28"/>
      <c r="O47" s="28"/>
      <c r="P47" s="28"/>
      <c r="Q47" s="29" t="s">
        <v>75</v>
      </c>
      <c r="R47" s="30"/>
      <c r="S47" s="29" t="s">
        <v>75</v>
      </c>
      <c r="T47" s="31"/>
      <c r="U47" s="29" t="s">
        <v>75</v>
      </c>
      <c r="V47" s="32"/>
      <c r="W47" s="42" t="s">
        <v>75</v>
      </c>
      <c r="X47" s="29"/>
      <c r="Y47" s="33">
        <f>Solar_Capacity!$T$36</f>
        <v>-1.8964882784316046</v>
      </c>
      <c r="Z47" s="33"/>
      <c r="AA47" s="37"/>
      <c r="AB47" s="33"/>
      <c r="AC47" s="28"/>
      <c r="AD47" s="28"/>
      <c r="AE47" s="34" t="s">
        <v>7</v>
      </c>
    </row>
    <row r="48" spans="1:35" ht="24" customHeight="1">
      <c r="A48" s="35" t="s">
        <v>61</v>
      </c>
      <c r="B48" s="10"/>
      <c r="C48" s="11" t="s">
        <v>92</v>
      </c>
      <c r="D48" s="11"/>
      <c r="E48" s="10" t="s">
        <v>61</v>
      </c>
      <c r="F48" s="10"/>
      <c r="G48" s="10" t="s">
        <v>64</v>
      </c>
      <c r="H48" s="10"/>
      <c r="I48" s="10" t="s">
        <v>65</v>
      </c>
      <c r="J48" s="10"/>
      <c r="K48" s="10" t="s">
        <v>66</v>
      </c>
      <c r="L48" s="10"/>
      <c r="M48" s="25" t="s">
        <v>67</v>
      </c>
      <c r="N48" s="10"/>
      <c r="O48" s="10" t="s">
        <v>68</v>
      </c>
      <c r="P48" s="10"/>
      <c r="Q48" s="13">
        <v>47484</v>
      </c>
      <c r="R48" s="13"/>
      <c r="S48" s="13">
        <v>48366</v>
      </c>
      <c r="T48" s="14"/>
      <c r="U48" s="13"/>
      <c r="V48" s="15"/>
      <c r="W48" s="40">
        <v>229400</v>
      </c>
      <c r="X48" s="11"/>
      <c r="Y48" s="16">
        <f>210.8+7.6</f>
        <v>218.4</v>
      </c>
      <c r="Z48" s="16"/>
      <c r="AA48" s="16">
        <v>233.3</v>
      </c>
      <c r="AB48" s="16"/>
      <c r="AC48" s="10" t="s">
        <v>51</v>
      </c>
      <c r="AD48" s="10"/>
      <c r="AE48" s="26" t="s">
        <v>4</v>
      </c>
    </row>
    <row r="49" spans="1:31" ht="24" customHeight="1">
      <c r="A49" s="27" t="s">
        <v>74</v>
      </c>
      <c r="B49" s="28"/>
      <c r="C49" s="29" t="s">
        <v>75</v>
      </c>
      <c r="D49" s="36"/>
      <c r="E49" s="29" t="s">
        <v>75</v>
      </c>
      <c r="F49" s="28"/>
      <c r="G49" s="29" t="s">
        <v>75</v>
      </c>
      <c r="H49" s="28"/>
      <c r="I49" s="29" t="s">
        <v>75</v>
      </c>
      <c r="J49" s="28"/>
      <c r="K49" s="28"/>
      <c r="L49" s="28"/>
      <c r="M49" s="29" t="s">
        <v>75</v>
      </c>
      <c r="N49" s="28"/>
      <c r="O49" s="28"/>
      <c r="P49" s="28"/>
      <c r="Q49" s="29" t="s">
        <v>75</v>
      </c>
      <c r="R49" s="30"/>
      <c r="S49" s="29" t="s">
        <v>75</v>
      </c>
      <c r="T49" s="31"/>
      <c r="U49" s="29" t="s">
        <v>75</v>
      </c>
      <c r="V49" s="32"/>
      <c r="W49" s="42" t="s">
        <v>75</v>
      </c>
      <c r="X49" s="29"/>
      <c r="Y49" s="33">
        <f>Solar_Capacity!$U$36</f>
        <v>-1.8870058370395668</v>
      </c>
      <c r="Z49" s="33"/>
      <c r="AA49" s="37"/>
      <c r="AB49" s="33"/>
      <c r="AC49" s="28"/>
      <c r="AD49" s="28"/>
      <c r="AE49" s="34" t="s">
        <v>7</v>
      </c>
    </row>
    <row r="50" spans="1:31" ht="24" customHeight="1">
      <c r="A50" s="35" t="s">
        <v>61</v>
      </c>
      <c r="B50" s="10"/>
      <c r="C50" s="11" t="s">
        <v>93</v>
      </c>
      <c r="D50" s="11"/>
      <c r="E50" s="10" t="s">
        <v>61</v>
      </c>
      <c r="F50" s="10"/>
      <c r="G50" s="10" t="s">
        <v>64</v>
      </c>
      <c r="H50" s="10"/>
      <c r="I50" s="10" t="s">
        <v>65</v>
      </c>
      <c r="J50" s="10"/>
      <c r="K50" s="10" t="s">
        <v>66</v>
      </c>
      <c r="L50" s="10"/>
      <c r="M50" s="25" t="s">
        <v>67</v>
      </c>
      <c r="N50" s="10"/>
      <c r="O50" s="10" t="s">
        <v>68</v>
      </c>
      <c r="P50" s="10"/>
      <c r="Q50" s="13">
        <v>47849</v>
      </c>
      <c r="R50" s="13"/>
      <c r="S50" s="13">
        <v>48731</v>
      </c>
      <c r="T50" s="14"/>
      <c r="U50" s="13"/>
      <c r="V50" s="15"/>
      <c r="W50" s="40">
        <v>229400</v>
      </c>
      <c r="X50" s="11"/>
      <c r="Y50" s="16">
        <f>210.8+7.6</f>
        <v>218.4</v>
      </c>
      <c r="Z50" s="16"/>
      <c r="AA50" s="16">
        <v>233.3</v>
      </c>
      <c r="AB50" s="16"/>
      <c r="AC50" s="10" t="s">
        <v>51</v>
      </c>
      <c r="AD50" s="10"/>
      <c r="AE50" s="26" t="s">
        <v>4</v>
      </c>
    </row>
    <row r="51" spans="1:31" ht="24" customHeight="1">
      <c r="A51" s="27" t="s">
        <v>74</v>
      </c>
      <c r="B51" s="28"/>
      <c r="C51" s="29" t="s">
        <v>75</v>
      </c>
      <c r="D51" s="36"/>
      <c r="E51" s="29" t="s">
        <v>75</v>
      </c>
      <c r="F51" s="28"/>
      <c r="G51" s="29" t="s">
        <v>75</v>
      </c>
      <c r="H51" s="28"/>
      <c r="I51" s="29" t="s">
        <v>75</v>
      </c>
      <c r="J51" s="28"/>
      <c r="K51" s="28"/>
      <c r="L51" s="28"/>
      <c r="M51" s="29" t="s">
        <v>75</v>
      </c>
      <c r="N51" s="28"/>
      <c r="O51" s="28"/>
      <c r="P51" s="28"/>
      <c r="Q51" s="29" t="s">
        <v>75</v>
      </c>
      <c r="R51" s="30"/>
      <c r="S51" s="29" t="s">
        <v>75</v>
      </c>
      <c r="T51" s="31"/>
      <c r="U51" s="29" t="s">
        <v>75</v>
      </c>
      <c r="V51" s="32"/>
      <c r="W51" s="42" t="s">
        <v>75</v>
      </c>
      <c r="X51" s="29"/>
      <c r="Y51" s="33">
        <f>Solar_Capacity!$V$36</f>
        <v>-1.8775708078541697</v>
      </c>
      <c r="Z51" s="33"/>
      <c r="AA51" s="37"/>
      <c r="AB51" s="33"/>
      <c r="AC51" s="28"/>
      <c r="AD51" s="28"/>
      <c r="AE51" s="34" t="s">
        <v>7</v>
      </c>
    </row>
    <row r="52" spans="1:31" ht="24" customHeight="1">
      <c r="A52" s="35" t="s">
        <v>90</v>
      </c>
      <c r="B52" s="10"/>
      <c r="C52" s="11"/>
      <c r="D52" s="12"/>
      <c r="E52" s="11"/>
      <c r="F52" s="10"/>
      <c r="G52" s="11"/>
      <c r="H52" s="10"/>
      <c r="I52" s="10"/>
      <c r="J52" s="10"/>
      <c r="K52" s="10"/>
      <c r="L52" s="10"/>
      <c r="M52" s="25"/>
      <c r="N52" s="10"/>
      <c r="O52" s="10"/>
      <c r="P52" s="10"/>
      <c r="Q52" s="11"/>
      <c r="R52" s="13"/>
      <c r="S52" s="11"/>
      <c r="T52" s="14"/>
      <c r="U52" s="51" t="s">
        <v>94</v>
      </c>
      <c r="V52" s="15"/>
      <c r="W52" s="40"/>
      <c r="X52" s="11"/>
      <c r="Y52" s="16">
        <f>-(41+45+47+46+46+46+45+47+49+50+50)</f>
        <v>-512</v>
      </c>
      <c r="Z52" s="16"/>
      <c r="AA52" s="16">
        <f>-(57+61+64+63+63+63+62+64+68+68+67)</f>
        <v>-700</v>
      </c>
      <c r="AB52" s="16"/>
      <c r="AC52" s="10" t="s">
        <v>69</v>
      </c>
      <c r="AD52" s="10"/>
      <c r="AE52" s="26"/>
    </row>
    <row r="53" spans="1:31" ht="24" customHeight="1">
      <c r="A53" s="35" t="s">
        <v>61</v>
      </c>
      <c r="B53" s="10"/>
      <c r="C53" s="11" t="s">
        <v>95</v>
      </c>
      <c r="D53" s="11"/>
      <c r="E53" s="10" t="s">
        <v>61</v>
      </c>
      <c r="F53" s="10"/>
      <c r="G53" s="10" t="s">
        <v>64</v>
      </c>
      <c r="H53" s="10"/>
      <c r="I53" s="10" t="s">
        <v>65</v>
      </c>
      <c r="J53" s="10"/>
      <c r="K53" s="10" t="s">
        <v>66</v>
      </c>
      <c r="L53" s="10"/>
      <c r="M53" s="25" t="s">
        <v>67</v>
      </c>
      <c r="N53" s="10"/>
      <c r="O53" s="10" t="s">
        <v>68</v>
      </c>
      <c r="P53" s="10"/>
      <c r="Q53" s="13">
        <v>48214</v>
      </c>
      <c r="R53" s="13"/>
      <c r="S53" s="13">
        <v>49096</v>
      </c>
      <c r="T53" s="14"/>
      <c r="U53" s="13"/>
      <c r="V53" s="15"/>
      <c r="W53" s="40">
        <v>229400</v>
      </c>
      <c r="X53" s="11"/>
      <c r="Y53" s="16">
        <f>210.8+7.6</f>
        <v>218.4</v>
      </c>
      <c r="Z53" s="16"/>
      <c r="AA53" s="16">
        <v>233.3</v>
      </c>
      <c r="AB53" s="16"/>
      <c r="AC53" s="10" t="s">
        <v>51</v>
      </c>
      <c r="AD53" s="10"/>
      <c r="AE53" s="26" t="s">
        <v>4</v>
      </c>
    </row>
    <row r="54" spans="1:31" ht="24" customHeight="1">
      <c r="A54" s="35" t="s">
        <v>61</v>
      </c>
      <c r="B54" s="10"/>
      <c r="C54" s="11" t="s">
        <v>96</v>
      </c>
      <c r="D54" s="11"/>
      <c r="E54" s="10" t="s">
        <v>61</v>
      </c>
      <c r="F54" s="10"/>
      <c r="G54" s="10" t="s">
        <v>64</v>
      </c>
      <c r="H54" s="10"/>
      <c r="I54" s="10" t="s">
        <v>65</v>
      </c>
      <c r="J54" s="10"/>
      <c r="K54" s="10" t="s">
        <v>66</v>
      </c>
      <c r="L54" s="10"/>
      <c r="M54" s="25" t="s">
        <v>67</v>
      </c>
      <c r="N54" s="10"/>
      <c r="O54" s="10" t="s">
        <v>68</v>
      </c>
      <c r="P54" s="10"/>
      <c r="Q54" s="13">
        <v>48214</v>
      </c>
      <c r="R54" s="13"/>
      <c r="S54" s="13">
        <v>49096</v>
      </c>
      <c r="T54" s="14"/>
      <c r="U54" s="13"/>
      <c r="V54" s="15"/>
      <c r="W54" s="40">
        <v>229400</v>
      </c>
      <c r="X54" s="11"/>
      <c r="Y54" s="16">
        <f>210.8+7.6</f>
        <v>218.4</v>
      </c>
      <c r="Z54" s="16"/>
      <c r="AA54" s="16">
        <v>233.3</v>
      </c>
      <c r="AB54" s="16"/>
      <c r="AC54" s="10" t="s">
        <v>51</v>
      </c>
      <c r="AD54" s="10"/>
      <c r="AE54" s="26" t="s">
        <v>4</v>
      </c>
    </row>
    <row r="55" spans="1:31" ht="24" customHeight="1">
      <c r="A55" s="27" t="s">
        <v>74</v>
      </c>
      <c r="B55" s="28"/>
      <c r="C55" s="29" t="s">
        <v>75</v>
      </c>
      <c r="D55" s="36"/>
      <c r="E55" s="29" t="s">
        <v>75</v>
      </c>
      <c r="F55" s="28"/>
      <c r="G55" s="29" t="s">
        <v>75</v>
      </c>
      <c r="H55" s="28"/>
      <c r="I55" s="29" t="s">
        <v>75</v>
      </c>
      <c r="J55" s="28"/>
      <c r="K55" s="28"/>
      <c r="L55" s="28"/>
      <c r="M55" s="29" t="s">
        <v>75</v>
      </c>
      <c r="N55" s="28"/>
      <c r="O55" s="28"/>
      <c r="P55" s="28"/>
      <c r="Q55" s="29" t="s">
        <v>75</v>
      </c>
      <c r="R55" s="30"/>
      <c r="S55" s="29" t="s">
        <v>75</v>
      </c>
      <c r="T55" s="31"/>
      <c r="U55" s="29" t="s">
        <v>75</v>
      </c>
      <c r="V55" s="32"/>
      <c r="W55" s="42" t="s">
        <v>75</v>
      </c>
      <c r="X55" s="29"/>
      <c r="Y55" s="33">
        <f>Solar_Capacity!$W$36</f>
        <v>-1.8681829538149373</v>
      </c>
      <c r="Z55" s="33"/>
      <c r="AA55" s="37"/>
      <c r="AB55" s="33"/>
      <c r="AC55" s="28"/>
      <c r="AD55" s="28"/>
      <c r="AE55" s="34" t="s">
        <v>7</v>
      </c>
    </row>
    <row r="56" spans="1:31" ht="24" customHeight="1">
      <c r="A56" s="35" t="s">
        <v>90</v>
      </c>
      <c r="B56" s="10"/>
      <c r="C56" s="11"/>
      <c r="D56" s="12"/>
      <c r="E56" s="11"/>
      <c r="F56" s="10"/>
      <c r="G56" s="11"/>
      <c r="H56" s="10"/>
      <c r="I56" s="11"/>
      <c r="J56" s="10"/>
      <c r="K56" s="10"/>
      <c r="L56" s="10"/>
      <c r="M56" s="11"/>
      <c r="N56" s="10"/>
      <c r="O56" s="10"/>
      <c r="P56" s="10"/>
      <c r="Q56" s="11"/>
      <c r="R56" s="13"/>
      <c r="S56" s="51" t="s">
        <v>97</v>
      </c>
      <c r="T56" s="14"/>
      <c r="U56" s="11"/>
      <c r="V56" s="15"/>
      <c r="W56" s="50"/>
      <c r="X56" s="11"/>
      <c r="Y56" s="16">
        <f>-(712+710)</f>
        <v>-1422</v>
      </c>
      <c r="Z56" s="16"/>
      <c r="AA56" s="16">
        <f>-(721+721)</f>
        <v>-1442</v>
      </c>
      <c r="AB56" s="16"/>
      <c r="AC56" s="10" t="s">
        <v>69</v>
      </c>
      <c r="AD56" s="10"/>
      <c r="AE56" s="26"/>
    </row>
    <row r="57" spans="1:31" ht="24" customHeight="1">
      <c r="A57" s="35" t="s">
        <v>61</v>
      </c>
      <c r="B57" s="10"/>
      <c r="C57" s="11">
        <v>2</v>
      </c>
      <c r="D57" s="11"/>
      <c r="E57" s="10" t="s">
        <v>61</v>
      </c>
      <c r="F57" s="10"/>
      <c r="G57" s="10" t="s">
        <v>78</v>
      </c>
      <c r="H57" s="10"/>
      <c r="I57" s="10" t="s">
        <v>65</v>
      </c>
      <c r="J57" s="10"/>
      <c r="K57" s="10" t="s">
        <v>66</v>
      </c>
      <c r="L57" s="10"/>
      <c r="M57" s="25" t="s">
        <v>67</v>
      </c>
      <c r="N57" s="10"/>
      <c r="O57" s="10" t="s">
        <v>68</v>
      </c>
      <c r="P57" s="10"/>
      <c r="Q57" s="13">
        <v>48214</v>
      </c>
      <c r="R57" s="13"/>
      <c r="S57" s="13">
        <v>49461</v>
      </c>
      <c r="T57" s="14"/>
      <c r="U57" s="13"/>
      <c r="V57" s="15"/>
      <c r="W57" s="40">
        <v>1335000</v>
      </c>
      <c r="X57" s="11"/>
      <c r="Y57" s="16">
        <v>1240.5999999999999</v>
      </c>
      <c r="Z57" s="16"/>
      <c r="AA57" s="16">
        <v>1366</v>
      </c>
      <c r="AB57" s="16"/>
      <c r="AC57" s="10" t="s">
        <v>51</v>
      </c>
      <c r="AD57" s="10"/>
      <c r="AE57" s="26" t="s">
        <v>4</v>
      </c>
    </row>
    <row r="58" spans="1:31" ht="24" customHeight="1">
      <c r="A58" s="35" t="s">
        <v>61</v>
      </c>
      <c r="B58" s="10"/>
      <c r="C58" s="11" t="s">
        <v>98</v>
      </c>
      <c r="D58" s="11"/>
      <c r="E58" s="10" t="s">
        <v>61</v>
      </c>
      <c r="F58" s="10"/>
      <c r="G58" s="10" t="s">
        <v>64</v>
      </c>
      <c r="H58" s="10"/>
      <c r="I58" s="10" t="s">
        <v>65</v>
      </c>
      <c r="J58" s="10"/>
      <c r="K58" s="10" t="s">
        <v>66</v>
      </c>
      <c r="L58" s="10"/>
      <c r="M58" s="25" t="s">
        <v>67</v>
      </c>
      <c r="N58" s="10"/>
      <c r="O58" s="10" t="s">
        <v>68</v>
      </c>
      <c r="P58" s="10"/>
      <c r="Q58" s="13">
        <v>48580</v>
      </c>
      <c r="R58" s="13"/>
      <c r="S58" s="13">
        <v>49461</v>
      </c>
      <c r="T58" s="14"/>
      <c r="U58" s="13"/>
      <c r="V58" s="15"/>
      <c r="W58" s="40">
        <v>229400</v>
      </c>
      <c r="X58" s="11"/>
      <c r="Y58" s="16">
        <f>210.8+7.6</f>
        <v>218.4</v>
      </c>
      <c r="Z58" s="16"/>
      <c r="AA58" s="16">
        <v>233.3</v>
      </c>
      <c r="AB58" s="16"/>
      <c r="AC58" s="10" t="s">
        <v>51</v>
      </c>
      <c r="AD58" s="10"/>
      <c r="AE58" s="26"/>
    </row>
    <row r="59" spans="1:31" ht="24" customHeight="1">
      <c r="A59" s="35" t="s">
        <v>61</v>
      </c>
      <c r="B59" s="10"/>
      <c r="C59" s="11" t="s">
        <v>99</v>
      </c>
      <c r="D59" s="11"/>
      <c r="E59" s="10" t="s">
        <v>61</v>
      </c>
      <c r="F59" s="10"/>
      <c r="G59" s="10" t="s">
        <v>64</v>
      </c>
      <c r="H59" s="10"/>
      <c r="I59" s="10" t="s">
        <v>65</v>
      </c>
      <c r="J59" s="10"/>
      <c r="K59" s="10" t="s">
        <v>66</v>
      </c>
      <c r="L59" s="10"/>
      <c r="M59" s="25" t="s">
        <v>67</v>
      </c>
      <c r="N59" s="10"/>
      <c r="O59" s="10" t="s">
        <v>68</v>
      </c>
      <c r="P59" s="10"/>
      <c r="Q59" s="13">
        <v>48580</v>
      </c>
      <c r="R59" s="13"/>
      <c r="S59" s="13">
        <v>49461</v>
      </c>
      <c r="T59" s="14"/>
      <c r="U59" s="13"/>
      <c r="V59" s="15"/>
      <c r="W59" s="40">
        <v>229400</v>
      </c>
      <c r="X59" s="11"/>
      <c r="Y59" s="16">
        <f>210.8+7.6</f>
        <v>218.4</v>
      </c>
      <c r="Z59" s="16"/>
      <c r="AA59" s="16">
        <v>233.3</v>
      </c>
      <c r="AB59" s="16"/>
      <c r="AC59" s="10" t="s">
        <v>51</v>
      </c>
      <c r="AD59" s="10"/>
      <c r="AE59" s="26"/>
    </row>
    <row r="60" spans="1:31" ht="24" customHeight="1">
      <c r="A60" s="27" t="s">
        <v>74</v>
      </c>
      <c r="B60" s="28"/>
      <c r="C60" s="29" t="s">
        <v>75</v>
      </c>
      <c r="D60" s="36"/>
      <c r="E60" s="29" t="s">
        <v>75</v>
      </c>
      <c r="F60" s="28"/>
      <c r="G60" s="29" t="s">
        <v>75</v>
      </c>
      <c r="H60" s="28"/>
      <c r="I60" s="29" t="s">
        <v>75</v>
      </c>
      <c r="J60" s="28"/>
      <c r="K60" s="28"/>
      <c r="L60" s="28"/>
      <c r="M60" s="29" t="s">
        <v>75</v>
      </c>
      <c r="N60" s="28"/>
      <c r="O60" s="28"/>
      <c r="P60" s="28"/>
      <c r="Q60" s="29" t="s">
        <v>75</v>
      </c>
      <c r="R60" s="30"/>
      <c r="S60" s="29" t="s">
        <v>75</v>
      </c>
      <c r="T60" s="31"/>
      <c r="U60" s="29" t="s">
        <v>75</v>
      </c>
      <c r="V60" s="32"/>
      <c r="W60" s="42" t="s">
        <v>75</v>
      </c>
      <c r="X60" s="29"/>
      <c r="Y60" s="33">
        <f>Solar_Capacity!$X$36</f>
        <v>-1.8588420390458964</v>
      </c>
      <c r="Z60" s="33"/>
      <c r="AA60" s="37"/>
      <c r="AB60" s="33"/>
      <c r="AC60" s="28"/>
      <c r="AD60" s="28"/>
      <c r="AE60" s="34" t="s">
        <v>7</v>
      </c>
    </row>
    <row r="61" spans="1:31" ht="24" customHeight="1">
      <c r="A61" s="35" t="s">
        <v>90</v>
      </c>
      <c r="B61" s="10"/>
      <c r="C61" s="11"/>
      <c r="D61" s="12"/>
      <c r="E61" s="11"/>
      <c r="F61" s="10"/>
      <c r="G61" s="11"/>
      <c r="H61" s="10"/>
      <c r="I61" s="10"/>
      <c r="J61" s="10"/>
      <c r="K61" s="10"/>
      <c r="L61" s="10"/>
      <c r="M61" s="25"/>
      <c r="N61" s="10"/>
      <c r="O61" s="10"/>
      <c r="P61" s="10"/>
      <c r="Q61" s="13"/>
      <c r="R61" s="13"/>
      <c r="S61" s="13"/>
      <c r="T61" s="14"/>
      <c r="U61" s="51" t="s">
        <v>100</v>
      </c>
      <c r="V61" s="15"/>
      <c r="W61" s="50"/>
      <c r="X61" s="11"/>
      <c r="Y61" s="16">
        <f>-(79+78+80+75)</f>
        <v>-312</v>
      </c>
      <c r="Z61" s="16"/>
      <c r="AA61" s="16">
        <f>-(99+96+98+95)</f>
        <v>-388</v>
      </c>
      <c r="AB61" s="16"/>
      <c r="AC61" s="10" t="s">
        <v>69</v>
      </c>
      <c r="AD61" s="10"/>
      <c r="AE61" s="26"/>
    </row>
    <row r="62" spans="1:31" ht="24" customHeight="1">
      <c r="A62" s="27" t="s">
        <v>74</v>
      </c>
      <c r="B62" s="28"/>
      <c r="C62" s="29" t="s">
        <v>75</v>
      </c>
      <c r="D62" s="36"/>
      <c r="E62" s="29" t="s">
        <v>75</v>
      </c>
      <c r="F62" s="28"/>
      <c r="G62" s="29" t="s">
        <v>75</v>
      </c>
      <c r="H62" s="28"/>
      <c r="I62" s="29" t="s">
        <v>75</v>
      </c>
      <c r="J62" s="28"/>
      <c r="K62" s="28"/>
      <c r="L62" s="28"/>
      <c r="M62" s="29" t="s">
        <v>75</v>
      </c>
      <c r="N62" s="28"/>
      <c r="O62" s="28"/>
      <c r="P62" s="28"/>
      <c r="Q62" s="29" t="s">
        <v>75</v>
      </c>
      <c r="R62" s="30"/>
      <c r="S62" s="29" t="s">
        <v>75</v>
      </c>
      <c r="T62" s="31"/>
      <c r="U62" s="29" t="s">
        <v>75</v>
      </c>
      <c r="V62" s="32"/>
      <c r="W62" s="42" t="s">
        <v>75</v>
      </c>
      <c r="X62" s="29"/>
      <c r="Y62" s="33">
        <f>Solar_Capacity!$Y$36</f>
        <v>-1.849547828850632</v>
      </c>
      <c r="Z62" s="33"/>
      <c r="AA62" s="37"/>
      <c r="AB62" s="33"/>
      <c r="AC62" s="28"/>
      <c r="AD62" s="28"/>
      <c r="AE62" s="34" t="s">
        <v>7</v>
      </c>
    </row>
    <row r="63" spans="1:31" ht="24" customHeight="1">
      <c r="A63" s="35" t="s">
        <v>61</v>
      </c>
      <c r="B63" s="10"/>
      <c r="C63" s="11" t="s">
        <v>101</v>
      </c>
      <c r="D63" s="11"/>
      <c r="E63" s="10" t="s">
        <v>61</v>
      </c>
      <c r="F63" s="10"/>
      <c r="G63" s="10" t="s">
        <v>64</v>
      </c>
      <c r="H63" s="10"/>
      <c r="I63" s="10" t="s">
        <v>65</v>
      </c>
      <c r="J63" s="10"/>
      <c r="K63" s="10" t="s">
        <v>66</v>
      </c>
      <c r="L63" s="10"/>
      <c r="M63" s="25" t="s">
        <v>67</v>
      </c>
      <c r="N63" s="10"/>
      <c r="O63" s="10" t="s">
        <v>68</v>
      </c>
      <c r="P63" s="10"/>
      <c r="Q63" s="13">
        <v>49310</v>
      </c>
      <c r="R63" s="13"/>
      <c r="S63" s="13">
        <v>50192</v>
      </c>
      <c r="T63" s="14"/>
      <c r="U63" s="13"/>
      <c r="V63" s="15"/>
      <c r="W63" s="40">
        <v>229400</v>
      </c>
      <c r="X63" s="11"/>
      <c r="Y63" s="16">
        <f>210.8+7.6</f>
        <v>218.4</v>
      </c>
      <c r="Z63" s="16"/>
      <c r="AA63" s="16">
        <v>233.3</v>
      </c>
      <c r="AB63" s="16"/>
      <c r="AC63" s="10" t="s">
        <v>51</v>
      </c>
      <c r="AD63" s="10"/>
      <c r="AE63" s="26" t="s">
        <v>4</v>
      </c>
    </row>
    <row r="64" spans="1:31" ht="24" customHeight="1">
      <c r="A64" s="27" t="s">
        <v>74</v>
      </c>
      <c r="B64" s="28"/>
      <c r="C64" s="29" t="s">
        <v>75</v>
      </c>
      <c r="D64" s="36"/>
      <c r="E64" s="29" t="s">
        <v>75</v>
      </c>
      <c r="F64" s="28"/>
      <c r="G64" s="29" t="s">
        <v>75</v>
      </c>
      <c r="H64" s="28"/>
      <c r="I64" s="29" t="s">
        <v>75</v>
      </c>
      <c r="J64" s="28"/>
      <c r="K64" s="28"/>
      <c r="L64" s="28"/>
      <c r="M64" s="29" t="s">
        <v>75</v>
      </c>
      <c r="N64" s="28"/>
      <c r="O64" s="28"/>
      <c r="P64" s="28"/>
      <c r="Q64" s="29" t="s">
        <v>75</v>
      </c>
      <c r="R64" s="30"/>
      <c r="S64" s="29" t="s">
        <v>75</v>
      </c>
      <c r="T64" s="31"/>
      <c r="U64" s="29" t="s">
        <v>75</v>
      </c>
      <c r="V64" s="32"/>
      <c r="W64" s="42" t="s">
        <v>75</v>
      </c>
      <c r="X64" s="29"/>
      <c r="Y64" s="33">
        <f>Solar_Capacity!$Z$36</f>
        <v>-1.8403000897065454</v>
      </c>
      <c r="Z64" s="33"/>
      <c r="AA64" s="37"/>
      <c r="AB64" s="33"/>
      <c r="AC64" s="28"/>
      <c r="AD64" s="28"/>
      <c r="AE64" s="34" t="s">
        <v>7</v>
      </c>
    </row>
    <row r="65" spans="1:32" ht="24" customHeight="1">
      <c r="A65" s="35" t="s">
        <v>90</v>
      </c>
      <c r="B65" s="10"/>
      <c r="C65" s="11"/>
      <c r="D65" s="12"/>
      <c r="E65" s="11"/>
      <c r="F65" s="10"/>
      <c r="G65" s="10"/>
      <c r="H65" s="10"/>
      <c r="I65" s="10"/>
      <c r="J65" s="10"/>
      <c r="K65" s="10"/>
      <c r="L65" s="10"/>
      <c r="M65" s="25"/>
      <c r="N65" s="10"/>
      <c r="O65" s="10"/>
      <c r="P65" s="10"/>
      <c r="Q65" s="13"/>
      <c r="R65" s="13"/>
      <c r="S65" s="13"/>
      <c r="T65" s="14"/>
      <c r="U65" s="13">
        <v>50557</v>
      </c>
      <c r="V65" s="15"/>
      <c r="W65" s="11"/>
      <c r="X65" s="11"/>
      <c r="Y65" s="16">
        <f>-(78+79+79+78)</f>
        <v>-314</v>
      </c>
      <c r="Z65" s="16"/>
      <c r="AA65" s="16">
        <f>-(95+96+96+96)</f>
        <v>-383</v>
      </c>
      <c r="AB65" s="16"/>
      <c r="AC65" s="10" t="s">
        <v>69</v>
      </c>
      <c r="AD65" s="10"/>
      <c r="AE65" s="26" t="s">
        <v>4</v>
      </c>
      <c r="AF65" s="65"/>
    </row>
    <row r="66" spans="1:32" ht="24" customHeight="1">
      <c r="A66" s="35" t="s">
        <v>61</v>
      </c>
      <c r="B66" s="10"/>
      <c r="C66" s="11" t="s">
        <v>102</v>
      </c>
      <c r="D66" s="11"/>
      <c r="E66" s="10" t="s">
        <v>61</v>
      </c>
      <c r="F66" s="10"/>
      <c r="G66" s="10" t="s">
        <v>64</v>
      </c>
      <c r="H66" s="10"/>
      <c r="I66" s="10" t="s">
        <v>65</v>
      </c>
      <c r="J66" s="10"/>
      <c r="K66" s="10" t="s">
        <v>66</v>
      </c>
      <c r="L66" s="10"/>
      <c r="M66" s="25" t="s">
        <v>67</v>
      </c>
      <c r="N66" s="10"/>
      <c r="O66" s="10" t="s">
        <v>68</v>
      </c>
      <c r="P66" s="10"/>
      <c r="Q66" s="13">
        <v>49675</v>
      </c>
      <c r="R66" s="13"/>
      <c r="S66" s="13">
        <v>50557</v>
      </c>
      <c r="T66" s="14"/>
      <c r="U66" s="13"/>
      <c r="V66" s="15"/>
      <c r="W66" s="40">
        <v>229400</v>
      </c>
      <c r="X66" s="11"/>
      <c r="Y66" s="16">
        <f>210.8+7.6</f>
        <v>218.4</v>
      </c>
      <c r="Z66" s="16"/>
      <c r="AA66" s="16">
        <v>233.3</v>
      </c>
      <c r="AB66" s="16"/>
      <c r="AC66" s="10" t="s">
        <v>51</v>
      </c>
      <c r="AD66" s="10"/>
      <c r="AE66" s="26" t="s">
        <v>4</v>
      </c>
    </row>
    <row r="67" spans="1:32" ht="24" customHeight="1">
      <c r="A67" s="35" t="s">
        <v>61</v>
      </c>
      <c r="B67" s="10"/>
      <c r="C67" s="11" t="s">
        <v>103</v>
      </c>
      <c r="D67" s="11"/>
      <c r="E67" s="10" t="s">
        <v>61</v>
      </c>
      <c r="F67" s="10"/>
      <c r="G67" s="10" t="s">
        <v>64</v>
      </c>
      <c r="H67" s="10"/>
      <c r="I67" s="10" t="s">
        <v>65</v>
      </c>
      <c r="J67" s="10"/>
      <c r="K67" s="10" t="s">
        <v>66</v>
      </c>
      <c r="L67" s="10"/>
      <c r="M67" s="25" t="s">
        <v>67</v>
      </c>
      <c r="N67" s="10"/>
      <c r="O67" s="10" t="s">
        <v>68</v>
      </c>
      <c r="P67" s="10"/>
      <c r="Q67" s="13">
        <v>49675</v>
      </c>
      <c r="R67" s="13"/>
      <c r="S67" s="13">
        <v>50557</v>
      </c>
      <c r="T67" s="14"/>
      <c r="U67" s="13"/>
      <c r="V67" s="15"/>
      <c r="W67" s="40">
        <v>229400</v>
      </c>
      <c r="X67" s="11"/>
      <c r="Y67" s="16">
        <f>210.8+7.6</f>
        <v>218.4</v>
      </c>
      <c r="Z67" s="16"/>
      <c r="AA67" s="16">
        <v>233.3</v>
      </c>
      <c r="AB67" s="16"/>
      <c r="AC67" s="10" t="s">
        <v>51</v>
      </c>
      <c r="AD67" s="10"/>
      <c r="AE67" s="26"/>
    </row>
    <row r="68" spans="1:32" ht="24" customHeight="1">
      <c r="A68" s="27" t="s">
        <v>74</v>
      </c>
      <c r="B68" s="28"/>
      <c r="C68" s="29" t="s">
        <v>75</v>
      </c>
      <c r="D68" s="36"/>
      <c r="E68" s="29" t="s">
        <v>75</v>
      </c>
      <c r="F68" s="28"/>
      <c r="G68" s="29" t="s">
        <v>75</v>
      </c>
      <c r="H68" s="28"/>
      <c r="I68" s="29" t="s">
        <v>75</v>
      </c>
      <c r="J68" s="28"/>
      <c r="K68" s="28"/>
      <c r="L68" s="28"/>
      <c r="M68" s="29" t="s">
        <v>75</v>
      </c>
      <c r="N68" s="28"/>
      <c r="O68" s="28"/>
      <c r="P68" s="28"/>
      <c r="Q68" s="29" t="s">
        <v>75</v>
      </c>
      <c r="R68" s="30"/>
      <c r="S68" s="29" t="s">
        <v>75</v>
      </c>
      <c r="T68" s="31"/>
      <c r="U68" s="29" t="s">
        <v>75</v>
      </c>
      <c r="V68" s="32"/>
      <c r="W68" s="42" t="s">
        <v>75</v>
      </c>
      <c r="X68" s="29"/>
      <c r="Y68" s="33">
        <f>Solar_Capacity!$AA$36</f>
        <v>-1.8310985892578628</v>
      </c>
      <c r="Z68" s="33"/>
      <c r="AA68" s="37"/>
      <c r="AB68" s="33"/>
      <c r="AC68" s="28"/>
      <c r="AD68" s="28"/>
      <c r="AE68" s="34" t="s">
        <v>7</v>
      </c>
    </row>
    <row r="69" spans="1:32" ht="24" customHeight="1">
      <c r="A69" s="27" t="s">
        <v>74</v>
      </c>
      <c r="B69" s="28"/>
      <c r="C69" s="29" t="s">
        <v>75</v>
      </c>
      <c r="D69" s="36"/>
      <c r="E69" s="29" t="s">
        <v>75</v>
      </c>
      <c r="F69" s="28"/>
      <c r="G69" s="29" t="s">
        <v>75</v>
      </c>
      <c r="H69" s="28"/>
      <c r="I69" s="29" t="s">
        <v>75</v>
      </c>
      <c r="J69" s="28"/>
      <c r="K69" s="28"/>
      <c r="L69" s="28"/>
      <c r="M69" s="29" t="s">
        <v>75</v>
      </c>
      <c r="N69" s="28"/>
      <c r="O69" s="28"/>
      <c r="P69" s="28"/>
      <c r="Q69" s="29" t="s">
        <v>75</v>
      </c>
      <c r="R69" s="30"/>
      <c r="S69" s="29" t="s">
        <v>75</v>
      </c>
      <c r="T69" s="31"/>
      <c r="U69" s="29" t="s">
        <v>75</v>
      </c>
      <c r="V69" s="32"/>
      <c r="W69" s="42" t="s">
        <v>75</v>
      </c>
      <c r="X69" s="29"/>
      <c r="Y69" s="33">
        <f>Solar_Capacity!$AB$36</f>
        <v>-1.8219430963115428</v>
      </c>
      <c r="Z69" s="33"/>
      <c r="AA69" s="37"/>
      <c r="AB69" s="33"/>
      <c r="AC69" s="28"/>
      <c r="AD69" s="28"/>
      <c r="AE69" s="34" t="s">
        <v>7</v>
      </c>
    </row>
    <row r="70" spans="1:32" ht="24" customHeight="1">
      <c r="A70" s="35" t="s">
        <v>61</v>
      </c>
      <c r="B70" s="10"/>
      <c r="C70" s="11" t="s">
        <v>104</v>
      </c>
      <c r="D70" s="11"/>
      <c r="E70" s="10" t="s">
        <v>61</v>
      </c>
      <c r="F70" s="10"/>
      <c r="G70" s="10" t="s">
        <v>64</v>
      </c>
      <c r="H70" s="10"/>
      <c r="I70" s="10" t="s">
        <v>65</v>
      </c>
      <c r="J70" s="10"/>
      <c r="K70" s="10" t="s">
        <v>66</v>
      </c>
      <c r="L70" s="10"/>
      <c r="M70" s="25" t="s">
        <v>67</v>
      </c>
      <c r="N70" s="10"/>
      <c r="O70" s="10" t="s">
        <v>68</v>
      </c>
      <c r="P70" s="10"/>
      <c r="Q70" s="13">
        <v>50406</v>
      </c>
      <c r="R70" s="13"/>
      <c r="S70" s="13">
        <v>51288</v>
      </c>
      <c r="T70" s="14"/>
      <c r="U70" s="13"/>
      <c r="V70" s="15"/>
      <c r="W70" s="40">
        <v>229400</v>
      </c>
      <c r="X70" s="11"/>
      <c r="Y70" s="16">
        <f>210.8+7.6</f>
        <v>218.4</v>
      </c>
      <c r="Z70" s="16"/>
      <c r="AA70" s="16">
        <v>233.3</v>
      </c>
      <c r="AB70" s="16"/>
      <c r="AC70" s="10" t="s">
        <v>51</v>
      </c>
      <c r="AD70" s="10"/>
      <c r="AE70" s="26" t="s">
        <v>4</v>
      </c>
    </row>
    <row r="71" spans="1:32" ht="24" customHeight="1">
      <c r="A71" s="27" t="s">
        <v>74</v>
      </c>
      <c r="B71" s="28"/>
      <c r="C71" s="29" t="s">
        <v>75</v>
      </c>
      <c r="D71" s="36"/>
      <c r="E71" s="29" t="s">
        <v>75</v>
      </c>
      <c r="F71" s="28"/>
      <c r="G71" s="29" t="s">
        <v>75</v>
      </c>
      <c r="H71" s="28"/>
      <c r="I71" s="29" t="s">
        <v>75</v>
      </c>
      <c r="J71" s="28"/>
      <c r="K71" s="28"/>
      <c r="L71" s="28"/>
      <c r="M71" s="29" t="s">
        <v>75</v>
      </c>
      <c r="N71" s="28"/>
      <c r="O71" s="28"/>
      <c r="P71" s="28"/>
      <c r="Q71" s="29" t="s">
        <v>75</v>
      </c>
      <c r="R71" s="30"/>
      <c r="S71" s="29" t="s">
        <v>75</v>
      </c>
      <c r="T71" s="31"/>
      <c r="U71" s="29" t="s">
        <v>75</v>
      </c>
      <c r="V71" s="32"/>
      <c r="W71" s="42" t="s">
        <v>75</v>
      </c>
      <c r="X71" s="29"/>
      <c r="Y71" s="33">
        <f>Solar_Capacity!$AC$36</f>
        <v>-1.8128333808299999</v>
      </c>
      <c r="Z71" s="33"/>
      <c r="AA71" s="37"/>
      <c r="AB71" s="33"/>
      <c r="AC71" s="28"/>
      <c r="AD71" s="28"/>
      <c r="AE71" s="34" t="s">
        <v>7</v>
      </c>
    </row>
    <row r="72" spans="1:32" ht="24" customHeight="1">
      <c r="A72" s="35" t="s">
        <v>61</v>
      </c>
      <c r="B72" s="10"/>
      <c r="C72" s="11" t="s">
        <v>105</v>
      </c>
      <c r="D72" s="11"/>
      <c r="E72" s="10" t="s">
        <v>61</v>
      </c>
      <c r="F72" s="10"/>
      <c r="G72" s="10" t="s">
        <v>64</v>
      </c>
      <c r="H72" s="10"/>
      <c r="I72" s="10" t="s">
        <v>65</v>
      </c>
      <c r="J72" s="10"/>
      <c r="K72" s="10" t="s">
        <v>66</v>
      </c>
      <c r="L72" s="10"/>
      <c r="M72" s="25" t="s">
        <v>67</v>
      </c>
      <c r="N72" s="10"/>
      <c r="O72" s="10" t="s">
        <v>68</v>
      </c>
      <c r="P72" s="10"/>
      <c r="Q72" s="13">
        <v>50771</v>
      </c>
      <c r="R72" s="13"/>
      <c r="S72" s="13">
        <v>51653</v>
      </c>
      <c r="T72" s="14"/>
      <c r="U72" s="13"/>
      <c r="V72" s="15"/>
      <c r="W72" s="40">
        <v>229400</v>
      </c>
      <c r="X72" s="11"/>
      <c r="Y72" s="16">
        <f>210.8+7.6</f>
        <v>218.4</v>
      </c>
      <c r="Z72" s="16"/>
      <c r="AA72" s="16">
        <v>233.3</v>
      </c>
      <c r="AB72" s="16"/>
      <c r="AC72" s="10" t="s">
        <v>51</v>
      </c>
      <c r="AD72" s="10"/>
      <c r="AE72" s="26" t="s">
        <v>4</v>
      </c>
    </row>
    <row r="73" spans="1:32" ht="24" customHeight="1">
      <c r="A73" s="27" t="s">
        <v>74</v>
      </c>
      <c r="B73" s="28"/>
      <c r="C73" s="29" t="s">
        <v>75</v>
      </c>
      <c r="D73" s="36"/>
      <c r="E73" s="29" t="s">
        <v>75</v>
      </c>
      <c r="F73" s="28"/>
      <c r="G73" s="29" t="s">
        <v>75</v>
      </c>
      <c r="H73" s="28"/>
      <c r="I73" s="29" t="s">
        <v>75</v>
      </c>
      <c r="J73" s="28"/>
      <c r="K73" s="28"/>
      <c r="L73" s="28"/>
      <c r="M73" s="29" t="s">
        <v>75</v>
      </c>
      <c r="N73" s="28"/>
      <c r="O73" s="28"/>
      <c r="P73" s="28"/>
      <c r="Q73" s="29" t="s">
        <v>75</v>
      </c>
      <c r="R73" s="30"/>
      <c r="S73" s="29" t="s">
        <v>75</v>
      </c>
      <c r="T73" s="31"/>
      <c r="U73" s="29" t="s">
        <v>75</v>
      </c>
      <c r="V73" s="32"/>
      <c r="W73" s="42" t="s">
        <v>75</v>
      </c>
      <c r="X73" s="29"/>
      <c r="Y73" s="33">
        <f>Solar_Capacity!$AD$36</f>
        <v>-1.803769213925932</v>
      </c>
      <c r="Z73" s="33"/>
      <c r="AA73" s="37"/>
      <c r="AB73" s="33"/>
      <c r="AC73" s="28"/>
      <c r="AD73" s="28"/>
      <c r="AE73" s="34" t="s">
        <v>7</v>
      </c>
    </row>
    <row r="74" spans="1:32" ht="24" customHeight="1">
      <c r="A74" s="27" t="s">
        <v>74</v>
      </c>
      <c r="B74" s="28"/>
      <c r="C74" s="29" t="s">
        <v>75</v>
      </c>
      <c r="D74" s="36"/>
      <c r="E74" s="29" t="s">
        <v>75</v>
      </c>
      <c r="F74" s="28"/>
      <c r="G74" s="29" t="s">
        <v>75</v>
      </c>
      <c r="H74" s="28"/>
      <c r="I74" s="29" t="s">
        <v>75</v>
      </c>
      <c r="J74" s="28"/>
      <c r="K74" s="28"/>
      <c r="L74" s="28"/>
      <c r="M74" s="29" t="s">
        <v>75</v>
      </c>
      <c r="N74" s="28"/>
      <c r="O74" s="28"/>
      <c r="P74" s="28"/>
      <c r="Q74" s="29" t="s">
        <v>75</v>
      </c>
      <c r="R74" s="30"/>
      <c r="S74" s="29" t="s">
        <v>75</v>
      </c>
      <c r="T74" s="31"/>
      <c r="U74" s="29" t="s">
        <v>75</v>
      </c>
      <c r="V74" s="32"/>
      <c r="W74" s="42" t="s">
        <v>75</v>
      </c>
      <c r="X74" s="29"/>
      <c r="Y74" s="33">
        <f>Solar_Capacity!$AE$36</f>
        <v>-1.7947503678562384</v>
      </c>
      <c r="Z74" s="33"/>
      <c r="AA74" s="37"/>
      <c r="AB74" s="33"/>
      <c r="AC74" s="28"/>
      <c r="AD74" s="28"/>
      <c r="AE74" s="34" t="s">
        <v>7</v>
      </c>
    </row>
    <row r="75" spans="1:32" ht="24" customHeight="1">
      <c r="A75" s="35" t="s">
        <v>61</v>
      </c>
      <c r="B75" s="10"/>
      <c r="C75" s="11" t="s">
        <v>106</v>
      </c>
      <c r="D75" s="11"/>
      <c r="E75" s="10" t="s">
        <v>61</v>
      </c>
      <c r="F75" s="10"/>
      <c r="G75" s="10" t="s">
        <v>64</v>
      </c>
      <c r="H75" s="10"/>
      <c r="I75" s="10" t="s">
        <v>65</v>
      </c>
      <c r="J75" s="10"/>
      <c r="K75" s="10" t="s">
        <v>66</v>
      </c>
      <c r="L75" s="10"/>
      <c r="M75" s="25" t="s">
        <v>67</v>
      </c>
      <c r="N75" s="10"/>
      <c r="O75" s="10" t="s">
        <v>68</v>
      </c>
      <c r="P75" s="10"/>
      <c r="Q75" s="13">
        <v>51502</v>
      </c>
      <c r="R75" s="13"/>
      <c r="S75" s="13">
        <v>52383</v>
      </c>
      <c r="T75" s="14"/>
      <c r="U75" s="13"/>
      <c r="V75" s="15"/>
      <c r="W75" s="40">
        <v>229400</v>
      </c>
      <c r="X75" s="11"/>
      <c r="Y75" s="16">
        <f>210.8+7.6</f>
        <v>218.4</v>
      </c>
      <c r="Z75" s="16"/>
      <c r="AA75" s="16">
        <v>233.3</v>
      </c>
      <c r="AB75" s="16"/>
      <c r="AC75" s="10" t="s">
        <v>51</v>
      </c>
      <c r="AD75" s="10"/>
      <c r="AE75" s="26" t="s">
        <v>4</v>
      </c>
    </row>
    <row r="76" spans="1:32" ht="24" customHeight="1">
      <c r="A76" s="27" t="s">
        <v>74</v>
      </c>
      <c r="B76" s="28"/>
      <c r="C76" s="29" t="s">
        <v>75</v>
      </c>
      <c r="D76" s="36"/>
      <c r="E76" s="29" t="s">
        <v>75</v>
      </c>
      <c r="F76" s="28"/>
      <c r="G76" s="29" t="s">
        <v>75</v>
      </c>
      <c r="H76" s="28"/>
      <c r="I76" s="29" t="s">
        <v>75</v>
      </c>
      <c r="J76" s="28"/>
      <c r="K76" s="28"/>
      <c r="L76" s="28"/>
      <c r="M76" s="29" t="s">
        <v>75</v>
      </c>
      <c r="N76" s="28"/>
      <c r="O76" s="28"/>
      <c r="P76" s="28"/>
      <c r="Q76" s="29" t="s">
        <v>75</v>
      </c>
      <c r="R76" s="30"/>
      <c r="S76" s="29" t="s">
        <v>75</v>
      </c>
      <c r="T76" s="31"/>
      <c r="U76" s="29" t="s">
        <v>75</v>
      </c>
      <c r="V76" s="32"/>
      <c r="W76" s="42" t="s">
        <v>75</v>
      </c>
      <c r="X76" s="29"/>
      <c r="Y76" s="33">
        <f>Solar_Capacity!$AF$36</f>
        <v>-1.7857766160170172</v>
      </c>
      <c r="Z76" s="33"/>
      <c r="AA76" s="37"/>
      <c r="AB76" s="33"/>
      <c r="AC76" s="28"/>
      <c r="AD76" s="28"/>
      <c r="AE76" s="34" t="s">
        <v>7</v>
      </c>
    </row>
    <row r="77" spans="1:32" ht="24" customHeight="1">
      <c r="A77" s="10"/>
      <c r="B77" s="10"/>
      <c r="C77" s="11"/>
      <c r="D77" s="12"/>
      <c r="E77" s="11"/>
      <c r="F77" s="10"/>
      <c r="G77" s="11"/>
      <c r="H77" s="10"/>
      <c r="I77" s="11"/>
      <c r="J77" s="10"/>
      <c r="K77" s="10"/>
      <c r="L77" s="10"/>
      <c r="M77" s="11"/>
      <c r="N77" s="10"/>
      <c r="O77" s="10"/>
      <c r="P77" s="10"/>
      <c r="Q77" s="11"/>
      <c r="R77" s="13"/>
      <c r="S77" s="11"/>
      <c r="T77" s="14"/>
      <c r="U77" s="11"/>
      <c r="V77" s="15"/>
      <c r="W77" s="50"/>
      <c r="X77" s="11"/>
      <c r="Y77" s="16"/>
      <c r="Z77" s="16"/>
      <c r="AA77" s="60"/>
      <c r="AB77" s="16"/>
      <c r="AC77" s="10"/>
      <c r="AD77" s="10"/>
      <c r="AE77" s="61"/>
    </row>
    <row r="78" spans="1:32" ht="12.75" customHeight="1">
      <c r="A78" s="6"/>
      <c r="B78" s="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1"/>
      <c r="AE78" s="6"/>
    </row>
    <row r="79" spans="1:32" ht="12.75" customHeight="1">
      <c r="A79" s="6"/>
      <c r="B79" s="6"/>
      <c r="C79" s="76" t="s">
        <v>107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1"/>
      <c r="AE79" s="6"/>
    </row>
    <row r="80" spans="1:32" ht="12.75" customHeight="1">
      <c r="C80" s="77" t="s">
        <v>108</v>
      </c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2"/>
      <c r="AE80" s="68"/>
    </row>
    <row r="81" spans="3:31" ht="12.75">
      <c r="C81" s="9" t="s">
        <v>4</v>
      </c>
      <c r="D81" s="7"/>
      <c r="E81" s="73" t="s">
        <v>109</v>
      </c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8"/>
      <c r="AE81" s="8"/>
    </row>
    <row r="82" spans="3:31" ht="12.75" customHeight="1">
      <c r="C82" s="9" t="s">
        <v>5</v>
      </c>
      <c r="D82" s="7"/>
      <c r="E82" s="73" t="s">
        <v>110</v>
      </c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0"/>
      <c r="AA82" s="70"/>
      <c r="AB82" s="70"/>
      <c r="AC82" s="70"/>
    </row>
    <row r="83" spans="3:31" ht="12.75" customHeight="1">
      <c r="C83" s="9" t="s">
        <v>6</v>
      </c>
      <c r="D83" s="7"/>
      <c r="E83" s="73" t="s">
        <v>111</v>
      </c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</row>
    <row r="84" spans="3:31" ht="12.75" customHeight="1">
      <c r="C84" s="9"/>
      <c r="D84" s="7"/>
      <c r="E84" s="73" t="s">
        <v>112</v>
      </c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</row>
    <row r="85" spans="3:31" ht="12.75" customHeight="1">
      <c r="C85" s="9" t="s">
        <v>7</v>
      </c>
      <c r="D85" s="7"/>
      <c r="E85" s="73" t="s">
        <v>113</v>
      </c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0"/>
      <c r="AA85" s="70"/>
      <c r="AB85" s="70"/>
      <c r="AC85" s="70"/>
    </row>
    <row r="86" spans="3:31" ht="12.75" customHeight="1">
      <c r="C86" s="9" t="s">
        <v>8</v>
      </c>
      <c r="D86" s="7"/>
      <c r="E86" s="73" t="s">
        <v>114</v>
      </c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0"/>
      <c r="AA86" s="70"/>
      <c r="AB86" s="70"/>
      <c r="AC86" s="70"/>
    </row>
    <row r="87" spans="3:31" ht="13.15" customHeight="1">
      <c r="S87" s="2"/>
      <c r="T87" s="2"/>
      <c r="U87" s="2"/>
      <c r="V87" s="2"/>
      <c r="W87" s="2"/>
      <c r="X87" s="2"/>
    </row>
  </sheetData>
  <mergeCells count="17">
    <mergeCell ref="A3:AE3"/>
    <mergeCell ref="A4:AE4"/>
    <mergeCell ref="A5:AE5"/>
    <mergeCell ref="A6:AE6"/>
    <mergeCell ref="Y10:AA10"/>
    <mergeCell ref="E83:AD83"/>
    <mergeCell ref="E84:AD84"/>
    <mergeCell ref="E86:Y86"/>
    <mergeCell ref="E85:Y85"/>
    <mergeCell ref="Y9:AA9"/>
    <mergeCell ref="E82:Y82"/>
    <mergeCell ref="E81:AC81"/>
    <mergeCell ref="I11:K11"/>
    <mergeCell ref="M11:O11"/>
    <mergeCell ref="C78:AC78"/>
    <mergeCell ref="C79:AC79"/>
    <mergeCell ref="C80:AC80"/>
  </mergeCells>
  <printOptions horizontalCentered="1"/>
  <pageMargins left="0.25" right="0.25" top="0.75" bottom="0.75" header="0.3" footer="0.3"/>
  <pageSetup scale="54" fitToWidth="3" fitToHeight="2" orientation="landscape" r:id="rId1"/>
  <headerFooter alignWithMargins="0"/>
  <ignoredErrors>
    <ignoredError sqref="W10 A10 C10 E10 G10 I10 K10 M10 O10 Q10 S10 U10 AE10 Y8 AA10 AC10 AC8 AA8 AE8 U8 S8 Q8 O8 M8 E8 C8 A8 W8 G8:K8 AE14:AE22 AE23:AE24 C81:C82 C83:C86 AE26 AE28:AE29 AE27 AE31:AE32 AE33 AE41 AE42 AE30" numberStoredAsText="1"/>
    <ignoredError sqref="W14:AA14 W18:AA19 W23:W24 Y23:AA24 X13:AA13 X15:AA15 X16:AA16 W33 X30 Y25:AD25 W25:X26 W41 W32 W30 Y20:AA21 Y31:AA31 Y34:AA35 Y36:Y37 AA36:AA37 W27:X27 W28:X29" unlockedFormula="1"/>
    <ignoredError sqref="W15 AB29:AD29 Y30:AD30 Y28:AD28 Y27:AD27 Y26:AD26 Z29:AA29 Y29 Y32:AA32 Y41 Y33:Z33 Y42 Z36:Z37" formula="1" unlockedFormula="1"/>
    <ignoredError sqref="AE25" numberStoredAsText="1" unlockedFormula="1"/>
    <ignoredError sqref="AE36:AE37" numberStoredAsText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120" zoomScaleNormal="120" workbookViewId="0">
      <selection sqref="A1:XFD1048576"/>
    </sheetView>
  </sheetViews>
  <sheetFormatPr defaultRowHeight="12"/>
  <cols>
    <col min="1" max="1" width="31.125" style="87" bestFit="1" customWidth="1"/>
    <col min="2" max="3" width="9" style="87"/>
    <col min="4" max="4" width="14.875" style="87" customWidth="1"/>
    <col min="5" max="32" width="9.75" style="87" customWidth="1"/>
    <col min="33" max="16384" width="9" style="87"/>
  </cols>
  <sheetData>
    <row r="1" spans="1:32">
      <c r="A1" s="79" t="s">
        <v>115</v>
      </c>
      <c r="B1" s="80"/>
      <c r="C1" s="81" t="s">
        <v>116</v>
      </c>
      <c r="D1" s="82">
        <f>0.5/100</f>
        <v>5.0000000000000001E-3</v>
      </c>
      <c r="E1" s="83">
        <v>42583</v>
      </c>
      <c r="F1" s="83">
        <v>42948</v>
      </c>
      <c r="G1" s="83">
        <v>43313</v>
      </c>
      <c r="H1" s="83">
        <v>43678</v>
      </c>
      <c r="I1" s="83">
        <v>44044</v>
      </c>
      <c r="J1" s="83">
        <v>44409</v>
      </c>
      <c r="K1" s="83">
        <v>44774</v>
      </c>
      <c r="L1" s="83">
        <v>45139</v>
      </c>
      <c r="M1" s="83">
        <v>45505</v>
      </c>
      <c r="N1" s="83">
        <v>45870</v>
      </c>
      <c r="O1" s="83">
        <v>46235</v>
      </c>
      <c r="P1" s="83">
        <v>46600</v>
      </c>
      <c r="Q1" s="83">
        <v>46966</v>
      </c>
      <c r="R1" s="84">
        <v>47331</v>
      </c>
      <c r="S1" s="85">
        <v>47696</v>
      </c>
      <c r="T1" s="85">
        <v>48061</v>
      </c>
      <c r="U1" s="85">
        <v>48427</v>
      </c>
      <c r="V1" s="85">
        <v>48792</v>
      </c>
      <c r="W1" s="85">
        <v>49157</v>
      </c>
      <c r="X1" s="85" t="s">
        <v>117</v>
      </c>
      <c r="Y1" s="85">
        <v>49888</v>
      </c>
      <c r="Z1" s="85">
        <v>50253</v>
      </c>
      <c r="AA1" s="85">
        <v>50618</v>
      </c>
      <c r="AB1" s="85">
        <v>50983</v>
      </c>
      <c r="AC1" s="85">
        <v>51349</v>
      </c>
      <c r="AD1" s="85">
        <v>51714</v>
      </c>
      <c r="AE1" s="85">
        <v>52079</v>
      </c>
      <c r="AF1" s="86">
        <v>52444</v>
      </c>
    </row>
    <row r="2" spans="1:32">
      <c r="A2" s="88" t="s">
        <v>118</v>
      </c>
      <c r="B2" s="89">
        <v>3.8</v>
      </c>
      <c r="C2" s="89">
        <f>B2*0.45</f>
        <v>1.71</v>
      </c>
      <c r="D2" s="90">
        <v>42502</v>
      </c>
      <c r="E2" s="91">
        <f>C2</f>
        <v>1.71</v>
      </c>
      <c r="F2" s="92">
        <f t="shared" ref="F2:Q2" si="0">E2*(1-$D$1)</f>
        <v>1.7014499999999999</v>
      </c>
      <c r="G2" s="92">
        <f t="shared" si="0"/>
        <v>1.6929427499999998</v>
      </c>
      <c r="H2" s="92">
        <f t="shared" si="0"/>
        <v>1.6844780362499998</v>
      </c>
      <c r="I2" s="92">
        <f t="shared" si="0"/>
        <v>1.6760556460687499</v>
      </c>
      <c r="J2" s="92">
        <f t="shared" si="0"/>
        <v>1.6676753678384062</v>
      </c>
      <c r="K2" s="92">
        <f t="shared" si="0"/>
        <v>1.6593369909992142</v>
      </c>
      <c r="L2" s="92">
        <f t="shared" si="0"/>
        <v>1.651040306044218</v>
      </c>
      <c r="M2" s="92">
        <f t="shared" si="0"/>
        <v>1.642785104513997</v>
      </c>
      <c r="N2" s="92">
        <f t="shared" si="0"/>
        <v>1.634571178991427</v>
      </c>
      <c r="O2" s="92">
        <f t="shared" si="0"/>
        <v>1.6263983230964698</v>
      </c>
      <c r="P2" s="92">
        <f t="shared" si="0"/>
        <v>1.6182663314809875</v>
      </c>
      <c r="Q2" s="92">
        <f t="shared" si="0"/>
        <v>1.6101749998235826</v>
      </c>
      <c r="R2" s="55">
        <f t="shared" ref="R2:R4" si="1">Q2*(1-$D$1)</f>
        <v>1.6021241248244646</v>
      </c>
      <c r="S2" s="43">
        <f t="shared" ref="S2:S4" si="2">R2*(1-$D$1)</f>
        <v>1.5941135042003423</v>
      </c>
      <c r="T2" s="43">
        <f t="shared" ref="T2:T4" si="3">S2*(1-$D$1)</f>
        <v>1.5861429366793405</v>
      </c>
      <c r="U2" s="43">
        <f t="shared" ref="U2:U4" si="4">T2*(1-$D$1)</f>
        <v>1.5782122219959438</v>
      </c>
      <c r="V2" s="43">
        <f t="shared" ref="V2:V4" si="5">U2*(1-$D$1)</f>
        <v>1.570321160885964</v>
      </c>
      <c r="W2" s="43">
        <f t="shared" ref="W2:W4" si="6">V2*(1-$D$1)</f>
        <v>1.5624695550815342</v>
      </c>
      <c r="X2" s="43">
        <f t="shared" ref="X2:X4" si="7">W2*(1-$D$1)</f>
        <v>1.5546572073061264</v>
      </c>
      <c r="Y2" s="43">
        <f t="shared" ref="Y2:Y4" si="8">X2*(1-$D$1)</f>
        <v>1.5468839212695957</v>
      </c>
      <c r="Z2" s="43">
        <f t="shared" ref="Z2:Z4" si="9">Y2*(1-$D$1)</f>
        <v>1.5391495016632477</v>
      </c>
      <c r="AA2" s="43">
        <f t="shared" ref="AA2:AA4" si="10">Z2*(1-$D$1)</f>
        <v>1.5314537541549316</v>
      </c>
      <c r="AB2" s="43">
        <f t="shared" ref="AB2:AB4" si="11">AA2*(1-$D$1)</f>
        <v>1.5237964853841568</v>
      </c>
      <c r="AC2" s="43">
        <f t="shared" ref="AC2:AC4" si="12">AB2*(1-$D$1)</f>
        <v>1.516177502957236</v>
      </c>
      <c r="AD2" s="43">
        <f t="shared" ref="AD2:AD4" si="13">AC2*(1-$D$1)</f>
        <v>1.5085966154424497</v>
      </c>
      <c r="AE2" s="43">
        <f t="shared" ref="AE2:AE4" si="14">AD2*(1-$D$1)</f>
        <v>1.5010536323652375</v>
      </c>
      <c r="AF2" s="46">
        <f t="shared" ref="AF2:AF4" si="15">AE2*(1-$D$1)</f>
        <v>1.4935483642034113</v>
      </c>
    </row>
    <row r="3" spans="1:32">
      <c r="A3" s="56" t="s">
        <v>119</v>
      </c>
      <c r="B3" s="93">
        <v>5</v>
      </c>
      <c r="C3" s="93">
        <f>B3*0.45</f>
        <v>2.25</v>
      </c>
      <c r="D3" s="94">
        <v>42604</v>
      </c>
      <c r="E3" s="95">
        <f>C3</f>
        <v>2.25</v>
      </c>
      <c r="F3" s="43">
        <f t="shared" ref="F3:Q3" si="16">E3*(1-$D$1)</f>
        <v>2.23875</v>
      </c>
      <c r="G3" s="43">
        <f t="shared" si="16"/>
        <v>2.2275562500000001</v>
      </c>
      <c r="H3" s="43">
        <f t="shared" si="16"/>
        <v>2.2164184687500001</v>
      </c>
      <c r="I3" s="43">
        <f t="shared" si="16"/>
        <v>2.2053363764062501</v>
      </c>
      <c r="J3" s="43">
        <f t="shared" si="16"/>
        <v>2.1943096945242191</v>
      </c>
      <c r="K3" s="43">
        <f t="shared" si="16"/>
        <v>2.1833381460515979</v>
      </c>
      <c r="L3" s="43">
        <f t="shared" si="16"/>
        <v>2.1724214553213401</v>
      </c>
      <c r="M3" s="43">
        <f t="shared" si="16"/>
        <v>2.1615593480447335</v>
      </c>
      <c r="N3" s="43">
        <f t="shared" si="16"/>
        <v>2.1507515513045097</v>
      </c>
      <c r="O3" s="43">
        <f t="shared" si="16"/>
        <v>2.139997793547987</v>
      </c>
      <c r="P3" s="43">
        <f t="shared" si="16"/>
        <v>2.1292978045802471</v>
      </c>
      <c r="Q3" s="43">
        <f t="shared" si="16"/>
        <v>2.1186513155573459</v>
      </c>
      <c r="R3" s="55">
        <f t="shared" si="1"/>
        <v>2.1080580589795592</v>
      </c>
      <c r="S3" s="43">
        <f t="shared" si="2"/>
        <v>2.0975177686846616</v>
      </c>
      <c r="T3" s="43">
        <f t="shared" si="3"/>
        <v>2.0870301798412383</v>
      </c>
      <c r="U3" s="43">
        <f t="shared" si="4"/>
        <v>2.0765950289420321</v>
      </c>
      <c r="V3" s="43">
        <f t="shared" si="5"/>
        <v>2.0662120537973219</v>
      </c>
      <c r="W3" s="43">
        <f t="shared" si="6"/>
        <v>2.0558809935283353</v>
      </c>
      <c r="X3" s="43">
        <f t="shared" si="7"/>
        <v>2.0456015885606935</v>
      </c>
      <c r="Y3" s="43">
        <f t="shared" si="8"/>
        <v>2.0353735806178901</v>
      </c>
      <c r="Z3" s="43">
        <f t="shared" si="9"/>
        <v>2.0251967127148007</v>
      </c>
      <c r="AA3" s="43">
        <f t="shared" si="10"/>
        <v>2.0150707291512266</v>
      </c>
      <c r="AB3" s="43">
        <f t="shared" si="11"/>
        <v>2.0049953755054704</v>
      </c>
      <c r="AC3" s="43">
        <f t="shared" si="12"/>
        <v>1.994970398627943</v>
      </c>
      <c r="AD3" s="43">
        <f t="shared" si="13"/>
        <v>1.9849955466348033</v>
      </c>
      <c r="AE3" s="43">
        <f t="shared" si="14"/>
        <v>1.9750705689016292</v>
      </c>
      <c r="AF3" s="46">
        <f t="shared" si="15"/>
        <v>1.9651952160571211</v>
      </c>
    </row>
    <row r="4" spans="1:32">
      <c r="A4" s="88" t="s">
        <v>120</v>
      </c>
      <c r="B4" s="96">
        <v>8.8000000000000007</v>
      </c>
      <c r="C4" s="96">
        <f>B4*0.45</f>
        <v>3.9600000000000004</v>
      </c>
      <c r="D4" s="90">
        <v>43060</v>
      </c>
      <c r="E4" s="90"/>
      <c r="F4" s="90"/>
      <c r="G4" s="91">
        <f>C4</f>
        <v>3.9600000000000004</v>
      </c>
      <c r="H4" s="92">
        <f t="shared" ref="H4:Q4" si="17">G4*(1-$D$1)</f>
        <v>3.9402000000000004</v>
      </c>
      <c r="I4" s="92">
        <f t="shared" si="17"/>
        <v>3.9204990000000004</v>
      </c>
      <c r="J4" s="92">
        <f t="shared" si="17"/>
        <v>3.9008965050000004</v>
      </c>
      <c r="K4" s="92">
        <f t="shared" si="17"/>
        <v>3.8813920224750005</v>
      </c>
      <c r="L4" s="92">
        <f t="shared" si="17"/>
        <v>3.8619850623626255</v>
      </c>
      <c r="M4" s="92">
        <f t="shared" si="17"/>
        <v>3.8426751370508123</v>
      </c>
      <c r="N4" s="92">
        <f t="shared" si="17"/>
        <v>3.8234617613655582</v>
      </c>
      <c r="O4" s="92">
        <f t="shared" si="17"/>
        <v>3.8043444525587304</v>
      </c>
      <c r="P4" s="92">
        <f t="shared" si="17"/>
        <v>3.7853227302959369</v>
      </c>
      <c r="Q4" s="92">
        <f t="shared" si="17"/>
        <v>3.7663961166444571</v>
      </c>
      <c r="R4" s="97">
        <f t="shared" si="1"/>
        <v>3.7475641360612348</v>
      </c>
      <c r="S4" s="92">
        <f t="shared" si="2"/>
        <v>3.7288263153809287</v>
      </c>
      <c r="T4" s="92">
        <f t="shared" si="3"/>
        <v>3.7101821838040241</v>
      </c>
      <c r="U4" s="92">
        <f t="shared" si="4"/>
        <v>3.691631272885004</v>
      </c>
      <c r="V4" s="92">
        <f t="shared" si="5"/>
        <v>3.6731731165205792</v>
      </c>
      <c r="W4" s="92">
        <f t="shared" si="6"/>
        <v>3.6548072509379761</v>
      </c>
      <c r="X4" s="92">
        <f t="shared" si="7"/>
        <v>3.6365332146832863</v>
      </c>
      <c r="Y4" s="92">
        <f t="shared" si="8"/>
        <v>3.6183505486098699</v>
      </c>
      <c r="Z4" s="92">
        <f t="shared" si="9"/>
        <v>3.6002587958668206</v>
      </c>
      <c r="AA4" s="92">
        <f t="shared" si="10"/>
        <v>3.5822575018874865</v>
      </c>
      <c r="AB4" s="92">
        <f t="shared" si="11"/>
        <v>3.5643462143780491</v>
      </c>
      <c r="AC4" s="92">
        <f t="shared" si="12"/>
        <v>3.5465244833061589</v>
      </c>
      <c r="AD4" s="92">
        <f t="shared" si="13"/>
        <v>3.528791860889628</v>
      </c>
      <c r="AE4" s="92">
        <f t="shared" si="14"/>
        <v>3.5111479015851801</v>
      </c>
      <c r="AF4" s="98">
        <f t="shared" si="15"/>
        <v>3.4935921620772543</v>
      </c>
    </row>
    <row r="5" spans="1:32">
      <c r="A5" s="56" t="s">
        <v>74</v>
      </c>
      <c r="B5" s="99"/>
      <c r="C5" s="99"/>
      <c r="D5" s="94"/>
      <c r="E5" s="94"/>
      <c r="F5" s="43">
        <f>(F2-E2+F3-E3)</f>
        <v>-1.980000000000004E-2</v>
      </c>
      <c r="G5" s="44">
        <f>(G2-F2+G3-F3)</f>
        <v>-1.9700999999999969E-2</v>
      </c>
      <c r="H5" s="44">
        <f>(H2-G2+H3-G3+H4-G4)</f>
        <v>-3.9402495000000037E-2</v>
      </c>
      <c r="I5" s="43"/>
      <c r="J5" s="43"/>
      <c r="K5" s="43"/>
      <c r="L5" s="43"/>
      <c r="M5" s="43"/>
      <c r="N5" s="43"/>
      <c r="O5" s="43"/>
      <c r="P5" s="43"/>
      <c r="Q5" s="43"/>
      <c r="R5" s="58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7"/>
    </row>
    <row r="6" spans="1:32" ht="12.75">
      <c r="A6" s="88" t="s">
        <v>121</v>
      </c>
      <c r="B6" s="100">
        <v>74.900000000000006</v>
      </c>
      <c r="C6" s="100">
        <f>B6*0.57</f>
        <v>42.692999999999998</v>
      </c>
      <c r="D6" s="20">
        <v>43435</v>
      </c>
      <c r="E6" s="20"/>
      <c r="F6" s="20"/>
      <c r="G6" s="13"/>
      <c r="H6" s="101">
        <f>C6</f>
        <v>42.692999999999998</v>
      </c>
      <c r="I6" s="102">
        <f t="shared" ref="I6:Q6" si="18">H6*(1-$D$1)</f>
        <v>42.479534999999998</v>
      </c>
      <c r="J6" s="102">
        <f t="shared" si="18"/>
        <v>42.267137325</v>
      </c>
      <c r="K6" s="102">
        <f t="shared" si="18"/>
        <v>42.055801638375002</v>
      </c>
      <c r="L6" s="102">
        <f t="shared" si="18"/>
        <v>41.845522630183126</v>
      </c>
      <c r="M6" s="102">
        <f t="shared" si="18"/>
        <v>41.636295017032211</v>
      </c>
      <c r="N6" s="102">
        <f t="shared" si="18"/>
        <v>41.428113541947049</v>
      </c>
      <c r="O6" s="102">
        <f t="shared" si="18"/>
        <v>41.220972974237313</v>
      </c>
      <c r="P6" s="102">
        <f t="shared" si="18"/>
        <v>41.014868109366127</v>
      </c>
      <c r="Q6" s="102">
        <f t="shared" si="18"/>
        <v>40.809793768819297</v>
      </c>
      <c r="R6" s="103">
        <f t="shared" ref="R6" si="19">Q6*(1-$D$1)</f>
        <v>40.605744799975199</v>
      </c>
      <c r="S6" s="104">
        <f t="shared" ref="S6" si="20">R6*(1-$D$1)</f>
        <v>40.40271607597532</v>
      </c>
      <c r="T6" s="104">
        <f t="shared" ref="T6" si="21">S6*(1-$D$1)</f>
        <v>40.200702495595444</v>
      </c>
      <c r="U6" s="104">
        <f t="shared" ref="U6" si="22">T6*(1-$D$1)</f>
        <v>39.999698983117469</v>
      </c>
      <c r="V6" s="104">
        <f t="shared" ref="V6" si="23">U6*(1-$D$1)</f>
        <v>39.799700488201879</v>
      </c>
      <c r="W6" s="104">
        <f t="shared" ref="W6" si="24">V6*(1-$D$1)</f>
        <v>39.600701985760871</v>
      </c>
      <c r="X6" s="104">
        <f t="shared" ref="X6" si="25">W6*(1-$D$1)</f>
        <v>39.402698475832068</v>
      </c>
      <c r="Y6" s="104">
        <f t="shared" ref="Y6" si="26">X6*(1-$D$1)</f>
        <v>39.205684983452905</v>
      </c>
      <c r="Z6" s="104">
        <f t="shared" ref="Z6" si="27">Y6*(1-$D$1)</f>
        <v>39.009656558535639</v>
      </c>
      <c r="AA6" s="104">
        <f t="shared" ref="AA6" si="28">Z6*(1-$D$1)</f>
        <v>38.814608275742962</v>
      </c>
      <c r="AB6" s="104">
        <f t="shared" ref="AB6" si="29">AA6*(1-$D$1)</f>
        <v>38.620535234364247</v>
      </c>
      <c r="AC6" s="104">
        <f t="shared" ref="AC6" si="30">AB6*(1-$D$1)</f>
        <v>38.427432558192429</v>
      </c>
      <c r="AD6" s="104">
        <f t="shared" ref="AD6" si="31">AC6*(1-$D$1)</f>
        <v>38.235295395401465</v>
      </c>
      <c r="AE6" s="104">
        <f t="shared" ref="AE6" si="32">AD6*(1-$D$1)</f>
        <v>38.044118918424459</v>
      </c>
      <c r="AF6" s="105">
        <f t="shared" ref="AF6" si="33">AE6*(1-$D$1)</f>
        <v>37.85389832383234</v>
      </c>
    </row>
    <row r="7" spans="1:32" ht="12.75">
      <c r="A7" s="56" t="s">
        <v>74</v>
      </c>
      <c r="B7" s="49"/>
      <c r="C7" s="49"/>
      <c r="D7" s="13"/>
      <c r="E7" s="13"/>
      <c r="F7" s="13"/>
      <c r="G7" s="13"/>
      <c r="H7" s="49"/>
      <c r="I7" s="43">
        <f>(I6-H6)+SUM(I2:I4)-SUM(H2:H4)</f>
        <v>-0.2526704825249988</v>
      </c>
      <c r="J7" s="43"/>
      <c r="K7" s="43"/>
      <c r="L7" s="43"/>
      <c r="M7" s="43"/>
      <c r="N7" s="43"/>
      <c r="O7" s="43"/>
      <c r="P7" s="43"/>
      <c r="Q7" s="43"/>
      <c r="R7" s="55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6"/>
    </row>
    <row r="8" spans="1:32" ht="12.75">
      <c r="A8" s="88" t="s">
        <v>47</v>
      </c>
      <c r="B8" s="100">
        <v>0.5</v>
      </c>
      <c r="C8" s="100">
        <v>0.22500000000000001</v>
      </c>
      <c r="D8" s="20">
        <v>43800</v>
      </c>
      <c r="E8" s="20"/>
      <c r="F8" s="20"/>
      <c r="G8" s="20"/>
      <c r="H8" s="100"/>
      <c r="I8" s="102">
        <f>C8</f>
        <v>0.22500000000000001</v>
      </c>
      <c r="J8" s="102">
        <f t="shared" ref="J8:Q8" si="34">I8*(1-$D$1)</f>
        <v>0.22387499999999999</v>
      </c>
      <c r="K8" s="102">
        <f t="shared" si="34"/>
        <v>0.22275562499999998</v>
      </c>
      <c r="L8" s="102">
        <f t="shared" si="34"/>
        <v>0.22164184687499999</v>
      </c>
      <c r="M8" s="102">
        <f t="shared" si="34"/>
        <v>0.220533637640625</v>
      </c>
      <c r="N8" s="102">
        <f t="shared" si="34"/>
        <v>0.21943096945242188</v>
      </c>
      <c r="O8" s="102">
        <f t="shared" si="34"/>
        <v>0.21833381460515977</v>
      </c>
      <c r="P8" s="102">
        <f t="shared" si="34"/>
        <v>0.21724214553213397</v>
      </c>
      <c r="Q8" s="102">
        <f t="shared" si="34"/>
        <v>0.21615593480447332</v>
      </c>
      <c r="R8" s="106">
        <f t="shared" ref="R8:R10" si="35">Q8*(1-$D$1)</f>
        <v>0.21507515513045095</v>
      </c>
      <c r="S8" s="102">
        <f t="shared" ref="S8:S10" si="36">R8*(1-$D$1)</f>
        <v>0.21399977935479869</v>
      </c>
      <c r="T8" s="102">
        <f t="shared" ref="T8:T10" si="37">S8*(1-$D$1)</f>
        <v>0.21292978045802469</v>
      </c>
      <c r="U8" s="102">
        <f t="shared" ref="U8:U10" si="38">T8*(1-$D$1)</f>
        <v>0.21186513155573455</v>
      </c>
      <c r="V8" s="102">
        <f t="shared" ref="V8:V10" si="39">U8*(1-$D$1)</f>
        <v>0.21080580589795589</v>
      </c>
      <c r="W8" s="102">
        <f t="shared" ref="W8:W10" si="40">V8*(1-$D$1)</f>
        <v>0.20975177686846611</v>
      </c>
      <c r="X8" s="102">
        <f t="shared" ref="X8:X10" si="41">W8*(1-$D$1)</f>
        <v>0.20870301798412377</v>
      </c>
      <c r="Y8" s="102">
        <f t="shared" ref="Y8:Y10" si="42">X8*(1-$D$1)</f>
        <v>0.20765950289420315</v>
      </c>
      <c r="Z8" s="102">
        <f t="shared" ref="Z8:Z10" si="43">Y8*(1-$D$1)</f>
        <v>0.20662120537973214</v>
      </c>
      <c r="AA8" s="102">
        <f t="shared" ref="AA8:AA10" si="44">Z8*(1-$D$1)</f>
        <v>0.20558809935283348</v>
      </c>
      <c r="AB8" s="102">
        <f t="shared" ref="AB8:AB10" si="45">AA8*(1-$D$1)</f>
        <v>0.20456015885606932</v>
      </c>
      <c r="AC8" s="102">
        <f t="shared" ref="AC8:AC10" si="46">AB8*(1-$D$1)</f>
        <v>0.20353735806178896</v>
      </c>
      <c r="AD8" s="102">
        <f t="shared" ref="AD8:AD10" si="47">AC8*(1-$D$1)</f>
        <v>0.20251967127148002</v>
      </c>
      <c r="AE8" s="102">
        <f t="shared" ref="AE8:AE10" si="48">AD8*(1-$D$1)</f>
        <v>0.20150707291512263</v>
      </c>
      <c r="AF8" s="107">
        <f t="shared" ref="AF8:AF10" si="49">AE8*(1-$D$1)</f>
        <v>0.200499537550547</v>
      </c>
    </row>
    <row r="9" spans="1:32" ht="12.75">
      <c r="A9" s="56" t="s">
        <v>53</v>
      </c>
      <c r="B9" s="49">
        <v>74.900000000000006</v>
      </c>
      <c r="C9" s="49">
        <f>B9*0.57</f>
        <v>42.692999999999998</v>
      </c>
      <c r="D9" s="13">
        <v>43800</v>
      </c>
      <c r="E9" s="13"/>
      <c r="F9" s="13"/>
      <c r="G9" s="13"/>
      <c r="H9" s="49"/>
      <c r="I9" s="49">
        <f>C9</f>
        <v>42.692999999999998</v>
      </c>
      <c r="J9" s="104">
        <f t="shared" ref="J9:Q10" si="50">I9*(1-$D$1)</f>
        <v>42.479534999999998</v>
      </c>
      <c r="K9" s="104">
        <f t="shared" si="50"/>
        <v>42.267137325</v>
      </c>
      <c r="L9" s="104">
        <f t="shared" si="50"/>
        <v>42.055801638375002</v>
      </c>
      <c r="M9" s="104">
        <f t="shared" si="50"/>
        <v>41.845522630183126</v>
      </c>
      <c r="N9" s="104">
        <f t="shared" si="50"/>
        <v>41.636295017032211</v>
      </c>
      <c r="O9" s="104">
        <f t="shared" si="50"/>
        <v>41.428113541947049</v>
      </c>
      <c r="P9" s="104">
        <f t="shared" si="50"/>
        <v>41.220972974237313</v>
      </c>
      <c r="Q9" s="104">
        <f t="shared" si="50"/>
        <v>41.014868109366127</v>
      </c>
      <c r="R9" s="103">
        <f t="shared" si="35"/>
        <v>40.809793768819297</v>
      </c>
      <c r="S9" s="104">
        <f t="shared" si="36"/>
        <v>40.605744799975199</v>
      </c>
      <c r="T9" s="104">
        <f t="shared" si="37"/>
        <v>40.40271607597532</v>
      </c>
      <c r="U9" s="104">
        <f t="shared" si="38"/>
        <v>40.200702495595444</v>
      </c>
      <c r="V9" s="104">
        <f t="shared" si="39"/>
        <v>39.999698983117469</v>
      </c>
      <c r="W9" s="104">
        <f t="shared" si="40"/>
        <v>39.799700488201879</v>
      </c>
      <c r="X9" s="104">
        <f t="shared" si="41"/>
        <v>39.600701985760871</v>
      </c>
      <c r="Y9" s="104">
        <f t="shared" si="42"/>
        <v>39.402698475832068</v>
      </c>
      <c r="Z9" s="104">
        <f t="shared" si="43"/>
        <v>39.205684983452905</v>
      </c>
      <c r="AA9" s="104">
        <f t="shared" si="44"/>
        <v>39.009656558535639</v>
      </c>
      <c r="AB9" s="104">
        <f t="shared" si="45"/>
        <v>38.814608275742962</v>
      </c>
      <c r="AC9" s="104">
        <f t="shared" si="46"/>
        <v>38.620535234364247</v>
      </c>
      <c r="AD9" s="104">
        <f t="shared" si="47"/>
        <v>38.427432558192429</v>
      </c>
      <c r="AE9" s="104">
        <f t="shared" si="48"/>
        <v>38.235295395401465</v>
      </c>
      <c r="AF9" s="105">
        <f t="shared" si="49"/>
        <v>38.044118918424459</v>
      </c>
    </row>
    <row r="10" spans="1:32" ht="12.75">
      <c r="A10" s="56" t="s">
        <v>55</v>
      </c>
      <c r="B10" s="49">
        <v>45</v>
      </c>
      <c r="C10" s="49">
        <f>B10*0.57</f>
        <v>25.65</v>
      </c>
      <c r="D10" s="13">
        <v>43800</v>
      </c>
      <c r="E10" s="13"/>
      <c r="F10" s="13"/>
      <c r="G10" s="13"/>
      <c r="H10" s="49"/>
      <c r="I10" s="49">
        <f>C10</f>
        <v>25.65</v>
      </c>
      <c r="J10" s="104">
        <f t="shared" si="50"/>
        <v>25.521749999999997</v>
      </c>
      <c r="K10" s="104">
        <f t="shared" si="50"/>
        <v>25.394141249999997</v>
      </c>
      <c r="L10" s="104">
        <f t="shared" si="50"/>
        <v>25.267170543749998</v>
      </c>
      <c r="M10" s="104">
        <f t="shared" si="50"/>
        <v>25.140834691031248</v>
      </c>
      <c r="N10" s="104">
        <f t="shared" si="50"/>
        <v>25.015130517576093</v>
      </c>
      <c r="O10" s="104">
        <f t="shared" si="50"/>
        <v>24.890054864988212</v>
      </c>
      <c r="P10" s="104">
        <f t="shared" si="50"/>
        <v>24.765604590663269</v>
      </c>
      <c r="Q10" s="104">
        <f t="shared" si="50"/>
        <v>24.641776567709954</v>
      </c>
      <c r="R10" s="103">
        <f t="shared" si="35"/>
        <v>24.518567684871403</v>
      </c>
      <c r="S10" s="104">
        <f t="shared" si="36"/>
        <v>24.395974846447047</v>
      </c>
      <c r="T10" s="104">
        <f t="shared" si="37"/>
        <v>24.273994972214812</v>
      </c>
      <c r="U10" s="104">
        <f t="shared" si="38"/>
        <v>24.152624997353737</v>
      </c>
      <c r="V10" s="104">
        <f t="shared" si="39"/>
        <v>24.031861872366967</v>
      </c>
      <c r="W10" s="104">
        <f t="shared" si="40"/>
        <v>23.911702563005132</v>
      </c>
      <c r="X10" s="104">
        <f t="shared" si="41"/>
        <v>23.792144050190107</v>
      </c>
      <c r="Y10" s="104">
        <f t="shared" si="42"/>
        <v>23.673183329939157</v>
      </c>
      <c r="Z10" s="104">
        <f t="shared" si="43"/>
        <v>23.554817413289459</v>
      </c>
      <c r="AA10" s="104">
        <f t="shared" si="44"/>
        <v>23.437043326223012</v>
      </c>
      <c r="AB10" s="104">
        <f t="shared" si="45"/>
        <v>23.319858109591898</v>
      </c>
      <c r="AC10" s="104">
        <f t="shared" si="46"/>
        <v>23.203258819043938</v>
      </c>
      <c r="AD10" s="104">
        <f t="shared" si="47"/>
        <v>23.087242524948717</v>
      </c>
      <c r="AE10" s="104">
        <f t="shared" si="48"/>
        <v>22.971806312323974</v>
      </c>
      <c r="AF10" s="105">
        <f t="shared" si="49"/>
        <v>22.856947280762355</v>
      </c>
    </row>
    <row r="11" spans="1:32" ht="12.75">
      <c r="A11" s="59" t="s">
        <v>74</v>
      </c>
      <c r="B11" s="45"/>
      <c r="C11" s="45"/>
      <c r="D11" s="30"/>
      <c r="E11" s="30"/>
      <c r="F11" s="30"/>
      <c r="G11" s="30"/>
      <c r="H11" s="45"/>
      <c r="I11" s="45"/>
      <c r="J11" s="44">
        <f>SUM(J8:J10)-SUM(I8:I10)+SUM(J2:J6)-SUM(I2:I6)+(J12-I12)+(J13-I13)</f>
        <v>-0.97533713011238632</v>
      </c>
      <c r="K11" s="44"/>
      <c r="L11" s="44"/>
      <c r="M11" s="44"/>
      <c r="N11" s="44"/>
      <c r="O11" s="44"/>
      <c r="P11" s="44"/>
      <c r="Q11" s="44"/>
      <c r="R11" s="58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7"/>
    </row>
    <row r="12" spans="1:32" ht="12.75">
      <c r="A12" s="56" t="s">
        <v>60</v>
      </c>
      <c r="B12" s="49">
        <v>74.900000000000006</v>
      </c>
      <c r="C12" s="100">
        <f>B12*0.57</f>
        <v>42.692999999999998</v>
      </c>
      <c r="D12" s="13">
        <v>43891</v>
      </c>
      <c r="E12" s="13"/>
      <c r="F12" s="13"/>
      <c r="G12" s="13"/>
      <c r="H12" s="49"/>
      <c r="I12" s="108">
        <f>C12</f>
        <v>42.692999999999998</v>
      </c>
      <c r="J12" s="104">
        <f t="shared" ref="J12:Q12" si="51">I12*(1-$D$1)</f>
        <v>42.479534999999998</v>
      </c>
      <c r="K12" s="104">
        <f t="shared" si="51"/>
        <v>42.267137325</v>
      </c>
      <c r="L12" s="104">
        <f t="shared" si="51"/>
        <v>42.055801638375002</v>
      </c>
      <c r="M12" s="104">
        <f t="shared" si="51"/>
        <v>41.845522630183126</v>
      </c>
      <c r="N12" s="104">
        <f t="shared" si="51"/>
        <v>41.636295017032211</v>
      </c>
      <c r="O12" s="104">
        <f t="shared" si="51"/>
        <v>41.428113541947049</v>
      </c>
      <c r="P12" s="104">
        <f t="shared" si="51"/>
        <v>41.220972974237313</v>
      </c>
      <c r="Q12" s="104">
        <f t="shared" si="51"/>
        <v>41.014868109366127</v>
      </c>
      <c r="R12" s="103">
        <f t="shared" ref="R12:R15" si="52">Q12*(1-$D$1)</f>
        <v>40.809793768819297</v>
      </c>
      <c r="S12" s="104">
        <f t="shared" ref="S12:S15" si="53">R12*(1-$D$1)</f>
        <v>40.605744799975199</v>
      </c>
      <c r="T12" s="104">
        <f t="shared" ref="T12:T15" si="54">S12*(1-$D$1)</f>
        <v>40.40271607597532</v>
      </c>
      <c r="U12" s="104">
        <f t="shared" ref="U12:U15" si="55">T12*(1-$D$1)</f>
        <v>40.200702495595444</v>
      </c>
      <c r="V12" s="104">
        <f t="shared" ref="V12:V15" si="56">U12*(1-$D$1)</f>
        <v>39.999698983117469</v>
      </c>
      <c r="W12" s="104">
        <f t="shared" ref="W12:W15" si="57">V12*(1-$D$1)</f>
        <v>39.799700488201879</v>
      </c>
      <c r="X12" s="104">
        <f t="shared" ref="X12:X15" si="58">W12*(1-$D$1)</f>
        <v>39.600701985760871</v>
      </c>
      <c r="Y12" s="104">
        <f t="shared" ref="Y12:Y15" si="59">X12*(1-$D$1)</f>
        <v>39.402698475832068</v>
      </c>
      <c r="Z12" s="104">
        <f t="shared" ref="Z12:Z15" si="60">Y12*(1-$D$1)</f>
        <v>39.205684983452905</v>
      </c>
      <c r="AA12" s="104">
        <f t="shared" ref="AA12:AA15" si="61">Z12*(1-$D$1)</f>
        <v>39.009656558535639</v>
      </c>
      <c r="AB12" s="104">
        <f t="shared" ref="AB12:AB15" si="62">AA12*(1-$D$1)</f>
        <v>38.814608275742962</v>
      </c>
      <c r="AC12" s="104">
        <f t="shared" ref="AC12:AC15" si="63">AB12*(1-$D$1)</f>
        <v>38.620535234364247</v>
      </c>
      <c r="AD12" s="104">
        <f t="shared" ref="AD12:AD15" si="64">AC12*(1-$D$1)</f>
        <v>38.427432558192429</v>
      </c>
      <c r="AE12" s="104">
        <f t="shared" ref="AE12:AE15" si="65">AD12*(1-$D$1)</f>
        <v>38.235295395401465</v>
      </c>
      <c r="AF12" s="105">
        <f t="shared" ref="AF12:AF15" si="66">AE12*(1-$D$1)</f>
        <v>38.044118918424459</v>
      </c>
    </row>
    <row r="13" spans="1:32" ht="12.75">
      <c r="A13" s="56" t="s">
        <v>57</v>
      </c>
      <c r="B13" s="49">
        <v>74.5</v>
      </c>
      <c r="C13" s="49">
        <f>B13*0.45</f>
        <v>33.524999999999999</v>
      </c>
      <c r="D13" s="13">
        <v>43891</v>
      </c>
      <c r="E13" s="13"/>
      <c r="F13" s="13"/>
      <c r="G13" s="13"/>
      <c r="H13" s="49"/>
      <c r="I13" s="49">
        <f>C13</f>
        <v>33.524999999999999</v>
      </c>
      <c r="J13" s="104">
        <f t="shared" ref="J13:Q15" si="67">I13*(1-$D$1)</f>
        <v>33.357374999999998</v>
      </c>
      <c r="K13" s="104">
        <f t="shared" si="67"/>
        <v>33.190588124999998</v>
      </c>
      <c r="L13" s="104">
        <f t="shared" si="67"/>
        <v>33.024635184375001</v>
      </c>
      <c r="M13" s="104">
        <f t="shared" si="67"/>
        <v>32.859512008453123</v>
      </c>
      <c r="N13" s="104">
        <f t="shared" si="67"/>
        <v>32.695214448410859</v>
      </c>
      <c r="O13" s="104">
        <f t="shared" si="67"/>
        <v>32.531738376168803</v>
      </c>
      <c r="P13" s="104">
        <f t="shared" si="67"/>
        <v>32.369079684287961</v>
      </c>
      <c r="Q13" s="104">
        <f t="shared" si="67"/>
        <v>32.207234285866519</v>
      </c>
      <c r="R13" s="103">
        <f t="shared" si="52"/>
        <v>32.046198114437189</v>
      </c>
      <c r="S13" s="104">
        <f t="shared" si="53"/>
        <v>31.885967123865004</v>
      </c>
      <c r="T13" s="104">
        <f t="shared" si="54"/>
        <v>31.72653728824568</v>
      </c>
      <c r="U13" s="104">
        <f t="shared" si="55"/>
        <v>31.56790460180445</v>
      </c>
      <c r="V13" s="104">
        <f t="shared" si="56"/>
        <v>31.410065078795427</v>
      </c>
      <c r="W13" s="104">
        <f t="shared" si="57"/>
        <v>31.253014753401448</v>
      </c>
      <c r="X13" s="104">
        <f t="shared" si="58"/>
        <v>31.096749679634442</v>
      </c>
      <c r="Y13" s="104">
        <f t="shared" si="59"/>
        <v>30.94126593123627</v>
      </c>
      <c r="Z13" s="104">
        <f t="shared" si="60"/>
        <v>30.786559601580088</v>
      </c>
      <c r="AA13" s="104">
        <f t="shared" si="61"/>
        <v>30.632626803572187</v>
      </c>
      <c r="AB13" s="104">
        <f t="shared" si="62"/>
        <v>30.479463669554324</v>
      </c>
      <c r="AC13" s="104">
        <f t="shared" si="63"/>
        <v>30.327066351206554</v>
      </c>
      <c r="AD13" s="104">
        <f t="shared" si="64"/>
        <v>30.175431019450521</v>
      </c>
      <c r="AE13" s="104">
        <f t="shared" si="65"/>
        <v>30.024553864353269</v>
      </c>
      <c r="AF13" s="105">
        <f t="shared" si="66"/>
        <v>29.874431095031504</v>
      </c>
    </row>
    <row r="14" spans="1:32" ht="12.75">
      <c r="A14" s="56" t="s">
        <v>61</v>
      </c>
      <c r="B14" s="49">
        <v>74.900000000000006</v>
      </c>
      <c r="C14" s="49">
        <f>B14*0.57</f>
        <v>42.692999999999998</v>
      </c>
      <c r="D14" s="13">
        <v>44166</v>
      </c>
      <c r="E14" s="13"/>
      <c r="F14" s="13"/>
      <c r="G14" s="13"/>
      <c r="H14" s="49"/>
      <c r="I14" s="49"/>
      <c r="J14" s="104">
        <f>C14</f>
        <v>42.692999999999998</v>
      </c>
      <c r="K14" s="104">
        <f t="shared" si="67"/>
        <v>42.479534999999998</v>
      </c>
      <c r="L14" s="104">
        <f t="shared" si="67"/>
        <v>42.267137325</v>
      </c>
      <c r="M14" s="104">
        <f t="shared" si="67"/>
        <v>42.055801638375002</v>
      </c>
      <c r="N14" s="104">
        <f t="shared" si="67"/>
        <v>41.845522630183126</v>
      </c>
      <c r="O14" s="104">
        <f t="shared" si="67"/>
        <v>41.636295017032211</v>
      </c>
      <c r="P14" s="104">
        <f t="shared" si="67"/>
        <v>41.428113541947049</v>
      </c>
      <c r="Q14" s="104">
        <f t="shared" si="67"/>
        <v>41.220972974237313</v>
      </c>
      <c r="R14" s="103">
        <f t="shared" si="52"/>
        <v>41.014868109366127</v>
      </c>
      <c r="S14" s="104">
        <f t="shared" si="53"/>
        <v>40.809793768819297</v>
      </c>
      <c r="T14" s="104">
        <f t="shared" si="54"/>
        <v>40.605744799975199</v>
      </c>
      <c r="U14" s="104">
        <f t="shared" si="55"/>
        <v>40.40271607597532</v>
      </c>
      <c r="V14" s="104">
        <f t="shared" si="56"/>
        <v>40.200702495595444</v>
      </c>
      <c r="W14" s="104">
        <f t="shared" si="57"/>
        <v>39.999698983117469</v>
      </c>
      <c r="X14" s="104">
        <f t="shared" si="58"/>
        <v>39.799700488201879</v>
      </c>
      <c r="Y14" s="104">
        <f t="shared" si="59"/>
        <v>39.600701985760871</v>
      </c>
      <c r="Z14" s="104">
        <f t="shared" si="60"/>
        <v>39.402698475832068</v>
      </c>
      <c r="AA14" s="104">
        <f t="shared" si="61"/>
        <v>39.205684983452905</v>
      </c>
      <c r="AB14" s="104">
        <f t="shared" si="62"/>
        <v>39.009656558535639</v>
      </c>
      <c r="AC14" s="104">
        <f t="shared" si="63"/>
        <v>38.814608275742962</v>
      </c>
      <c r="AD14" s="104">
        <f t="shared" si="64"/>
        <v>38.620535234364247</v>
      </c>
      <c r="AE14" s="104">
        <f t="shared" si="65"/>
        <v>38.427432558192429</v>
      </c>
      <c r="AF14" s="105">
        <f t="shared" si="66"/>
        <v>38.235295395401465</v>
      </c>
    </row>
    <row r="15" spans="1:32" ht="12.75">
      <c r="A15" s="56" t="s">
        <v>61</v>
      </c>
      <c r="B15" s="49">
        <v>74.900000000000006</v>
      </c>
      <c r="C15" s="49">
        <f>B15*0.57</f>
        <v>42.692999999999998</v>
      </c>
      <c r="D15" s="13">
        <v>44166</v>
      </c>
      <c r="E15" s="13"/>
      <c r="F15" s="13"/>
      <c r="G15" s="13"/>
      <c r="H15" s="49"/>
      <c r="I15" s="49"/>
      <c r="J15" s="104">
        <f>C15</f>
        <v>42.692999999999998</v>
      </c>
      <c r="K15" s="104">
        <f t="shared" si="67"/>
        <v>42.479534999999998</v>
      </c>
      <c r="L15" s="104">
        <f t="shared" si="67"/>
        <v>42.267137325</v>
      </c>
      <c r="M15" s="104">
        <f t="shared" si="67"/>
        <v>42.055801638375002</v>
      </c>
      <c r="N15" s="104">
        <f t="shared" si="67"/>
        <v>41.845522630183126</v>
      </c>
      <c r="O15" s="104">
        <f t="shared" si="67"/>
        <v>41.636295017032211</v>
      </c>
      <c r="P15" s="104">
        <f t="shared" si="67"/>
        <v>41.428113541947049</v>
      </c>
      <c r="Q15" s="104">
        <f t="shared" si="67"/>
        <v>41.220972974237313</v>
      </c>
      <c r="R15" s="103">
        <f t="shared" si="52"/>
        <v>41.014868109366127</v>
      </c>
      <c r="S15" s="104">
        <f t="shared" si="53"/>
        <v>40.809793768819297</v>
      </c>
      <c r="T15" s="104">
        <f t="shared" si="54"/>
        <v>40.605744799975199</v>
      </c>
      <c r="U15" s="104">
        <f t="shared" si="55"/>
        <v>40.40271607597532</v>
      </c>
      <c r="V15" s="104">
        <f t="shared" si="56"/>
        <v>40.200702495595444</v>
      </c>
      <c r="W15" s="104">
        <f t="shared" si="57"/>
        <v>39.999698983117469</v>
      </c>
      <c r="X15" s="104">
        <f t="shared" si="58"/>
        <v>39.799700488201879</v>
      </c>
      <c r="Y15" s="104">
        <f t="shared" si="59"/>
        <v>39.600701985760871</v>
      </c>
      <c r="Z15" s="104">
        <f t="shared" si="60"/>
        <v>39.402698475832068</v>
      </c>
      <c r="AA15" s="104">
        <f t="shared" si="61"/>
        <v>39.205684983452905</v>
      </c>
      <c r="AB15" s="104">
        <f t="shared" si="62"/>
        <v>39.009656558535639</v>
      </c>
      <c r="AC15" s="104">
        <f t="shared" si="63"/>
        <v>38.814608275742962</v>
      </c>
      <c r="AD15" s="104">
        <f t="shared" si="64"/>
        <v>38.620535234364247</v>
      </c>
      <c r="AE15" s="104">
        <f t="shared" si="65"/>
        <v>38.427432558192429</v>
      </c>
      <c r="AF15" s="105">
        <f t="shared" si="66"/>
        <v>38.235295395401465</v>
      </c>
    </row>
    <row r="16" spans="1:32" ht="12.75">
      <c r="A16" s="59" t="s">
        <v>74</v>
      </c>
      <c r="B16" s="45" t="s">
        <v>75</v>
      </c>
      <c r="C16" s="45"/>
      <c r="D16" s="29" t="s">
        <v>75</v>
      </c>
      <c r="E16" s="29"/>
      <c r="F16" s="29"/>
      <c r="G16" s="29"/>
      <c r="H16" s="45"/>
      <c r="I16" s="45"/>
      <c r="J16" s="45"/>
      <c r="K16" s="44">
        <f>SUM(K12:K15)-SUM(J12:J15)+SUM(K2:K10)-SUM(J2:J10)</f>
        <v>-1.3973904444618057</v>
      </c>
      <c r="L16" s="44"/>
      <c r="M16" s="44"/>
      <c r="N16" s="44"/>
      <c r="O16" s="44"/>
      <c r="P16" s="44"/>
      <c r="Q16" s="44"/>
      <c r="R16" s="55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6"/>
    </row>
    <row r="17" spans="1:32" ht="12.75">
      <c r="A17" s="88" t="s">
        <v>61</v>
      </c>
      <c r="B17" s="100">
        <v>74.900000000000006</v>
      </c>
      <c r="C17" s="49">
        <f>B17*0.57</f>
        <v>42.692999999999998</v>
      </c>
      <c r="D17" s="20">
        <v>44531</v>
      </c>
      <c r="E17" s="20"/>
      <c r="F17" s="20"/>
      <c r="G17" s="20"/>
      <c r="H17" s="100"/>
      <c r="I17" s="100"/>
      <c r="J17" s="100"/>
      <c r="K17" s="102">
        <f>C17</f>
        <v>42.692999999999998</v>
      </c>
      <c r="L17" s="102">
        <f t="shared" ref="L17:Q19" si="68">K17*(1-$D$1)</f>
        <v>42.479534999999998</v>
      </c>
      <c r="M17" s="102">
        <f t="shared" si="68"/>
        <v>42.267137325</v>
      </c>
      <c r="N17" s="102">
        <f t="shared" si="68"/>
        <v>42.055801638375002</v>
      </c>
      <c r="O17" s="102">
        <f t="shared" si="68"/>
        <v>41.845522630183126</v>
      </c>
      <c r="P17" s="102">
        <f t="shared" si="68"/>
        <v>41.636295017032211</v>
      </c>
      <c r="Q17" s="102">
        <f t="shared" si="68"/>
        <v>41.428113541947049</v>
      </c>
      <c r="R17" s="106">
        <f t="shared" ref="R17:R19" si="69">Q17*(1-$D$1)</f>
        <v>41.220972974237313</v>
      </c>
      <c r="S17" s="102">
        <f t="shared" ref="S17:S19" si="70">R17*(1-$D$1)</f>
        <v>41.014868109366127</v>
      </c>
      <c r="T17" s="102">
        <f t="shared" ref="T17:T19" si="71">S17*(1-$D$1)</f>
        <v>40.809793768819297</v>
      </c>
      <c r="U17" s="102">
        <f t="shared" ref="U17:U19" si="72">T17*(1-$D$1)</f>
        <v>40.605744799975199</v>
      </c>
      <c r="V17" s="102">
        <f t="shared" ref="V17:V19" si="73">U17*(1-$D$1)</f>
        <v>40.40271607597532</v>
      </c>
      <c r="W17" s="102">
        <f t="shared" ref="W17:W19" si="74">V17*(1-$D$1)</f>
        <v>40.200702495595444</v>
      </c>
      <c r="X17" s="102">
        <f t="shared" ref="X17:X19" si="75">W17*(1-$D$1)</f>
        <v>39.999698983117469</v>
      </c>
      <c r="Y17" s="102">
        <f t="shared" ref="Y17:Y19" si="76">X17*(1-$D$1)</f>
        <v>39.799700488201879</v>
      </c>
      <c r="Z17" s="102">
        <f t="shared" ref="Z17:Z19" si="77">Y17*(1-$D$1)</f>
        <v>39.600701985760871</v>
      </c>
      <c r="AA17" s="102">
        <f t="shared" ref="AA17:AA19" si="78">Z17*(1-$D$1)</f>
        <v>39.402698475832068</v>
      </c>
      <c r="AB17" s="102">
        <f t="shared" ref="AB17:AB19" si="79">AA17*(1-$D$1)</f>
        <v>39.205684983452905</v>
      </c>
      <c r="AC17" s="102">
        <f t="shared" ref="AC17:AC19" si="80">AB17*(1-$D$1)</f>
        <v>39.009656558535639</v>
      </c>
      <c r="AD17" s="102">
        <f t="shared" ref="AD17:AD19" si="81">AC17*(1-$D$1)</f>
        <v>38.814608275742962</v>
      </c>
      <c r="AE17" s="102">
        <f t="shared" ref="AE17:AE19" si="82">AD17*(1-$D$1)</f>
        <v>38.620535234364247</v>
      </c>
      <c r="AF17" s="107">
        <f t="shared" ref="AF17:AF19" si="83">AE17*(1-$D$1)</f>
        <v>38.427432558192429</v>
      </c>
    </row>
    <row r="18" spans="1:32" ht="12.75">
      <c r="A18" s="56" t="s">
        <v>61</v>
      </c>
      <c r="B18" s="49">
        <v>74.900000000000006</v>
      </c>
      <c r="C18" s="49">
        <f>B18*0.57</f>
        <v>42.692999999999998</v>
      </c>
      <c r="D18" s="13">
        <v>44531</v>
      </c>
      <c r="E18" s="13"/>
      <c r="F18" s="13"/>
      <c r="G18" s="13"/>
      <c r="H18" s="49"/>
      <c r="I18" s="49"/>
      <c r="J18" s="49"/>
      <c r="K18" s="104">
        <f>C18</f>
        <v>42.692999999999998</v>
      </c>
      <c r="L18" s="104">
        <f t="shared" si="68"/>
        <v>42.479534999999998</v>
      </c>
      <c r="M18" s="104">
        <f t="shared" si="68"/>
        <v>42.267137325</v>
      </c>
      <c r="N18" s="104">
        <f t="shared" si="68"/>
        <v>42.055801638375002</v>
      </c>
      <c r="O18" s="104">
        <f t="shared" si="68"/>
        <v>41.845522630183126</v>
      </c>
      <c r="P18" s="104">
        <f t="shared" si="68"/>
        <v>41.636295017032211</v>
      </c>
      <c r="Q18" s="104">
        <f t="shared" si="68"/>
        <v>41.428113541947049</v>
      </c>
      <c r="R18" s="103">
        <f t="shared" si="69"/>
        <v>41.220972974237313</v>
      </c>
      <c r="S18" s="104">
        <f t="shared" si="70"/>
        <v>41.014868109366127</v>
      </c>
      <c r="T18" s="104">
        <f t="shared" si="71"/>
        <v>40.809793768819297</v>
      </c>
      <c r="U18" s="104">
        <f t="shared" si="72"/>
        <v>40.605744799975199</v>
      </c>
      <c r="V18" s="104">
        <f t="shared" si="73"/>
        <v>40.40271607597532</v>
      </c>
      <c r="W18" s="104">
        <f t="shared" si="74"/>
        <v>40.200702495595444</v>
      </c>
      <c r="X18" s="104">
        <f t="shared" si="75"/>
        <v>39.999698983117469</v>
      </c>
      <c r="Y18" s="104">
        <f t="shared" si="76"/>
        <v>39.799700488201879</v>
      </c>
      <c r="Z18" s="104">
        <f t="shared" si="77"/>
        <v>39.600701985760871</v>
      </c>
      <c r="AA18" s="104">
        <f t="shared" si="78"/>
        <v>39.402698475832068</v>
      </c>
      <c r="AB18" s="104">
        <f t="shared" si="79"/>
        <v>39.205684983452905</v>
      </c>
      <c r="AC18" s="104">
        <f t="shared" si="80"/>
        <v>39.009656558535639</v>
      </c>
      <c r="AD18" s="104">
        <f t="shared" si="81"/>
        <v>38.814608275742962</v>
      </c>
      <c r="AE18" s="104">
        <f t="shared" si="82"/>
        <v>38.620535234364247</v>
      </c>
      <c r="AF18" s="105">
        <f t="shared" si="83"/>
        <v>38.427432558192429</v>
      </c>
    </row>
    <row r="19" spans="1:32" ht="12.75">
      <c r="A19" s="56" t="s">
        <v>61</v>
      </c>
      <c r="B19" s="49">
        <v>55</v>
      </c>
      <c r="C19" s="49">
        <f>B19*0.57</f>
        <v>31.349999999999998</v>
      </c>
      <c r="D19" s="13">
        <v>44531</v>
      </c>
      <c r="E19" s="13"/>
      <c r="F19" s="13"/>
      <c r="G19" s="13"/>
      <c r="H19" s="49"/>
      <c r="I19" s="49"/>
      <c r="J19" s="49"/>
      <c r="K19" s="104">
        <f>C19</f>
        <v>31.349999999999998</v>
      </c>
      <c r="L19" s="104">
        <f t="shared" si="68"/>
        <v>31.193249999999999</v>
      </c>
      <c r="M19" s="104">
        <f t="shared" si="68"/>
        <v>31.03728375</v>
      </c>
      <c r="N19" s="104">
        <f t="shared" si="68"/>
        <v>30.882097331250002</v>
      </c>
      <c r="O19" s="104">
        <f t="shared" si="68"/>
        <v>30.727686844593752</v>
      </c>
      <c r="P19" s="104">
        <f t="shared" si="68"/>
        <v>30.574048410370782</v>
      </c>
      <c r="Q19" s="104">
        <f t="shared" si="68"/>
        <v>30.421178168318928</v>
      </c>
      <c r="R19" s="103">
        <f t="shared" si="69"/>
        <v>30.269072277477335</v>
      </c>
      <c r="S19" s="104">
        <f t="shared" si="70"/>
        <v>30.117726916089946</v>
      </c>
      <c r="T19" s="104">
        <f t="shared" si="71"/>
        <v>29.967138281509495</v>
      </c>
      <c r="U19" s="104">
        <f t="shared" si="72"/>
        <v>29.817302590101946</v>
      </c>
      <c r="V19" s="104">
        <f t="shared" si="73"/>
        <v>29.668216077151435</v>
      </c>
      <c r="W19" s="104">
        <f t="shared" si="74"/>
        <v>29.519874996765676</v>
      </c>
      <c r="X19" s="104">
        <f t="shared" si="75"/>
        <v>29.372275621781846</v>
      </c>
      <c r="Y19" s="104">
        <f t="shared" si="76"/>
        <v>29.225414243672937</v>
      </c>
      <c r="Z19" s="104">
        <f t="shared" si="77"/>
        <v>29.079287172454571</v>
      </c>
      <c r="AA19" s="104">
        <f t="shared" si="78"/>
        <v>28.933890736592296</v>
      </c>
      <c r="AB19" s="104">
        <f t="shared" si="79"/>
        <v>28.789221282909335</v>
      </c>
      <c r="AC19" s="104">
        <f t="shared" si="80"/>
        <v>28.645275176494788</v>
      </c>
      <c r="AD19" s="104">
        <f t="shared" si="81"/>
        <v>28.502048800612314</v>
      </c>
      <c r="AE19" s="104">
        <f t="shared" si="82"/>
        <v>28.359538556609252</v>
      </c>
      <c r="AF19" s="105">
        <f t="shared" si="83"/>
        <v>28.217740863826204</v>
      </c>
    </row>
    <row r="20" spans="1:32" ht="12.75">
      <c r="A20" s="59" t="s">
        <v>74</v>
      </c>
      <c r="B20" s="45" t="s">
        <v>75</v>
      </c>
      <c r="C20" s="45"/>
      <c r="D20" s="29" t="s">
        <v>75</v>
      </c>
      <c r="E20" s="29"/>
      <c r="F20" s="29"/>
      <c r="G20" s="29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9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8"/>
    </row>
    <row r="21" spans="1:32" ht="12.75">
      <c r="A21" s="88"/>
      <c r="B21" s="100"/>
      <c r="C21" s="49"/>
      <c r="D21" s="20"/>
      <c r="E21" s="20"/>
      <c r="F21" s="20"/>
      <c r="G21" s="20"/>
      <c r="H21" s="100"/>
      <c r="I21" s="100"/>
      <c r="J21" s="100"/>
      <c r="K21" s="101"/>
      <c r="L21" s="102"/>
      <c r="M21" s="102"/>
      <c r="N21" s="102"/>
      <c r="O21" s="102"/>
      <c r="P21" s="102"/>
      <c r="Q21" s="102"/>
      <c r="R21" s="103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5"/>
    </row>
    <row r="22" spans="1:32" ht="12.75">
      <c r="A22" s="56"/>
      <c r="B22" s="49"/>
      <c r="C22" s="49"/>
      <c r="D22" s="13"/>
      <c r="E22" s="13"/>
      <c r="F22" s="13"/>
      <c r="G22" s="13"/>
      <c r="H22" s="49"/>
      <c r="I22" s="49"/>
      <c r="J22" s="49"/>
      <c r="K22" s="109"/>
      <c r="L22" s="104"/>
      <c r="M22" s="104"/>
      <c r="N22" s="104"/>
      <c r="O22" s="104"/>
      <c r="P22" s="104"/>
      <c r="Q22" s="104"/>
      <c r="R22" s="103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5"/>
    </row>
    <row r="23" spans="1:32" ht="12.75">
      <c r="A23" s="59" t="s">
        <v>74</v>
      </c>
      <c r="B23" s="45" t="s">
        <v>75</v>
      </c>
      <c r="C23" s="45"/>
      <c r="D23" s="29" t="s">
        <v>75</v>
      </c>
      <c r="E23" s="29"/>
      <c r="F23" s="29"/>
      <c r="G23" s="29"/>
      <c r="H23" s="45"/>
      <c r="I23" s="45"/>
      <c r="J23" s="45"/>
      <c r="K23" s="45"/>
      <c r="L23" s="45">
        <f>SUM(L17:L19)-SUM(K17:K19)+SUM(L2:L15)-SUM(K2:K15)+SUM(L21:L22)-SUM(K21:K22)</f>
        <v>-1.9740834922394015</v>
      </c>
      <c r="M23" s="45"/>
      <c r="N23" s="45"/>
      <c r="O23" s="45"/>
      <c r="P23" s="45"/>
      <c r="Q23" s="45"/>
      <c r="R23" s="56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57"/>
    </row>
    <row r="24" spans="1:32" ht="12.75">
      <c r="A24" s="88"/>
      <c r="B24" s="100"/>
      <c r="C24" s="49"/>
      <c r="D24" s="20"/>
      <c r="E24" s="20"/>
      <c r="F24" s="20"/>
      <c r="G24" s="20"/>
      <c r="H24" s="100"/>
      <c r="I24" s="100"/>
      <c r="J24" s="100"/>
      <c r="K24" s="100"/>
      <c r="L24" s="100"/>
      <c r="M24" s="102"/>
      <c r="N24" s="102"/>
      <c r="O24" s="102"/>
      <c r="P24" s="102"/>
      <c r="Q24" s="102"/>
      <c r="R24" s="106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7"/>
    </row>
    <row r="25" spans="1:32" ht="12.75">
      <c r="A25" s="56"/>
      <c r="B25" s="49"/>
      <c r="C25" s="49"/>
      <c r="D25" s="13"/>
      <c r="E25" s="13"/>
      <c r="F25" s="13"/>
      <c r="G25" s="13"/>
      <c r="H25" s="49"/>
      <c r="I25" s="49"/>
      <c r="J25" s="49"/>
      <c r="K25" s="104"/>
      <c r="L25" s="99"/>
      <c r="M25" s="104"/>
      <c r="N25" s="104"/>
      <c r="O25" s="104"/>
      <c r="P25" s="104"/>
      <c r="Q25" s="104"/>
      <c r="R25" s="103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5"/>
    </row>
    <row r="26" spans="1:32" ht="12.75">
      <c r="A26" s="59" t="s">
        <v>74</v>
      </c>
      <c r="B26" s="45" t="s">
        <v>75</v>
      </c>
      <c r="C26" s="45"/>
      <c r="D26" s="29" t="s">
        <v>75</v>
      </c>
      <c r="E26" s="29"/>
      <c r="F26" s="29"/>
      <c r="G26" s="29"/>
      <c r="H26" s="45"/>
      <c r="I26" s="45"/>
      <c r="J26" s="45"/>
      <c r="K26" s="45"/>
      <c r="L26" s="45"/>
      <c r="M26" s="45">
        <f>SUM(M2:M22)-SUM(L2:L22)</f>
        <v>-1.9642130747782289</v>
      </c>
      <c r="N26" s="45"/>
      <c r="O26" s="45"/>
      <c r="P26" s="45"/>
      <c r="Q26" s="45"/>
      <c r="R26" s="59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8"/>
    </row>
    <row r="27" spans="1:32" ht="12.75">
      <c r="A27" s="88"/>
      <c r="B27" s="100"/>
      <c r="C27" s="49"/>
      <c r="D27" s="20"/>
      <c r="E27" s="20"/>
      <c r="F27" s="20"/>
      <c r="G27" s="20"/>
      <c r="H27" s="100"/>
      <c r="I27" s="100"/>
      <c r="J27" s="100"/>
      <c r="K27" s="100"/>
      <c r="L27" s="100"/>
      <c r="M27" s="100"/>
      <c r="N27" s="102"/>
      <c r="O27" s="102"/>
      <c r="P27" s="102"/>
      <c r="Q27" s="102"/>
      <c r="R27" s="103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5"/>
    </row>
    <row r="28" spans="1:32" ht="12.75">
      <c r="A28" s="56"/>
      <c r="B28" s="49"/>
      <c r="C28" s="49"/>
      <c r="D28" s="13"/>
      <c r="E28" s="13"/>
      <c r="F28" s="13"/>
      <c r="G28" s="13"/>
      <c r="H28" s="49"/>
      <c r="I28" s="49"/>
      <c r="J28" s="49"/>
      <c r="K28" s="104"/>
      <c r="L28" s="99"/>
      <c r="M28" s="104"/>
      <c r="N28" s="104"/>
      <c r="O28" s="104"/>
      <c r="P28" s="104"/>
      <c r="Q28" s="104"/>
      <c r="R28" s="103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5"/>
    </row>
    <row r="29" spans="1:32" ht="12.75">
      <c r="A29" s="59" t="s">
        <v>74</v>
      </c>
      <c r="B29" s="45" t="s">
        <v>75</v>
      </c>
      <c r="C29" s="45"/>
      <c r="D29" s="29" t="s">
        <v>75</v>
      </c>
      <c r="E29" s="29"/>
      <c r="F29" s="29"/>
      <c r="G29" s="29"/>
      <c r="H29" s="45"/>
      <c r="I29" s="45"/>
      <c r="J29" s="45"/>
      <c r="K29" s="45"/>
      <c r="L29" s="45"/>
      <c r="M29" s="45"/>
      <c r="N29" s="45">
        <f>SUM(N2:N25)-SUM(M2:M25)</f>
        <v>-1.9543920094045006</v>
      </c>
      <c r="O29" s="45"/>
      <c r="P29" s="45"/>
      <c r="Q29" s="45"/>
      <c r="R29" s="56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57"/>
    </row>
    <row r="30" spans="1:32" ht="12.75">
      <c r="A30" s="88"/>
      <c r="B30" s="100"/>
      <c r="C30" s="49"/>
      <c r="D30" s="20"/>
      <c r="E30" s="20"/>
      <c r="F30" s="20"/>
      <c r="G30" s="20"/>
      <c r="H30" s="100"/>
      <c r="I30" s="100"/>
      <c r="J30" s="100"/>
      <c r="K30" s="100"/>
      <c r="L30" s="100"/>
      <c r="M30" s="100"/>
      <c r="N30" s="100"/>
      <c r="O30" s="96"/>
      <c r="P30" s="102"/>
      <c r="Q30" s="102"/>
      <c r="R30" s="106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7"/>
    </row>
    <row r="31" spans="1:32" ht="12.75">
      <c r="A31" s="56"/>
      <c r="B31" s="49"/>
      <c r="C31" s="49"/>
      <c r="D31" s="13"/>
      <c r="E31" s="13"/>
      <c r="F31" s="13"/>
      <c r="G31" s="13"/>
      <c r="H31" s="49"/>
      <c r="I31" s="49"/>
      <c r="J31" s="49"/>
      <c r="K31" s="104"/>
      <c r="L31" s="99"/>
      <c r="M31" s="99"/>
      <c r="N31" s="99"/>
      <c r="O31" s="99"/>
      <c r="P31" s="104"/>
      <c r="Q31" s="104"/>
      <c r="R31" s="103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5"/>
    </row>
    <row r="32" spans="1:32" ht="12.75">
      <c r="A32" s="59" t="s">
        <v>74</v>
      </c>
      <c r="B32" s="45" t="s">
        <v>75</v>
      </c>
      <c r="C32" s="45"/>
      <c r="D32" s="29" t="s">
        <v>75</v>
      </c>
      <c r="E32" s="29"/>
      <c r="F32" s="29"/>
      <c r="G32" s="29"/>
      <c r="H32" s="45"/>
      <c r="I32" s="45"/>
      <c r="J32" s="45"/>
      <c r="K32" s="45"/>
      <c r="L32" s="45"/>
      <c r="M32" s="45"/>
      <c r="N32" s="45"/>
      <c r="O32" s="45">
        <f>SUM(O2:O28)-SUM(N2:N28)</f>
        <v>-1.9446200493574111</v>
      </c>
      <c r="P32" s="45"/>
      <c r="Q32" s="45"/>
      <c r="R32" s="59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8"/>
    </row>
    <row r="33" spans="1:32" ht="12.75">
      <c r="A33" s="88"/>
      <c r="B33" s="100"/>
      <c r="C33" s="49"/>
      <c r="D33" s="20"/>
      <c r="E33" s="20"/>
      <c r="F33" s="20"/>
      <c r="G33" s="2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56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57"/>
    </row>
    <row r="34" spans="1:32" ht="12.75">
      <c r="A34" s="59" t="s">
        <v>74</v>
      </c>
      <c r="B34" s="45" t="s">
        <v>75</v>
      </c>
      <c r="C34" s="45"/>
      <c r="D34" s="29" t="s">
        <v>75</v>
      </c>
      <c r="E34" s="29"/>
      <c r="F34" s="29"/>
      <c r="G34" s="29"/>
      <c r="H34" s="45"/>
      <c r="I34" s="45"/>
      <c r="J34" s="45"/>
      <c r="K34" s="45"/>
      <c r="L34" s="45"/>
      <c r="M34" s="45"/>
      <c r="N34" s="45"/>
      <c r="O34" s="45"/>
      <c r="P34" s="45">
        <f>SUM(P2:P31)-SUM(O2:O31)</f>
        <v>-1.9348969491105095</v>
      </c>
      <c r="Q34" s="45"/>
      <c r="R34" s="56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7"/>
    </row>
    <row r="35" spans="1:32" ht="12.75">
      <c r="A35" s="56"/>
      <c r="B35" s="49"/>
      <c r="C35" s="49"/>
      <c r="D35" s="13"/>
      <c r="E35" s="13"/>
      <c r="F35" s="13"/>
      <c r="G35" s="13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88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10"/>
    </row>
    <row r="36" spans="1:32" ht="12.75">
      <c r="A36" s="59" t="s">
        <v>74</v>
      </c>
      <c r="B36" s="45" t="s">
        <v>75</v>
      </c>
      <c r="C36" s="45"/>
      <c r="D36" s="29" t="s">
        <v>75</v>
      </c>
      <c r="E36" s="29"/>
      <c r="F36" s="29"/>
      <c r="G36" s="29"/>
      <c r="H36" s="45"/>
      <c r="I36" s="45"/>
      <c r="J36" s="45"/>
      <c r="K36" s="45"/>
      <c r="L36" s="45"/>
      <c r="M36" s="45"/>
      <c r="N36" s="45"/>
      <c r="O36" s="45"/>
      <c r="P36" s="45"/>
      <c r="Q36" s="45">
        <f>SUM(Q2:Q33)-SUM(P2:P33)</f>
        <v>-1.925222464365163</v>
      </c>
      <c r="R36" s="59">
        <f t="shared" ref="R36:AF36" si="84">SUM(R2:R33)-SUM(Q2:Q33)</f>
        <v>-1.9155963520431669</v>
      </c>
      <c r="S36" s="45">
        <f t="shared" si="84"/>
        <v>-1.9060183702829931</v>
      </c>
      <c r="T36" s="45">
        <f t="shared" si="84"/>
        <v>-1.8964882784316046</v>
      </c>
      <c r="U36" s="45">
        <f t="shared" si="84"/>
        <v>-1.8870058370395668</v>
      </c>
      <c r="V36" s="45">
        <f t="shared" si="84"/>
        <v>-1.8775708078541697</v>
      </c>
      <c r="W36" s="45">
        <f t="shared" si="84"/>
        <v>-1.8681829538149373</v>
      </c>
      <c r="X36" s="45">
        <f t="shared" si="84"/>
        <v>-1.8588420390458964</v>
      </c>
      <c r="Y36" s="45">
        <f t="shared" si="84"/>
        <v>-1.849547828850632</v>
      </c>
      <c r="Z36" s="45">
        <f t="shared" si="84"/>
        <v>-1.8403000897065454</v>
      </c>
      <c r="AA36" s="45">
        <f t="shared" si="84"/>
        <v>-1.8310985892578628</v>
      </c>
      <c r="AB36" s="45">
        <f t="shared" si="84"/>
        <v>-1.8219430963115428</v>
      </c>
      <c r="AC36" s="45">
        <f t="shared" si="84"/>
        <v>-1.8128333808299999</v>
      </c>
      <c r="AD36" s="45">
        <f t="shared" si="84"/>
        <v>-1.803769213925932</v>
      </c>
      <c r="AE36" s="45">
        <f t="shared" si="84"/>
        <v>-1.7947503678562384</v>
      </c>
      <c r="AF36" s="48">
        <f t="shared" si="84"/>
        <v>-1.7857766160170172</v>
      </c>
    </row>
  </sheetData>
  <pageMargins left="0.7" right="0.7" top="0.75" bottom="0.75" header="0.3" footer="0.3"/>
  <pageSetup paperSize="17" scale="55" orientation="landscape" horizontalDpi="1200" verticalDpi="1200" r:id="rId1"/>
  <ignoredErrors>
    <ignoredError sqref="C13 J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sqref="A1:XFD1048576"/>
    </sheetView>
  </sheetViews>
  <sheetFormatPr defaultRowHeight="12"/>
  <cols>
    <col min="1" max="1" width="9" style="87"/>
    <col min="2" max="2" width="8" style="87" bestFit="1" customWidth="1"/>
    <col min="3" max="3" width="9" style="87"/>
    <col min="4" max="4" width="11" style="87" bestFit="1" customWidth="1"/>
    <col min="5" max="10" width="9" style="87"/>
    <col min="11" max="11" width="10" style="87" bestFit="1" customWidth="1"/>
    <col min="12" max="16384" width="9" style="87"/>
  </cols>
  <sheetData>
    <row r="1" spans="1:17">
      <c r="A1" s="79" t="s">
        <v>115</v>
      </c>
      <c r="B1" s="80"/>
      <c r="C1" s="81" t="s">
        <v>116</v>
      </c>
      <c r="D1" s="82">
        <f>0.5/100</f>
        <v>5.0000000000000001E-3</v>
      </c>
      <c r="E1" s="85">
        <v>42583</v>
      </c>
      <c r="F1" s="85">
        <v>42948</v>
      </c>
      <c r="G1" s="85">
        <v>43313</v>
      </c>
      <c r="H1" s="85">
        <v>43678</v>
      </c>
      <c r="I1" s="85">
        <v>44044</v>
      </c>
      <c r="J1" s="85">
        <v>44409</v>
      </c>
      <c r="K1" s="85">
        <v>44774</v>
      </c>
      <c r="L1" s="85">
        <v>45139</v>
      </c>
      <c r="M1" s="85">
        <v>45505</v>
      </c>
      <c r="N1" s="85">
        <v>45870</v>
      </c>
      <c r="O1" s="85">
        <v>46235</v>
      </c>
      <c r="P1" s="85">
        <v>46600</v>
      </c>
      <c r="Q1" s="86">
        <v>46966</v>
      </c>
    </row>
    <row r="2" spans="1:17">
      <c r="A2" s="88" t="s">
        <v>118</v>
      </c>
      <c r="B2" s="89">
        <v>3.8</v>
      </c>
      <c r="C2" s="89">
        <f>B2*0.45</f>
        <v>1.71</v>
      </c>
      <c r="D2" s="90">
        <v>42502</v>
      </c>
      <c r="E2" s="95"/>
      <c r="F2" s="43">
        <f>(Solar_Capacity!F2-Solar_Capacity!E2)</f>
        <v>-8.5500000000000576E-3</v>
      </c>
      <c r="G2" s="43">
        <f>(Solar_Capacity!G2-Solar_Capacity!F2)</f>
        <v>-8.5072500000000773E-3</v>
      </c>
      <c r="H2" s="43">
        <f>(Solar_Capacity!H2-Solar_Capacity!G2)</f>
        <v>-8.4647137500000191E-3</v>
      </c>
      <c r="I2" s="43">
        <f>(Solar_Capacity!I2-Solar_Capacity!H2)</f>
        <v>-8.4223901812499058E-3</v>
      </c>
      <c r="J2" s="43">
        <f>(Solar_Capacity!J2-Solar_Capacity!I2)</f>
        <v>-8.3802782303437073E-3</v>
      </c>
      <c r="K2" s="43">
        <f>(Solar_Capacity!K2-Solar_Capacity!J2)</f>
        <v>-8.3383768391920299E-3</v>
      </c>
      <c r="L2" s="43">
        <f>(Solar_Capacity!L2-Solar_Capacity!K2)</f>
        <v>-8.2966849549961363E-3</v>
      </c>
      <c r="M2" s="43">
        <f>(Solar_Capacity!M2-Solar_Capacity!L2)</f>
        <v>-8.2552015302210791E-3</v>
      </c>
      <c r="N2" s="43">
        <f>(Solar_Capacity!N2-Solar_Capacity!M2)</f>
        <v>-8.2139255225699426E-3</v>
      </c>
      <c r="O2" s="43">
        <f>(Solar_Capacity!O2-Solar_Capacity!N2)</f>
        <v>-8.1728558949571983E-3</v>
      </c>
      <c r="P2" s="43">
        <f>(Solar_Capacity!P2-Solar_Capacity!O2)</f>
        <v>-8.1319916154822813E-3</v>
      </c>
      <c r="Q2" s="46">
        <f>(Solar_Capacity!Q2-Solar_Capacity!P2)</f>
        <v>-8.0913316574049432E-3</v>
      </c>
    </row>
    <row r="3" spans="1:17">
      <c r="A3" s="56" t="s">
        <v>119</v>
      </c>
      <c r="B3" s="93">
        <v>5</v>
      </c>
      <c r="C3" s="93">
        <f>B3*0.45</f>
        <v>2.25</v>
      </c>
      <c r="D3" s="94">
        <v>42604</v>
      </c>
      <c r="E3" s="95"/>
      <c r="F3" s="44">
        <f>(Solar_Capacity!F3-Solar_Capacity!E3)</f>
        <v>-1.1249999999999982E-2</v>
      </c>
      <c r="G3" s="44">
        <f>(Solar_Capacity!G3-Solar_Capacity!F3)</f>
        <v>-1.1193749999999891E-2</v>
      </c>
      <c r="H3" s="44">
        <f>(Solar_Capacity!H3-Solar_Capacity!G3)</f>
        <v>-1.1137781249999978E-2</v>
      </c>
      <c r="I3" s="44">
        <f>(Solar_Capacity!I3-Solar_Capacity!H3)</f>
        <v>-1.1082092343750016E-2</v>
      </c>
      <c r="J3" s="44">
        <f>(Solar_Capacity!J3-Solar_Capacity!I3)</f>
        <v>-1.1026681882031042E-2</v>
      </c>
      <c r="K3" s="44">
        <f>(Solar_Capacity!K3-Solar_Capacity!J3)</f>
        <v>-1.0971548472621162E-2</v>
      </c>
      <c r="L3" s="44">
        <f>(Solar_Capacity!L3-Solar_Capacity!K3)</f>
        <v>-1.0916690730257805E-2</v>
      </c>
      <c r="M3" s="44">
        <f>(Solar_Capacity!M3-Solar_Capacity!L3)</f>
        <v>-1.0862107276606636E-2</v>
      </c>
      <c r="N3" s="44">
        <f>(Solar_Capacity!N3-Solar_Capacity!M3)</f>
        <v>-1.0807796740223807E-2</v>
      </c>
      <c r="O3" s="44">
        <f>(Solar_Capacity!O3-Solar_Capacity!N3)</f>
        <v>-1.0753757756522653E-2</v>
      </c>
      <c r="P3" s="44">
        <f>(Solar_Capacity!P3-Solar_Capacity!O3)</f>
        <v>-1.0699988967739937E-2</v>
      </c>
      <c r="Q3" s="47">
        <f>(Solar_Capacity!Q3-Solar_Capacity!P3)</f>
        <v>-1.0646489022901218E-2</v>
      </c>
    </row>
    <row r="4" spans="1:17">
      <c r="A4" s="88" t="s">
        <v>120</v>
      </c>
      <c r="B4" s="96">
        <v>8.8000000000000007</v>
      </c>
      <c r="C4" s="96">
        <f>B4*0.45</f>
        <v>3.9600000000000004</v>
      </c>
      <c r="D4" s="90">
        <v>43060</v>
      </c>
      <c r="E4" s="90"/>
      <c r="F4" s="94"/>
      <c r="G4" s="95"/>
      <c r="H4" s="43">
        <f>(Solar_Capacity!H4-Solar_Capacity!G4)</f>
        <v>-1.980000000000004E-2</v>
      </c>
      <c r="I4" s="43">
        <f>(Solar_Capacity!I4-Solar_Capacity!H4)</f>
        <v>-1.9700999999999969E-2</v>
      </c>
      <c r="J4" s="43">
        <f>(Solar_Capacity!J4-Solar_Capacity!I4)</f>
        <v>-1.9602494999999998E-2</v>
      </c>
      <c r="K4" s="43">
        <f>(Solar_Capacity!K4-Solar_Capacity!J4)</f>
        <v>-1.9504482524999922E-2</v>
      </c>
      <c r="L4" s="43">
        <f>(Solar_Capacity!L4-Solar_Capacity!K4)</f>
        <v>-1.9406960112374971E-2</v>
      </c>
      <c r="M4" s="43">
        <f>(Solar_Capacity!M4-Solar_Capacity!L4)</f>
        <v>-1.9309925311813192E-2</v>
      </c>
      <c r="N4" s="43">
        <f>(Solar_Capacity!N4-Solar_Capacity!M4)</f>
        <v>-1.9213375685254164E-2</v>
      </c>
      <c r="O4" s="43">
        <f>(Solar_Capacity!O4-Solar_Capacity!N4)</f>
        <v>-1.9117308806827715E-2</v>
      </c>
      <c r="P4" s="43">
        <f>(Solar_Capacity!P4-Solar_Capacity!O4)</f>
        <v>-1.9021722262793528E-2</v>
      </c>
      <c r="Q4" s="46">
        <f>(Solar_Capacity!Q4-Solar_Capacity!P4)</f>
        <v>-1.8926613651479851E-2</v>
      </c>
    </row>
    <row r="5" spans="1:17">
      <c r="A5" s="56" t="s">
        <v>74</v>
      </c>
      <c r="B5" s="99"/>
      <c r="C5" s="99"/>
      <c r="D5" s="94"/>
      <c r="E5" s="94"/>
      <c r="F5" s="43">
        <f>SUM(F$2:F4)</f>
        <v>-1.980000000000004E-2</v>
      </c>
      <c r="G5" s="104">
        <f>SUM(G$2:G4)</f>
        <v>-1.9700999999999969E-2</v>
      </c>
      <c r="H5" s="43">
        <f>SUM(H$2:H4)</f>
        <v>-3.9402495000000037E-2</v>
      </c>
      <c r="I5" s="43"/>
      <c r="J5" s="43"/>
      <c r="K5" s="43"/>
      <c r="L5" s="43"/>
      <c r="M5" s="43"/>
      <c r="N5" s="43"/>
      <c r="O5" s="43"/>
      <c r="P5" s="43"/>
      <c r="Q5" s="46"/>
    </row>
    <row r="6" spans="1:17" ht="12.75">
      <c r="A6" s="88" t="s">
        <v>121</v>
      </c>
      <c r="B6" s="100">
        <v>74.900000000000006</v>
      </c>
      <c r="C6" s="100">
        <f>B6*0.57</f>
        <v>42.692999999999998</v>
      </c>
      <c r="D6" s="20">
        <v>43435</v>
      </c>
      <c r="E6" s="20"/>
      <c r="F6" s="20"/>
      <c r="G6" s="13"/>
      <c r="H6" s="101"/>
      <c r="I6" s="92">
        <f>(Solar_Capacity!I6-Solar_Capacity!H6)</f>
        <v>-0.21346499999999935</v>
      </c>
      <c r="J6" s="92">
        <f>(Solar_Capacity!J6-Solar_Capacity!I6)</f>
        <v>-0.21239767499999829</v>
      </c>
      <c r="K6" s="92">
        <f>(Solar_Capacity!K6-Solar_Capacity!J6)</f>
        <v>-0.21133568662499869</v>
      </c>
      <c r="L6" s="92">
        <f>(Solar_Capacity!L6-Solar_Capacity!K6)</f>
        <v>-0.2102790081918755</v>
      </c>
      <c r="M6" s="92">
        <f>(Solar_Capacity!M6-Solar_Capacity!L6)</f>
        <v>-0.2092276131509152</v>
      </c>
      <c r="N6" s="92">
        <f>(Solar_Capacity!N6-Solar_Capacity!M6)</f>
        <v>-0.20818147508516205</v>
      </c>
      <c r="O6" s="92">
        <f>(Solar_Capacity!O6-Solar_Capacity!N6)</f>
        <v>-0.20714056770973599</v>
      </c>
      <c r="P6" s="92">
        <f>(Solar_Capacity!P6-Solar_Capacity!O6)</f>
        <v>-0.20610486487118607</v>
      </c>
      <c r="Q6" s="98">
        <f>(Solar_Capacity!Q6-Solar_Capacity!P6)</f>
        <v>-0.2050743405468296</v>
      </c>
    </row>
    <row r="7" spans="1:17" ht="12.75">
      <c r="A7" s="56" t="s">
        <v>74</v>
      </c>
      <c r="B7" s="49"/>
      <c r="C7" s="49"/>
      <c r="D7" s="13"/>
      <c r="E7" s="13"/>
      <c r="F7" s="13"/>
      <c r="G7" s="13"/>
      <c r="H7" s="49"/>
      <c r="I7" s="43">
        <f>SUM(I$2:I6)</f>
        <v>-0.25267048252499924</v>
      </c>
      <c r="J7" s="43"/>
      <c r="K7" s="43"/>
      <c r="L7" s="43"/>
      <c r="M7" s="43"/>
      <c r="N7" s="43"/>
      <c r="O7" s="43"/>
      <c r="P7" s="43"/>
      <c r="Q7" s="46"/>
    </row>
    <row r="8" spans="1:17" ht="12.75">
      <c r="A8" s="88" t="s">
        <v>47</v>
      </c>
      <c r="B8" s="100">
        <v>0.5</v>
      </c>
      <c r="C8" s="100">
        <v>0.22500000000000001</v>
      </c>
      <c r="D8" s="20">
        <v>43800</v>
      </c>
      <c r="E8" s="20"/>
      <c r="F8" s="20"/>
      <c r="G8" s="20"/>
      <c r="H8" s="100"/>
      <c r="I8" s="102"/>
      <c r="J8" s="92">
        <f>(Solar_Capacity!J8-Solar_Capacity!I8)</f>
        <v>-1.1250000000000149E-3</v>
      </c>
      <c r="K8" s="92">
        <f>(Solar_Capacity!K8-Solar_Capacity!J8)</f>
        <v>-1.1193750000000058E-3</v>
      </c>
      <c r="L8" s="92">
        <f>(Solar_Capacity!L8-Solar_Capacity!K8)</f>
        <v>-1.1137781249999923E-3</v>
      </c>
      <c r="M8" s="92">
        <f>(Solar_Capacity!M8-Solar_Capacity!L8)</f>
        <v>-1.1082092343749905E-3</v>
      </c>
      <c r="N8" s="92">
        <f>(Solar_Capacity!N8-Solar_Capacity!M8)</f>
        <v>-1.1026681882031208E-3</v>
      </c>
      <c r="O8" s="92">
        <f>(Solar_Capacity!O8-Solar_Capacity!N8)</f>
        <v>-1.0971548472621107E-3</v>
      </c>
      <c r="P8" s="92">
        <f>(Solar_Capacity!P8-Solar_Capacity!O8)</f>
        <v>-1.0916690730257972E-3</v>
      </c>
      <c r="Q8" s="98">
        <f>(Solar_Capacity!Q8-Solar_Capacity!P8)</f>
        <v>-1.0862107276606581E-3</v>
      </c>
    </row>
    <row r="9" spans="1:17" ht="12.75">
      <c r="A9" s="56" t="s">
        <v>53</v>
      </c>
      <c r="B9" s="49">
        <v>74.900000000000006</v>
      </c>
      <c r="C9" s="49">
        <f>B9*0.57</f>
        <v>42.692999999999998</v>
      </c>
      <c r="D9" s="13">
        <v>43800</v>
      </c>
      <c r="E9" s="13"/>
      <c r="F9" s="13"/>
      <c r="G9" s="13"/>
      <c r="H9" s="49"/>
      <c r="I9" s="49"/>
      <c r="J9" s="43">
        <f>(Solar_Capacity!J9-Solar_Capacity!I9)</f>
        <v>-0.21346499999999935</v>
      </c>
      <c r="K9" s="43">
        <f>(Solar_Capacity!K9-Solar_Capacity!J9)</f>
        <v>-0.21239767499999829</v>
      </c>
      <c r="L9" s="43">
        <f>(Solar_Capacity!L9-Solar_Capacity!K9)</f>
        <v>-0.21133568662499869</v>
      </c>
      <c r="M9" s="43">
        <f>(Solar_Capacity!M9-Solar_Capacity!L9)</f>
        <v>-0.2102790081918755</v>
      </c>
      <c r="N9" s="43">
        <f>(Solar_Capacity!N9-Solar_Capacity!M9)</f>
        <v>-0.2092276131509152</v>
      </c>
      <c r="O9" s="43">
        <f>(Solar_Capacity!O9-Solar_Capacity!N9)</f>
        <v>-0.20818147508516205</v>
      </c>
      <c r="P9" s="43">
        <f>(Solar_Capacity!P9-Solar_Capacity!O9)</f>
        <v>-0.20714056770973599</v>
      </c>
      <c r="Q9" s="46">
        <f>(Solar_Capacity!Q9-Solar_Capacity!P9)</f>
        <v>-0.20610486487118607</v>
      </c>
    </row>
    <row r="10" spans="1:17" ht="12.75">
      <c r="A10" s="56" t="s">
        <v>55</v>
      </c>
      <c r="B10" s="49">
        <v>45</v>
      </c>
      <c r="C10" s="49">
        <f>B10*0.57</f>
        <v>25.65</v>
      </c>
      <c r="D10" s="13">
        <v>43800</v>
      </c>
      <c r="E10" s="13"/>
      <c r="F10" s="13"/>
      <c r="G10" s="13"/>
      <c r="H10" s="49"/>
      <c r="I10" s="49"/>
      <c r="J10" s="43">
        <f>(Solar_Capacity!J10-Solar_Capacity!I10)</f>
        <v>-0.12825000000000131</v>
      </c>
      <c r="K10" s="43">
        <f>(Solar_Capacity!K10-Solar_Capacity!J10)</f>
        <v>-0.12760875000000027</v>
      </c>
      <c r="L10" s="43">
        <f>(Solar_Capacity!L10-Solar_Capacity!K10)</f>
        <v>-0.12697070624999895</v>
      </c>
      <c r="M10" s="43">
        <f>(Solar_Capacity!M10-Solar_Capacity!L10)</f>
        <v>-0.12633585271874992</v>
      </c>
      <c r="N10" s="43">
        <f>(Solar_Capacity!N10-Solar_Capacity!M10)</f>
        <v>-0.12570417345515494</v>
      </c>
      <c r="O10" s="43">
        <f>(Solar_Capacity!O10-Solar_Capacity!N10)</f>
        <v>-0.12507565258788134</v>
      </c>
      <c r="P10" s="43">
        <f>(Solar_Capacity!P10-Solar_Capacity!O10)</f>
        <v>-0.12445027432494271</v>
      </c>
      <c r="Q10" s="46">
        <f>(Solar_Capacity!Q10-Solar_Capacity!P10)</f>
        <v>-0.1238280229533153</v>
      </c>
    </row>
    <row r="11" spans="1:17" ht="12.75">
      <c r="A11" s="59" t="s">
        <v>74</v>
      </c>
      <c r="B11" s="45"/>
      <c r="C11" s="45"/>
      <c r="D11" s="30"/>
      <c r="E11" s="30"/>
      <c r="F11" s="30"/>
      <c r="G11" s="30"/>
      <c r="H11" s="45"/>
      <c r="I11" s="45"/>
      <c r="J11" s="44">
        <f>SUM(J$2:J10)+J12+J13</f>
        <v>-0.97533713011237411</v>
      </c>
      <c r="K11" s="44"/>
      <c r="L11" s="44"/>
      <c r="M11" s="44"/>
      <c r="N11" s="44"/>
      <c r="O11" s="44"/>
      <c r="P11" s="44"/>
      <c r="Q11" s="47"/>
    </row>
    <row r="12" spans="1:17" ht="12.75">
      <c r="A12" s="56" t="s">
        <v>60</v>
      </c>
      <c r="B12" s="49">
        <v>74.900000000000006</v>
      </c>
      <c r="C12" s="100">
        <f>B12*0.57</f>
        <v>42.692999999999998</v>
      </c>
      <c r="D12" s="13">
        <v>43891</v>
      </c>
      <c r="E12" s="13"/>
      <c r="F12" s="13"/>
      <c r="G12" s="13"/>
      <c r="H12" s="49"/>
      <c r="I12" s="108"/>
      <c r="J12" s="92">
        <f>(Solar_Capacity!J12-Solar_Capacity!I12)</f>
        <v>-0.21346499999999935</v>
      </c>
      <c r="K12" s="92">
        <f>(Solar_Capacity!K12-Solar_Capacity!J12)</f>
        <v>-0.21239767499999829</v>
      </c>
      <c r="L12" s="92">
        <f>(Solar_Capacity!L12-Solar_Capacity!K12)</f>
        <v>-0.21133568662499869</v>
      </c>
      <c r="M12" s="92">
        <f>(Solar_Capacity!M12-Solar_Capacity!L12)</f>
        <v>-0.2102790081918755</v>
      </c>
      <c r="N12" s="92">
        <f>(Solar_Capacity!N12-Solar_Capacity!M12)</f>
        <v>-0.2092276131509152</v>
      </c>
      <c r="O12" s="92">
        <f>(Solar_Capacity!O12-Solar_Capacity!N12)</f>
        <v>-0.20818147508516205</v>
      </c>
      <c r="P12" s="92">
        <f>(Solar_Capacity!P12-Solar_Capacity!O12)</f>
        <v>-0.20714056770973599</v>
      </c>
      <c r="Q12" s="98">
        <f>(Solar_Capacity!Q12-Solar_Capacity!P12)</f>
        <v>-0.20610486487118607</v>
      </c>
    </row>
    <row r="13" spans="1:17" ht="12.75">
      <c r="A13" s="56" t="s">
        <v>57</v>
      </c>
      <c r="B13" s="49">
        <v>74.5</v>
      </c>
      <c r="C13" s="49">
        <f>B13*0.45</f>
        <v>33.524999999999999</v>
      </c>
      <c r="D13" s="13">
        <v>43891</v>
      </c>
      <c r="E13" s="13"/>
      <c r="F13" s="13"/>
      <c r="G13" s="13"/>
      <c r="H13" s="49"/>
      <c r="I13" s="49"/>
      <c r="J13" s="43">
        <f>(Solar_Capacity!J13-Solar_Capacity!I13)</f>
        <v>-0.16762500000000102</v>
      </c>
      <c r="K13" s="43">
        <f>(Solar_Capacity!K13-Solar_Capacity!J13)</f>
        <v>-0.16678687499999967</v>
      </c>
      <c r="L13" s="43">
        <f>(Solar_Capacity!L13-Solar_Capacity!K13)</f>
        <v>-0.16595294062499732</v>
      </c>
      <c r="M13" s="43">
        <f>(Solar_Capacity!M13-Solar_Capacity!L13)</f>
        <v>-0.16512317592187742</v>
      </c>
      <c r="N13" s="43">
        <f>(Solar_Capacity!N13-Solar_Capacity!M13)</f>
        <v>-0.16429756004226448</v>
      </c>
      <c r="O13" s="43">
        <f>(Solar_Capacity!O13-Solar_Capacity!N13)</f>
        <v>-0.16347607224205518</v>
      </c>
      <c r="P13" s="43">
        <f>(Solar_Capacity!P13-Solar_Capacity!O13)</f>
        <v>-0.16265869188084281</v>
      </c>
      <c r="Q13" s="46">
        <f>(Solar_Capacity!Q13-Solar_Capacity!P13)</f>
        <v>-0.16184539842144119</v>
      </c>
    </row>
    <row r="14" spans="1:17" ht="12.75">
      <c r="A14" s="56" t="s">
        <v>61</v>
      </c>
      <c r="B14" s="49">
        <v>74.900000000000006</v>
      </c>
      <c r="C14" s="49">
        <f>B14*0.57</f>
        <v>42.692999999999998</v>
      </c>
      <c r="D14" s="13">
        <v>44166</v>
      </c>
      <c r="E14" s="13"/>
      <c r="F14" s="13"/>
      <c r="G14" s="13"/>
      <c r="H14" s="49"/>
      <c r="I14" s="49"/>
      <c r="J14" s="104"/>
      <c r="K14" s="43">
        <f>(Solar_Capacity!K14-Solar_Capacity!J14)</f>
        <v>-0.21346499999999935</v>
      </c>
      <c r="L14" s="43">
        <f>(Solar_Capacity!L14-Solar_Capacity!K14)</f>
        <v>-0.21239767499999829</v>
      </c>
      <c r="M14" s="43">
        <f>(Solar_Capacity!M14-Solar_Capacity!L14)</f>
        <v>-0.21133568662499869</v>
      </c>
      <c r="N14" s="43">
        <f>(Solar_Capacity!N14-Solar_Capacity!M14)</f>
        <v>-0.2102790081918755</v>
      </c>
      <c r="O14" s="43">
        <f>(Solar_Capacity!O14-Solar_Capacity!N14)</f>
        <v>-0.2092276131509152</v>
      </c>
      <c r="P14" s="43">
        <f>(Solar_Capacity!P14-Solar_Capacity!O14)</f>
        <v>-0.20818147508516205</v>
      </c>
      <c r="Q14" s="46">
        <f>(Solar_Capacity!Q14-Solar_Capacity!P14)</f>
        <v>-0.20714056770973599</v>
      </c>
    </row>
    <row r="15" spans="1:17" ht="12.75">
      <c r="A15" s="56" t="s">
        <v>61</v>
      </c>
      <c r="B15" s="49">
        <v>74.900000000000006</v>
      </c>
      <c r="C15" s="49">
        <f>B15*0.57</f>
        <v>42.692999999999998</v>
      </c>
      <c r="D15" s="13">
        <v>44166</v>
      </c>
      <c r="E15" s="13"/>
      <c r="F15" s="13"/>
      <c r="G15" s="13"/>
      <c r="H15" s="49"/>
      <c r="I15" s="49"/>
      <c r="J15" s="104"/>
      <c r="K15" s="43">
        <f>(Solar_Capacity!K15-Solar_Capacity!J15)</f>
        <v>-0.21346499999999935</v>
      </c>
      <c r="L15" s="43">
        <f>(Solar_Capacity!L15-Solar_Capacity!K15)</f>
        <v>-0.21239767499999829</v>
      </c>
      <c r="M15" s="43">
        <f>(Solar_Capacity!M15-Solar_Capacity!L15)</f>
        <v>-0.21133568662499869</v>
      </c>
      <c r="N15" s="43">
        <f>(Solar_Capacity!N15-Solar_Capacity!M15)</f>
        <v>-0.2102790081918755</v>
      </c>
      <c r="O15" s="43">
        <f>(Solar_Capacity!O15-Solar_Capacity!N15)</f>
        <v>-0.2092276131509152</v>
      </c>
      <c r="P15" s="43">
        <f>(Solar_Capacity!P15-Solar_Capacity!O15)</f>
        <v>-0.20818147508516205</v>
      </c>
      <c r="Q15" s="46">
        <f>(Solar_Capacity!Q15-Solar_Capacity!P15)</f>
        <v>-0.20714056770973599</v>
      </c>
    </row>
    <row r="16" spans="1:17" ht="12.75">
      <c r="A16" s="59" t="s">
        <v>74</v>
      </c>
      <c r="B16" s="45" t="s">
        <v>75</v>
      </c>
      <c r="C16" s="45"/>
      <c r="D16" s="29" t="s">
        <v>75</v>
      </c>
      <c r="E16" s="29"/>
      <c r="F16" s="29"/>
      <c r="G16" s="29"/>
      <c r="H16" s="45"/>
      <c r="I16" s="45"/>
      <c r="J16" s="45"/>
      <c r="K16" s="44">
        <f>SUM(K$2:K15)</f>
        <v>-1.397390444461807</v>
      </c>
      <c r="L16" s="44"/>
      <c r="M16" s="44"/>
      <c r="N16" s="44"/>
      <c r="O16" s="44"/>
      <c r="P16" s="44"/>
      <c r="Q16" s="47"/>
    </row>
    <row r="17" spans="1:17" ht="12.75">
      <c r="A17" s="88" t="s">
        <v>61</v>
      </c>
      <c r="B17" s="100">
        <v>74.900000000000006</v>
      </c>
      <c r="C17" s="49">
        <f>B17*0.57</f>
        <v>42.692999999999998</v>
      </c>
      <c r="D17" s="20">
        <v>44531</v>
      </c>
      <c r="E17" s="20"/>
      <c r="F17" s="20"/>
      <c r="G17" s="20"/>
      <c r="H17" s="100"/>
      <c r="I17" s="100"/>
      <c r="J17" s="100"/>
      <c r="K17" s="102"/>
      <c r="L17" s="92">
        <f>(Solar_Capacity!L17-Solar_Capacity!K17)</f>
        <v>-0.21346499999999935</v>
      </c>
      <c r="M17" s="92">
        <f>(Solar_Capacity!M17-Solar_Capacity!L17)</f>
        <v>-0.21239767499999829</v>
      </c>
      <c r="N17" s="92">
        <f>(Solar_Capacity!N17-Solar_Capacity!M17)</f>
        <v>-0.21133568662499869</v>
      </c>
      <c r="O17" s="92">
        <f>(Solar_Capacity!O17-Solar_Capacity!N17)</f>
        <v>-0.2102790081918755</v>
      </c>
      <c r="P17" s="92">
        <f>(Solar_Capacity!P17-Solar_Capacity!O17)</f>
        <v>-0.2092276131509152</v>
      </c>
      <c r="Q17" s="98">
        <f>(Solar_Capacity!Q17-Solar_Capacity!P17)</f>
        <v>-0.20818147508516205</v>
      </c>
    </row>
    <row r="18" spans="1:17" ht="12.75">
      <c r="A18" s="56" t="s">
        <v>61</v>
      </c>
      <c r="B18" s="49">
        <v>74.900000000000006</v>
      </c>
      <c r="C18" s="49">
        <f>B18*0.57</f>
        <v>42.692999999999998</v>
      </c>
      <c r="D18" s="13">
        <v>44531</v>
      </c>
      <c r="E18" s="13"/>
      <c r="F18" s="13"/>
      <c r="G18" s="13"/>
      <c r="H18" s="49"/>
      <c r="I18" s="49"/>
      <c r="J18" s="49"/>
      <c r="K18" s="104"/>
      <c r="L18" s="43">
        <f>(Solar_Capacity!L18-Solar_Capacity!K18)</f>
        <v>-0.21346499999999935</v>
      </c>
      <c r="M18" s="43">
        <f>(Solar_Capacity!M18-Solar_Capacity!L18)</f>
        <v>-0.21239767499999829</v>
      </c>
      <c r="N18" s="43">
        <f>(Solar_Capacity!N18-Solar_Capacity!M18)</f>
        <v>-0.21133568662499869</v>
      </c>
      <c r="O18" s="43">
        <f>(Solar_Capacity!O18-Solar_Capacity!N18)</f>
        <v>-0.2102790081918755</v>
      </c>
      <c r="P18" s="43">
        <f>(Solar_Capacity!P18-Solar_Capacity!O18)</f>
        <v>-0.2092276131509152</v>
      </c>
      <c r="Q18" s="46">
        <f>(Solar_Capacity!Q18-Solar_Capacity!P18)</f>
        <v>-0.20818147508516205</v>
      </c>
    </row>
    <row r="19" spans="1:17" ht="12.75">
      <c r="A19" s="56" t="s">
        <v>61</v>
      </c>
      <c r="B19" s="49">
        <v>55</v>
      </c>
      <c r="C19" s="49">
        <f>B19*0.57</f>
        <v>31.349999999999998</v>
      </c>
      <c r="D19" s="13">
        <v>44531</v>
      </c>
      <c r="E19" s="13"/>
      <c r="F19" s="13"/>
      <c r="G19" s="13"/>
      <c r="H19" s="49"/>
      <c r="I19" s="49"/>
      <c r="J19" s="49"/>
      <c r="K19" s="104"/>
      <c r="L19" s="43">
        <f>(Solar_Capacity!L19-Solar_Capacity!K19)</f>
        <v>-0.15674999999999883</v>
      </c>
      <c r="M19" s="43">
        <f>(Solar_Capacity!M19-Solar_Capacity!L19)</f>
        <v>-0.15596624999999875</v>
      </c>
      <c r="N19" s="43">
        <f>(Solar_Capacity!N19-Solar_Capacity!M19)</f>
        <v>-0.15518641874999872</v>
      </c>
      <c r="O19" s="43">
        <f>(Solar_Capacity!O19-Solar_Capacity!N19)</f>
        <v>-0.1544104866562499</v>
      </c>
      <c r="P19" s="43">
        <f>(Solar_Capacity!P19-Solar_Capacity!O19)</f>
        <v>-0.15363843422296952</v>
      </c>
      <c r="Q19" s="46">
        <f>(Solar_Capacity!Q19-Solar_Capacity!P19)</f>
        <v>-0.15287024205185418</v>
      </c>
    </row>
    <row r="20" spans="1:17" ht="12.75">
      <c r="A20" s="59" t="s">
        <v>74</v>
      </c>
      <c r="B20" s="45" t="s">
        <v>75</v>
      </c>
      <c r="C20" s="45"/>
      <c r="D20" s="29" t="s">
        <v>75</v>
      </c>
      <c r="E20" s="29"/>
      <c r="F20" s="29"/>
      <c r="G20" s="29"/>
      <c r="H20" s="45"/>
      <c r="I20" s="45"/>
      <c r="J20" s="45"/>
      <c r="K20" s="45"/>
      <c r="L20" s="45"/>
      <c r="M20" s="45"/>
      <c r="N20" s="45"/>
      <c r="O20" s="45"/>
      <c r="P20" s="45"/>
      <c r="Q20" s="48"/>
    </row>
    <row r="21" spans="1:17" ht="12.75">
      <c r="A21" s="88"/>
      <c r="B21" s="100"/>
      <c r="C21" s="49"/>
      <c r="D21" s="20"/>
      <c r="E21" s="20"/>
      <c r="F21" s="20"/>
      <c r="G21" s="20"/>
      <c r="H21" s="100"/>
      <c r="I21" s="100"/>
      <c r="J21" s="100"/>
      <c r="K21" s="101"/>
      <c r="L21" s="92"/>
      <c r="M21" s="92"/>
      <c r="N21" s="92"/>
      <c r="O21" s="92"/>
      <c r="P21" s="92"/>
      <c r="Q21" s="98"/>
    </row>
    <row r="22" spans="1:17" ht="12.75">
      <c r="A22" s="56"/>
      <c r="B22" s="49"/>
      <c r="C22" s="49"/>
      <c r="D22" s="13"/>
      <c r="E22" s="13"/>
      <c r="F22" s="13"/>
      <c r="G22" s="13"/>
      <c r="H22" s="49"/>
      <c r="I22" s="49"/>
      <c r="J22" s="49"/>
      <c r="K22" s="109"/>
      <c r="L22" s="43"/>
      <c r="M22" s="43"/>
      <c r="N22" s="43"/>
      <c r="O22" s="43"/>
      <c r="P22" s="43"/>
      <c r="Q22" s="46"/>
    </row>
    <row r="23" spans="1:17" ht="12.75">
      <c r="A23" s="59" t="s">
        <v>74</v>
      </c>
      <c r="B23" s="45" t="s">
        <v>75</v>
      </c>
      <c r="C23" s="45"/>
      <c r="D23" s="29" t="s">
        <v>75</v>
      </c>
      <c r="E23" s="29"/>
      <c r="F23" s="29"/>
      <c r="G23" s="29"/>
      <c r="H23" s="45"/>
      <c r="I23" s="45"/>
      <c r="J23" s="45"/>
      <c r="K23" s="45"/>
      <c r="L23" s="45">
        <f>SUM(L$2:L22)</f>
        <v>-1.9740834922394921</v>
      </c>
      <c r="M23" s="45"/>
      <c r="N23" s="45"/>
      <c r="O23" s="45"/>
      <c r="P23" s="45"/>
      <c r="Q23" s="48"/>
    </row>
    <row r="24" spans="1:17" ht="12.75">
      <c r="A24" s="88"/>
      <c r="B24" s="100"/>
      <c r="C24" s="49"/>
      <c r="D24" s="20"/>
      <c r="E24" s="20"/>
      <c r="F24" s="20"/>
      <c r="G24" s="20"/>
      <c r="H24" s="100"/>
      <c r="I24" s="100"/>
      <c r="J24" s="100"/>
      <c r="K24" s="100"/>
      <c r="L24" s="100"/>
      <c r="M24" s="92"/>
      <c r="N24" s="92"/>
      <c r="O24" s="92"/>
      <c r="P24" s="92"/>
      <c r="Q24" s="98"/>
    </row>
    <row r="25" spans="1:17" ht="12.75">
      <c r="A25" s="56"/>
      <c r="B25" s="49"/>
      <c r="C25" s="49"/>
      <c r="D25" s="13"/>
      <c r="E25" s="13"/>
      <c r="F25" s="13"/>
      <c r="G25" s="13"/>
      <c r="H25" s="49"/>
      <c r="I25" s="49"/>
      <c r="J25" s="49"/>
      <c r="K25" s="104"/>
      <c r="L25" s="99"/>
      <c r="M25" s="43"/>
      <c r="N25" s="43"/>
      <c r="O25" s="43"/>
      <c r="P25" s="43"/>
      <c r="Q25" s="46"/>
    </row>
    <row r="26" spans="1:17" ht="12.75">
      <c r="A26" s="59" t="s">
        <v>74</v>
      </c>
      <c r="B26" s="45" t="s">
        <v>75</v>
      </c>
      <c r="C26" s="45"/>
      <c r="D26" s="29" t="s">
        <v>75</v>
      </c>
      <c r="E26" s="29"/>
      <c r="F26" s="29"/>
      <c r="G26" s="29"/>
      <c r="H26" s="45"/>
      <c r="I26" s="45"/>
      <c r="J26" s="45"/>
      <c r="K26" s="45"/>
      <c r="L26" s="45"/>
      <c r="M26" s="45">
        <f>SUM(M$2:M25)</f>
        <v>-1.9642130747783022</v>
      </c>
      <c r="N26" s="45"/>
      <c r="O26" s="45"/>
      <c r="P26" s="45"/>
      <c r="Q26" s="48"/>
    </row>
    <row r="27" spans="1:17" ht="12.75">
      <c r="A27" s="88"/>
      <c r="B27" s="100"/>
      <c r="C27" s="49"/>
      <c r="D27" s="20"/>
      <c r="E27" s="20"/>
      <c r="F27" s="20"/>
      <c r="G27" s="20"/>
      <c r="H27" s="100"/>
      <c r="I27" s="100"/>
      <c r="J27" s="100"/>
      <c r="K27" s="100"/>
      <c r="L27" s="100"/>
      <c r="M27" s="100"/>
      <c r="N27" s="102"/>
      <c r="O27" s="92"/>
      <c r="P27" s="92"/>
      <c r="Q27" s="98"/>
    </row>
    <row r="28" spans="1:17" ht="12.75">
      <c r="A28" s="56"/>
      <c r="B28" s="49"/>
      <c r="C28" s="49"/>
      <c r="D28" s="13"/>
      <c r="E28" s="13"/>
      <c r="F28" s="13"/>
      <c r="G28" s="13"/>
      <c r="H28" s="49"/>
      <c r="I28" s="49"/>
      <c r="J28" s="49"/>
      <c r="K28" s="104"/>
      <c r="L28" s="99"/>
      <c r="M28" s="104"/>
      <c r="N28" s="104"/>
      <c r="O28" s="43"/>
      <c r="P28" s="43"/>
      <c r="Q28" s="46"/>
    </row>
    <row r="29" spans="1:17" ht="12.75">
      <c r="A29" s="59" t="s">
        <v>74</v>
      </c>
      <c r="B29" s="45" t="s">
        <v>75</v>
      </c>
      <c r="C29" s="45"/>
      <c r="D29" s="29" t="s">
        <v>75</v>
      </c>
      <c r="E29" s="29"/>
      <c r="F29" s="29"/>
      <c r="G29" s="29"/>
      <c r="H29" s="45"/>
      <c r="I29" s="45"/>
      <c r="J29" s="45"/>
      <c r="K29" s="45"/>
      <c r="L29" s="45"/>
      <c r="M29" s="45"/>
      <c r="N29" s="45">
        <f>SUM(N$2:N28)</f>
        <v>-1.95439200940441</v>
      </c>
      <c r="O29" s="45"/>
      <c r="P29" s="45"/>
      <c r="Q29" s="48"/>
    </row>
    <row r="30" spans="1:17" ht="12.75">
      <c r="A30" s="88"/>
      <c r="B30" s="100"/>
      <c r="C30" s="49"/>
      <c r="D30" s="20"/>
      <c r="E30" s="20"/>
      <c r="F30" s="20"/>
      <c r="G30" s="20"/>
      <c r="H30" s="100"/>
      <c r="I30" s="100"/>
      <c r="J30" s="100"/>
      <c r="K30" s="100"/>
      <c r="L30" s="100"/>
      <c r="M30" s="100"/>
      <c r="N30" s="100"/>
      <c r="O30" s="96"/>
      <c r="P30" s="92"/>
      <c r="Q30" s="98"/>
    </row>
    <row r="31" spans="1:17" ht="12.75">
      <c r="A31" s="56"/>
      <c r="B31" s="49"/>
      <c r="C31" s="49"/>
      <c r="D31" s="13"/>
      <c r="E31" s="13"/>
      <c r="F31" s="13"/>
      <c r="G31" s="13"/>
      <c r="H31" s="49"/>
      <c r="I31" s="49"/>
      <c r="J31" s="49"/>
      <c r="K31" s="104"/>
      <c r="L31" s="99"/>
      <c r="M31" s="99"/>
      <c r="N31" s="99"/>
      <c r="O31" s="99"/>
      <c r="P31" s="43"/>
      <c r="Q31" s="46"/>
    </row>
    <row r="32" spans="1:17" ht="12.75">
      <c r="A32" s="59" t="s">
        <v>74</v>
      </c>
      <c r="B32" s="45" t="s">
        <v>75</v>
      </c>
      <c r="C32" s="45"/>
      <c r="D32" s="29" t="s">
        <v>75</v>
      </c>
      <c r="E32" s="29"/>
      <c r="F32" s="29"/>
      <c r="G32" s="29"/>
      <c r="H32" s="45"/>
      <c r="I32" s="45"/>
      <c r="J32" s="45"/>
      <c r="K32" s="45"/>
      <c r="L32" s="45"/>
      <c r="M32" s="45"/>
      <c r="N32" s="45"/>
      <c r="O32" s="45">
        <f>SUM(O$2:O31)</f>
        <v>-1.9446200493573977</v>
      </c>
      <c r="P32" s="45"/>
      <c r="Q32" s="48"/>
    </row>
    <row r="33" spans="1:17" ht="12.75">
      <c r="A33" s="88"/>
      <c r="B33" s="100"/>
      <c r="C33" s="49"/>
      <c r="D33" s="20"/>
      <c r="E33" s="20"/>
      <c r="F33" s="20"/>
      <c r="G33" s="20"/>
      <c r="H33" s="100"/>
      <c r="I33" s="100"/>
      <c r="J33" s="100"/>
      <c r="K33" s="100"/>
      <c r="L33" s="100"/>
      <c r="M33" s="100"/>
      <c r="N33" s="100"/>
      <c r="O33" s="100"/>
      <c r="P33" s="92"/>
      <c r="Q33" s="98"/>
    </row>
    <row r="34" spans="1:17" ht="12.75">
      <c r="A34" s="59" t="s">
        <v>74</v>
      </c>
      <c r="B34" s="45" t="s">
        <v>75</v>
      </c>
      <c r="C34" s="45"/>
      <c r="D34" s="29" t="s">
        <v>75</v>
      </c>
      <c r="E34" s="29"/>
      <c r="F34" s="29"/>
      <c r="G34" s="29"/>
      <c r="H34" s="45"/>
      <c r="I34" s="45"/>
      <c r="J34" s="45"/>
      <c r="K34" s="45"/>
      <c r="L34" s="45"/>
      <c r="M34" s="45"/>
      <c r="N34" s="45"/>
      <c r="O34" s="45"/>
      <c r="P34" s="45">
        <f>SUM(P$2:P33)</f>
        <v>-1.9348969491106092</v>
      </c>
      <c r="Q34" s="48"/>
    </row>
    <row r="35" spans="1:17" ht="12.75">
      <c r="A35" s="56"/>
      <c r="B35" s="49"/>
      <c r="C35" s="49"/>
      <c r="D35" s="13"/>
      <c r="E35" s="13"/>
      <c r="F35" s="13"/>
      <c r="G35" s="13"/>
      <c r="H35" s="49"/>
      <c r="I35" s="49"/>
      <c r="J35" s="49"/>
      <c r="K35" s="49"/>
      <c r="L35" s="49"/>
      <c r="M35" s="49"/>
      <c r="N35" s="49"/>
      <c r="O35" s="49"/>
      <c r="P35" s="49"/>
      <c r="Q35" s="57"/>
    </row>
    <row r="36" spans="1:17" ht="12.75">
      <c r="A36" s="59" t="s">
        <v>74</v>
      </c>
      <c r="B36" s="45" t="s">
        <v>75</v>
      </c>
      <c r="C36" s="45"/>
      <c r="D36" s="29" t="s">
        <v>75</v>
      </c>
      <c r="E36" s="29"/>
      <c r="F36" s="29"/>
      <c r="G36" s="29"/>
      <c r="H36" s="45"/>
      <c r="I36" s="45"/>
      <c r="J36" s="45"/>
      <c r="K36" s="45"/>
      <c r="L36" s="45"/>
      <c r="M36" s="45"/>
      <c r="N36" s="45"/>
      <c r="O36" s="45"/>
      <c r="P36" s="45"/>
      <c r="Q36" s="48">
        <f>SUM(Q$2:Q35)</f>
        <v>-1.9252224643650551</v>
      </c>
    </row>
    <row r="38" spans="1:17">
      <c r="B38" s="87">
        <f>B6+B9+B10+B12+B13+B14+B15+B17+B18+B19</f>
        <v>698.8</v>
      </c>
    </row>
  </sheetData>
  <pageMargins left="0.7" right="0.7" top="0.75" bottom="0.75" header="0.3" footer="0.3"/>
  <pageSetup paperSize="5" scale="98" orientation="landscape" r:id="rId1"/>
  <ignoredErrors>
    <ignoredError sqref="C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E30B9F-14EF-4EAA-A424-14C4097BE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986CC0-54E0-4654-8DF4-242F7274E32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04AF85-EB4A-4ACC-9D82-DFB3089EFB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Schedule_8</vt:lpstr>
      <vt:lpstr>Solar_Capacity</vt:lpstr>
      <vt:lpstr>Solar_Degradation</vt:lpstr>
      <vt:lpstr>Schedule_8!Print_Area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FRCC Form 1.1 Help</dc:title>
  <dc:subject>TYSP 1996</dc:subject>
  <dc:creator>Florida Power Corp.</dc:creator>
  <cp:keywords/>
  <dc:description/>
  <cp:lastModifiedBy>Jurgensen, Lynn M</cp:lastModifiedBy>
  <cp:revision/>
  <cp:lastPrinted>2019-05-16T16:09:55Z</cp:lastPrinted>
  <dcterms:created xsi:type="dcterms:W3CDTF">1999-03-06T00:41:33Z</dcterms:created>
  <dcterms:modified xsi:type="dcterms:W3CDTF">2019-05-16T17:12:50Z</dcterms:modified>
  <cp:category/>
  <cp:contentStatus/>
</cp:coreProperties>
</file>