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J:\attorneys\Brooke\JEA504\SACE Declarations\"/>
    </mc:Choice>
  </mc:AlternateContent>
  <xr:revisionPtr revIDLastSave="0" documentId="8_{5801D07B-0E8D-48E5-A306-50F05601912B}" xr6:coauthVersionLast="36" xr6:coauthVersionMax="36" xr10:uidLastSave="{00000000-0000-0000-0000-000000000000}"/>
  <bookViews>
    <workbookView xWindow="0" yWindow="0" windowWidth="21570" windowHeight="7260" tabRatio="764" activeTab="1" xr2:uid="{00000000-000D-0000-FFFF-FFFF00000000}"/>
  </bookViews>
  <sheets>
    <sheet name="SACE ROG 70" sheetId="28" r:id="rId1"/>
    <sheet name="SACE ROG 77" sheetId="29" r:id="rId2"/>
    <sheet name="Single-Family Existing" sheetId="16" state="hidden" r:id="rId3"/>
    <sheet name="Strategist Inputs" sheetId="19" state="hidden" r:id="rId4"/>
    <sheet name="Miscellaneous" sheetId="7" state="hidden" r:id="rId5"/>
    <sheet name="CFLs" sheetId="25" state="hidden" r:id="rId6"/>
  </sheets>
  <externalReferences>
    <externalReference r:id="rId7"/>
    <externalReference r:id="rId8"/>
    <externalReference r:id="rId9"/>
  </externalReferences>
  <definedNames>
    <definedName name="_ftn1" localSheetId="5">CFLs!$B$34</definedName>
    <definedName name="_ftnref1" localSheetId="5">CFLs!$B$92</definedName>
    <definedName name="_Key1" localSheetId="1" hidden="1">[1]Index!#REF!</definedName>
    <definedName name="_Key1" hidden="1">#REF!</definedName>
    <definedName name="_Order1" hidden="1">255</definedName>
    <definedName name="_Sort" localSheetId="1" hidden="1">#REF!</definedName>
    <definedName name="_Sort" hidden="1">#REF!</definedName>
    <definedName name="A">#REF!</definedName>
    <definedName name="Account">#REF!</definedName>
    <definedName name="Category">#REF!</definedName>
    <definedName name="CBWorkbookPriority" hidden="1">-133009841</definedName>
    <definedName name="cs_aggregate">#REF!</definedName>
    <definedName name="cs_carryover">#REF!</definedName>
    <definedName name="cs_elt">#REF!</definedName>
    <definedName name="cs_financial">#REF!</definedName>
    <definedName name="CS_Mandatory">#REF!</definedName>
    <definedName name="cs_reinvestment">#REF!</definedName>
    <definedName name="CS_Well_Justified">#REF!</definedName>
    <definedName name="Currency">#REF!</definedName>
    <definedName name="D">#REF!</definedName>
    <definedName name="_xlnm.Database">#REF!</definedName>
    <definedName name="Database_MI">#REF!</definedName>
    <definedName name="E">#REF!</definedName>
    <definedName name="EEM">#REF!</definedName>
    <definedName name="EEM_exist">'Single-Family Existing'!$B$66:$J$110</definedName>
    <definedName name="EEM_NSPI">#REF!</definedName>
    <definedName name="EFF">#REF!</definedName>
    <definedName name="Entity">#REF!</definedName>
    <definedName name="ETD_aggregate">#REF!</definedName>
    <definedName name="ETD_carryover">#REF!</definedName>
    <definedName name="ETD_ELT">#REF!</definedName>
    <definedName name="ETD_financial">#REF!</definedName>
    <definedName name="ETD_Mandatory">#REF!</definedName>
    <definedName name="ETD_Reinvestment">#REF!</definedName>
    <definedName name="ETD_Well_justified">#REF!</definedName>
    <definedName name="EV__DECIMALSYMBOL__" hidden="1">"."</definedName>
    <definedName name="EV__LASTREFTIME__" hidden="1">39449.6169907407</definedName>
    <definedName name="EV__LOCKEDCVW__BGE_FP" hidden="1">"IncomeStatement,ACTUAL,All_Companies,NO_ORG,TotalAdj,2002.TOTAL,PERIODIC,"</definedName>
    <definedName name="EV__LOCKEDCVW__CPA" hidden="1">"O_M,All_Activities,ACTUAL,All_Spenders,Expenditure_Resource,All_Processes,A00149,2007.TOTAL,PERIODIC,"</definedName>
    <definedName name="EV__LOCKEDCVW__RATE" hidden="1">"ACTUAL,USD,Avg,RateInput,2002.TOTAL,PERIODIC,"</definedName>
    <definedName name="EV__LOCKEDCVW__SLR" hidden="1">"Rolling_Plan,All_ExpTypes,Statistical_Accounts,All_Companies,All_Positions,All_Spenders,2007.TOTAL,PERIODIC,"</definedName>
    <definedName name="EV__LOCKSTATUS__" hidden="1">4</definedName>
    <definedName name="EV__MAXEXPCOLS__" hidden="1">100</definedName>
    <definedName name="EV__MAXEXPROWS__" hidden="1">20000</definedName>
    <definedName name="EV__WBEVMODE__" hidden="1">0</definedName>
    <definedName name="EV__WBREFOPTIONS__" hidden="1">134217728</definedName>
    <definedName name="EV__WBVERSION__" hidden="1">0</definedName>
    <definedName name="F">#REF!</definedName>
    <definedName name="GDNB_aggregate">#REF!</definedName>
    <definedName name="GDNB_carryover">#REF!</definedName>
    <definedName name="GDNB_ELT">#REF!</definedName>
    <definedName name="GDNB_financial">#REF!</definedName>
    <definedName name="GDNB_Mandatory">#REF!</definedName>
    <definedName name="GDNB_other">#REF!</definedName>
    <definedName name="GDNB_Reinvestment">#REF!</definedName>
    <definedName name="GDNB_Well_justified">#REF!</definedName>
    <definedName name="IQ_CH" hidden="1">110000</definedName>
    <definedName name="IQ_CQ" hidden="1">5000</definedName>
    <definedName name="IQ_CY" hidden="1">10000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NAMES_REVISION_DATE_" hidden="1">40407.5826851852</definedName>
    <definedName name="IQ_NTM" hidden="1">6000</definedName>
    <definedName name="IQ_TODAY" hidden="1">0</definedName>
    <definedName name="IQ_WEEK" hidden="1">50000</definedName>
    <definedName name="IQ_YTD" hidden="1">3000</definedName>
    <definedName name="IQ_YTDMONTH" hidden="1">130000</definedName>
    <definedName name="IT_aggregate">#REF!</definedName>
    <definedName name="IT_carryover">#REF!</definedName>
    <definedName name="IT_ELT">#REF!</definedName>
    <definedName name="IT_financial">#REF!</definedName>
    <definedName name="IT_Mandatory">#REF!</definedName>
    <definedName name="IT_other">#REF!</definedName>
    <definedName name="IT_reinvestment">#REF!</definedName>
    <definedName name="IT_Well_justified">#REF!</definedName>
    <definedName name="K2_WBEVMODE" hidden="1">1</definedName>
    <definedName name="Measures">#REF!</definedName>
    <definedName name="old_1" hidden="1">[2]old!$V$5</definedName>
    <definedName name="Pal_Workbook_GUID" hidden="1">"YIRMAU281UHJBZQ7ILWGWXW6"</definedName>
    <definedName name="pivot">#REF!</definedName>
    <definedName name="_xlnm.Print_Area" localSheetId="5">CFLs!$A$1:$M$28</definedName>
    <definedName name="_xlnm.Print_Area" localSheetId="1">'SACE ROG 77'!$B$2:$G$12</definedName>
    <definedName name="_xlnm.Print_Area" localSheetId="2">'Single-Family Existing'!#REF!</definedName>
    <definedName name="_xlnm.Print_Area">#REF!</definedName>
    <definedName name="PRINT_AREA_MI">#REF!</definedName>
    <definedName name="rngCategory">[3]Lists!$L$27:$L$38</definedName>
    <definedName name="rngMonth">[3]Lists!$O$27:$O$39</definedName>
    <definedName name="rngSpender">[3]Lists!$P$27:$P$34</definedName>
    <definedName name="rngTime">[3]Lists!$Q$27:$Q$34</definedName>
    <definedName name="SecondBreakDiscount">#REF!</definedName>
    <definedName name="ss_aggregate">#REF!</definedName>
    <definedName name="ss_carryover">#REF!</definedName>
    <definedName name="ss_elt">#REF!</definedName>
    <definedName name="SS_financial">#REF!</definedName>
    <definedName name="SS_Mandatory">#REF!</definedName>
    <definedName name="SS_reinvestment">#REF!</definedName>
    <definedName name="SS_Well_justified">#REF!</definedName>
    <definedName name="Time">#REF!</definedName>
    <definedName name="UserDef1">#REF!</definedName>
    <definedName name="UserDef10">#REF!</definedName>
    <definedName name="UserDef11">#REF!</definedName>
    <definedName name="UserDef12">#REF!</definedName>
    <definedName name="UserDef2">#REF!</definedName>
    <definedName name="UserDef3">#REF!</definedName>
    <definedName name="UserDef4">#REF!</definedName>
    <definedName name="UserDef5">#REF!</definedName>
    <definedName name="UserDef6">#REF!</definedName>
    <definedName name="UserDef7">#REF!</definedName>
    <definedName name="UserDef8">#REF!</definedName>
    <definedName name="UserDef9">#REF!</definedName>
    <definedName name="WGT">#REF!</definedName>
    <definedName name="workload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10" i="29" l="1"/>
  <c r="E10" i="29"/>
  <c r="F10" i="29"/>
  <c r="G10" i="29"/>
  <c r="R13" i="28" l="1"/>
  <c r="R14" i="28"/>
  <c r="R15" i="28"/>
  <c r="R16" i="28"/>
  <c r="R18" i="28"/>
  <c r="R19" i="28"/>
  <c r="R20" i="28"/>
  <c r="Q17" i="28"/>
  <c r="P17" i="28"/>
  <c r="Q12" i="28"/>
  <c r="P12" i="28"/>
  <c r="Q11" i="28"/>
  <c r="P11" i="28"/>
  <c r="P6" i="16"/>
  <c r="B20" i="25"/>
  <c r="C11" i="28" s="1"/>
  <c r="B7" i="28"/>
  <c r="H57" i="28" s="1"/>
  <c r="H58" i="28" s="1"/>
  <c r="H59" i="28" s="1"/>
  <c r="C38" i="28"/>
  <c r="F38" i="28" s="1"/>
  <c r="C39" i="28"/>
  <c r="O6" i="16"/>
  <c r="P4" i="16"/>
  <c r="O4" i="16"/>
  <c r="J4" i="16" s="1"/>
  <c r="P5" i="16"/>
  <c r="O5" i="16"/>
  <c r="P7" i="16"/>
  <c r="O7" i="16"/>
  <c r="P24" i="16"/>
  <c r="O24" i="16"/>
  <c r="P22" i="16"/>
  <c r="O22" i="16"/>
  <c r="J22" i="16" s="1"/>
  <c r="P19" i="16"/>
  <c r="O19" i="16"/>
  <c r="J19" i="16" s="1"/>
  <c r="P18" i="16"/>
  <c r="O18" i="16"/>
  <c r="P17" i="16"/>
  <c r="O17" i="16"/>
  <c r="P16" i="16"/>
  <c r="O16" i="16"/>
  <c r="J16" i="16" s="1"/>
  <c r="P15" i="16"/>
  <c r="O15" i="16"/>
  <c r="P14" i="16"/>
  <c r="J14" i="16" s="1"/>
  <c r="O14" i="16"/>
  <c r="P13" i="16"/>
  <c r="O13" i="16"/>
  <c r="P12" i="16"/>
  <c r="O12" i="16"/>
  <c r="O28" i="16"/>
  <c r="D18" i="28" s="1"/>
  <c r="G18" i="28" s="1"/>
  <c r="P28" i="16"/>
  <c r="C18" i="28" s="1"/>
  <c r="C37" i="28" s="1"/>
  <c r="F37" i="28" s="1"/>
  <c r="P36" i="16"/>
  <c r="P37" i="16"/>
  <c r="C15" i="28" s="1"/>
  <c r="F15" i="28" s="1"/>
  <c r="P39" i="16"/>
  <c r="C14" i="28" s="1"/>
  <c r="F14" i="28" s="1"/>
  <c r="C12" i="28"/>
  <c r="C36" i="28" s="1"/>
  <c r="F36" i="28" s="1"/>
  <c r="O36" i="16"/>
  <c r="D17" i="28" s="1"/>
  <c r="D16" i="28" s="1"/>
  <c r="O37" i="16"/>
  <c r="D15" i="28" s="1"/>
  <c r="G15" i="28" s="1"/>
  <c r="O39" i="16"/>
  <c r="D14" i="28" s="1"/>
  <c r="F20" i="28"/>
  <c r="F45" i="28" s="1"/>
  <c r="F19" i="28"/>
  <c r="F13" i="28"/>
  <c r="N13" i="16"/>
  <c r="G19" i="28"/>
  <c r="N19" i="16"/>
  <c r="G13" i="28"/>
  <c r="C45" i="28"/>
  <c r="N6" i="16"/>
  <c r="N39" i="16"/>
  <c r="N37" i="16"/>
  <c r="N36" i="16"/>
  <c r="O29" i="16"/>
  <c r="N29" i="16"/>
  <c r="O44" i="16"/>
  <c r="N44" i="16"/>
  <c r="P44" i="16"/>
  <c r="O43" i="16"/>
  <c r="N43" i="16"/>
  <c r="P43" i="16"/>
  <c r="H7" i="25"/>
  <c r="H18" i="25" s="1"/>
  <c r="H20" i="25" s="1"/>
  <c r="D11" i="28" s="1"/>
  <c r="G11" i="28" s="1"/>
  <c r="B18" i="25"/>
  <c r="C18" i="25"/>
  <c r="D18" i="25"/>
  <c r="E18" i="25"/>
  <c r="F18" i="25"/>
  <c r="G18" i="25"/>
  <c r="I18" i="25"/>
  <c r="J18" i="25"/>
  <c r="K18" i="25"/>
  <c r="H23" i="25"/>
  <c r="J23" i="25"/>
  <c r="K36" i="25"/>
  <c r="N49" i="25"/>
  <c r="H56" i="25"/>
  <c r="G62" i="25"/>
  <c r="F85" i="25"/>
  <c r="G94" i="25"/>
  <c r="F101" i="25"/>
  <c r="M101" i="25" s="1"/>
  <c r="H101" i="25"/>
  <c r="I101" i="25" s="1"/>
  <c r="H102" i="25"/>
  <c r="I102" i="25" s="1"/>
  <c r="H103" i="25"/>
  <c r="I103" i="25" s="1"/>
  <c r="H104" i="25"/>
  <c r="I104" i="25" s="1"/>
  <c r="H105" i="25"/>
  <c r="I105" i="25" s="1"/>
  <c r="H106" i="25"/>
  <c r="I106" i="25" s="1"/>
  <c r="H107" i="25"/>
  <c r="I107" i="25" s="1"/>
  <c r="H108" i="25"/>
  <c r="I108" i="25" s="1"/>
  <c r="H109" i="25"/>
  <c r="I109" i="25" s="1"/>
  <c r="F111" i="25"/>
  <c r="F118" i="25"/>
  <c r="G118" i="25"/>
  <c r="O54" i="16"/>
  <c r="N54" i="16"/>
  <c r="O53" i="16"/>
  <c r="N53" i="16"/>
  <c r="O52" i="16"/>
  <c r="N52" i="16"/>
  <c r="O51" i="16"/>
  <c r="N51" i="16"/>
  <c r="O50" i="16"/>
  <c r="N50" i="16"/>
  <c r="O49" i="16"/>
  <c r="N49" i="16"/>
  <c r="O45" i="16"/>
  <c r="N45" i="16"/>
  <c r="O38" i="16"/>
  <c r="N38" i="16"/>
  <c r="O35" i="16"/>
  <c r="N35" i="16"/>
  <c r="O34" i="16"/>
  <c r="N34" i="16"/>
  <c r="O33" i="16"/>
  <c r="N33" i="16"/>
  <c r="O32" i="16"/>
  <c r="N32" i="16"/>
  <c r="O31" i="16"/>
  <c r="N31" i="16"/>
  <c r="O30" i="16"/>
  <c r="N30" i="16"/>
  <c r="N28" i="16"/>
  <c r="N24" i="16"/>
  <c r="O23" i="16"/>
  <c r="N23" i="16"/>
  <c r="N22" i="16"/>
  <c r="O21" i="16"/>
  <c r="N21" i="16"/>
  <c r="O20" i="16"/>
  <c r="N20" i="16"/>
  <c r="N18" i="16"/>
  <c r="N17" i="16"/>
  <c r="N16" i="16"/>
  <c r="N15" i="16"/>
  <c r="N14" i="16"/>
  <c r="N12" i="16"/>
  <c r="O11" i="16"/>
  <c r="N11" i="16"/>
  <c r="N7" i="16"/>
  <c r="N5" i="16"/>
  <c r="N4" i="16"/>
  <c r="O3" i="16"/>
  <c r="N3" i="16"/>
  <c r="P54" i="16"/>
  <c r="P53" i="16"/>
  <c r="P52" i="16"/>
  <c r="P51" i="16"/>
  <c r="P50" i="16"/>
  <c r="P49" i="16"/>
  <c r="P45" i="16"/>
  <c r="P38" i="16"/>
  <c r="P35" i="16"/>
  <c r="P34" i="16"/>
  <c r="P33" i="16"/>
  <c r="P32" i="16"/>
  <c r="P31" i="16"/>
  <c r="P30" i="16"/>
  <c r="P29" i="16"/>
  <c r="P23" i="16"/>
  <c r="P21" i="16"/>
  <c r="P20" i="16"/>
  <c r="P11" i="16"/>
  <c r="P3" i="16"/>
  <c r="L86" i="16" s="1"/>
  <c r="M36" i="16"/>
  <c r="C3" i="16"/>
  <c r="J3" i="16" s="1"/>
  <c r="L45" i="16"/>
  <c r="H3" i="16"/>
  <c r="I69" i="16"/>
  <c r="M20" i="16"/>
  <c r="M35" i="16"/>
  <c r="M34" i="16"/>
  <c r="M33" i="16"/>
  <c r="M32" i="16"/>
  <c r="M31" i="16"/>
  <c r="M29" i="16"/>
  <c r="M22" i="16"/>
  <c r="M21" i="16"/>
  <c r="F112" i="16"/>
  <c r="F113" i="16" s="1"/>
  <c r="L36" i="16"/>
  <c r="L37" i="16"/>
  <c r="L38" i="16"/>
  <c r="L21" i="16"/>
  <c r="L22" i="16"/>
  <c r="L23" i="16"/>
  <c r="L24" i="16"/>
  <c r="L4" i="16"/>
  <c r="L5" i="16"/>
  <c r="D113" i="16"/>
  <c r="D114" i="16" s="1"/>
  <c r="K64" i="7"/>
  <c r="K65" i="7" s="1"/>
  <c r="K66" i="7" s="1"/>
  <c r="B84" i="7"/>
  <c r="B85" i="7" s="1"/>
  <c r="K9" i="7"/>
  <c r="K10" i="7" s="1"/>
  <c r="K11" i="7" s="1"/>
  <c r="K12" i="7" s="1"/>
  <c r="C83" i="7"/>
  <c r="L8" i="7" s="1"/>
  <c r="D8" i="7"/>
  <c r="F8" i="7" s="1"/>
  <c r="B8" i="7"/>
  <c r="E74" i="7"/>
  <c r="C74" i="7"/>
  <c r="B74" i="7"/>
  <c r="L54" i="16"/>
  <c r="L53" i="16"/>
  <c r="L52" i="16"/>
  <c r="L51" i="16"/>
  <c r="L50" i="16"/>
  <c r="L49" i="16"/>
  <c r="L39" i="16"/>
  <c r="L35" i="16"/>
  <c r="L34" i="16"/>
  <c r="L19" i="16"/>
  <c r="L18" i="16"/>
  <c r="L17" i="16"/>
  <c r="L16" i="16"/>
  <c r="L7" i="16"/>
  <c r="L20" i="16"/>
  <c r="L12" i="16"/>
  <c r="L13" i="16"/>
  <c r="L14" i="16"/>
  <c r="L15" i="16"/>
  <c r="L44" i="16"/>
  <c r="L43" i="16"/>
  <c r="L33" i="16"/>
  <c r="L32" i="16"/>
  <c r="L31" i="16"/>
  <c r="L30" i="16"/>
  <c r="L29" i="16"/>
  <c r="L28" i="16"/>
  <c r="L11" i="16"/>
  <c r="L6" i="16"/>
  <c r="L3" i="16"/>
  <c r="B55" i="19"/>
  <c r="M55" i="19" s="1"/>
  <c r="B49" i="19"/>
  <c r="I49" i="19" s="1"/>
  <c r="B19" i="19"/>
  <c r="F19" i="19" s="1"/>
  <c r="B22" i="19"/>
  <c r="J22" i="19" s="1"/>
  <c r="B18" i="19"/>
  <c r="G18" i="19" s="1"/>
  <c r="B17" i="19"/>
  <c r="L17" i="19" s="1"/>
  <c r="B25" i="19"/>
  <c r="P25" i="19" s="1"/>
  <c r="B24" i="19"/>
  <c r="G24" i="19" s="1"/>
  <c r="B23" i="19"/>
  <c r="H23" i="19" s="1"/>
  <c r="A61" i="19"/>
  <c r="B16" i="19"/>
  <c r="G16" i="19" s="1"/>
  <c r="M18" i="19"/>
  <c r="B21" i="19"/>
  <c r="F21" i="19" s="1"/>
  <c r="R21" i="19" s="1"/>
  <c r="B15" i="19"/>
  <c r="M15" i="19" s="1"/>
  <c r="A2" i="19"/>
  <c r="D1" i="19"/>
  <c r="E1" i="19" s="1"/>
  <c r="F1" i="19" s="1"/>
  <c r="G1" i="19" s="1"/>
  <c r="H1" i="19" s="1"/>
  <c r="I1" i="19" s="1"/>
  <c r="J1" i="19" s="1"/>
  <c r="K1" i="19" s="1"/>
  <c r="L1" i="19" s="1"/>
  <c r="M1" i="19" s="1"/>
  <c r="N1" i="19" s="1"/>
  <c r="O1" i="19" s="1"/>
  <c r="P1" i="19" s="1"/>
  <c r="Q1" i="19" s="1"/>
  <c r="B54" i="19"/>
  <c r="I54" i="19" s="1"/>
  <c r="B53" i="19"/>
  <c r="I53" i="19" s="1"/>
  <c r="B52" i="19"/>
  <c r="O52" i="19" s="1"/>
  <c r="B51" i="19"/>
  <c r="G51" i="19"/>
  <c r="B48" i="19"/>
  <c r="P48" i="19" s="1"/>
  <c r="Q48" i="19"/>
  <c r="B47" i="19"/>
  <c r="O47" i="19" s="1"/>
  <c r="B46" i="19"/>
  <c r="G46" i="19" s="1"/>
  <c r="B45" i="19"/>
  <c r="N45" i="19" s="1"/>
  <c r="Q30" i="16"/>
  <c r="F54" i="19"/>
  <c r="K15" i="19"/>
  <c r="H49" i="19"/>
  <c r="R30" i="16"/>
  <c r="J45" i="19"/>
  <c r="O25" i="19"/>
  <c r="K25" i="19"/>
  <c r="H8" i="7"/>
  <c r="H74" i="7" s="1"/>
  <c r="J8" i="7"/>
  <c r="J74" i="7" s="1"/>
  <c r="C84" i="7"/>
  <c r="L9" i="7" s="1"/>
  <c r="K22" i="19"/>
  <c r="G49" i="19"/>
  <c r="F17" i="28"/>
  <c r="Q20" i="16"/>
  <c r="F39" i="28"/>
  <c r="P51" i="19"/>
  <c r="F16" i="28"/>
  <c r="P22" i="19"/>
  <c r="K55" i="19"/>
  <c r="O55" i="19"/>
  <c r="R38" i="16"/>
  <c r="S30" i="16"/>
  <c r="F52" i="19"/>
  <c r="R52" i="19" s="1"/>
  <c r="N52" i="19"/>
  <c r="O21" i="19"/>
  <c r="J21" i="19"/>
  <c r="Q15" i="16"/>
  <c r="S53" i="16"/>
  <c r="R51" i="16"/>
  <c r="Q55" i="19"/>
  <c r="G45" i="19"/>
  <c r="F23" i="19"/>
  <c r="R23" i="19" s="1"/>
  <c r="N23" i="19"/>
  <c r="G25" i="19"/>
  <c r="L25" i="19"/>
  <c r="H18" i="19"/>
  <c r="J18" i="19"/>
  <c r="L18" i="19"/>
  <c r="N18" i="19"/>
  <c r="Q19" i="16"/>
  <c r="Q17" i="16"/>
  <c r="J6" i="16"/>
  <c r="D12" i="28"/>
  <c r="G12" i="28" s="1"/>
  <c r="G20" i="28"/>
  <c r="G45" i="28" s="1"/>
  <c r="D45" i="28"/>
  <c r="M21" i="19"/>
  <c r="Q21" i="19"/>
  <c r="P15" i="19"/>
  <c r="M16" i="19"/>
  <c r="L21" i="19"/>
  <c r="O23" i="19"/>
  <c r="K23" i="19"/>
  <c r="J24" i="19"/>
  <c r="P19" i="19"/>
  <c r="N19" i="19"/>
  <c r="J19" i="19"/>
  <c r="H19" i="19"/>
  <c r="N25" i="19"/>
  <c r="J25" i="19"/>
  <c r="F25" i="19"/>
  <c r="R25" i="19" s="1"/>
  <c r="N55" i="19"/>
  <c r="H55" i="19"/>
  <c r="Q50" i="16"/>
  <c r="R53" i="16"/>
  <c r="Q53" i="16"/>
  <c r="Q38" i="16"/>
  <c r="R19" i="16"/>
  <c r="S19" i="16"/>
  <c r="Q51" i="16"/>
  <c r="M51" i="19"/>
  <c r="I25" i="19"/>
  <c r="M25" i="19"/>
  <c r="Q25" i="19"/>
  <c r="P46" i="19"/>
  <c r="Q19" i="19"/>
  <c r="J24" i="16"/>
  <c r="R7" i="16"/>
  <c r="R44" i="16"/>
  <c r="Q44" i="16"/>
  <c r="J13" i="16"/>
  <c r="S7" i="16"/>
  <c r="L51" i="19"/>
  <c r="J46" i="19"/>
  <c r="I15" i="19"/>
  <c r="B10" i="19"/>
  <c r="J10" i="19" s="1"/>
  <c r="S50" i="16"/>
  <c r="R50" i="16"/>
  <c r="S44" i="16"/>
  <c r="Q7" i="16"/>
  <c r="S51" i="16"/>
  <c r="S38" i="16"/>
  <c r="O51" i="19"/>
  <c r="Q51" i="19"/>
  <c r="I51" i="19"/>
  <c r="H51" i="19"/>
  <c r="L46" i="19"/>
  <c r="F53" i="19"/>
  <c r="K46" i="19"/>
  <c r="H17" i="19"/>
  <c r="L10" i="19"/>
  <c r="F46" i="19"/>
  <c r="R46" i="19" s="1"/>
  <c r="H53" i="19"/>
  <c r="H46" i="19"/>
  <c r="J53" i="19"/>
  <c r="J51" i="19"/>
  <c r="F51" i="19"/>
  <c r="R51" i="19" s="1"/>
  <c r="K51" i="19"/>
  <c r="Q18" i="19"/>
  <c r="I18" i="19"/>
  <c r="I19" i="19"/>
  <c r="H54" i="19"/>
  <c r="R17" i="16"/>
  <c r="S17" i="16"/>
  <c r="S20" i="16"/>
  <c r="R20" i="16"/>
  <c r="S15" i="16"/>
  <c r="R15" i="16"/>
  <c r="B34" i="19"/>
  <c r="H34" i="19" s="1"/>
  <c r="L23" i="19"/>
  <c r="O18" i="19"/>
  <c r="K18" i="19"/>
  <c r="M19" i="19"/>
  <c r="R54" i="16"/>
  <c r="B33" i="19"/>
  <c r="P33" i="19" s="1"/>
  <c r="I46" i="19"/>
  <c r="Q46" i="19"/>
  <c r="F15" i="19"/>
  <c r="R15" i="19" s="1"/>
  <c r="O19" i="19"/>
  <c r="K19" i="19"/>
  <c r="G19" i="19"/>
  <c r="J12" i="16"/>
  <c r="B3" i="19"/>
  <c r="H3" i="19" s="1"/>
  <c r="R34" i="16"/>
  <c r="F10" i="19"/>
  <c r="S54" i="16"/>
  <c r="Q54" i="16"/>
  <c r="S6" i="16"/>
  <c r="R6" i="16"/>
  <c r="Q6" i="16"/>
  <c r="S28" i="16"/>
  <c r="R28" i="16"/>
  <c r="Q28" i="16"/>
  <c r="O34" i="19"/>
  <c r="M34" i="19"/>
  <c r="I34" i="19"/>
  <c r="S52" i="16"/>
  <c r="R52" i="16"/>
  <c r="Q52" i="16"/>
  <c r="L33" i="19"/>
  <c r="S33" i="16"/>
  <c r="R33" i="16"/>
  <c r="Q33" i="16"/>
  <c r="Q35" i="16"/>
  <c r="S35" i="16"/>
  <c r="R35" i="16"/>
  <c r="Q32" i="16"/>
  <c r="R32" i="16"/>
  <c r="S32" i="16"/>
  <c r="Q34" i="16"/>
  <c r="S34" i="16"/>
  <c r="B9" i="19"/>
  <c r="K9" i="19" s="1"/>
  <c r="B13" i="19"/>
  <c r="G13" i="19" s="1"/>
  <c r="B28" i="19"/>
  <c r="Q28" i="19" s="1"/>
  <c r="F3" i="19"/>
  <c r="Q21" i="16"/>
  <c r="R21" i="16"/>
  <c r="S21" i="16"/>
  <c r="Q11" i="16"/>
  <c r="B6" i="19"/>
  <c r="J6" i="19" s="1"/>
  <c r="B5" i="19"/>
  <c r="Q14" i="16"/>
  <c r="S14" i="16"/>
  <c r="R14" i="16"/>
  <c r="Q31" i="16"/>
  <c r="R31" i="16"/>
  <c r="S31" i="16"/>
  <c r="B35" i="19"/>
  <c r="O35" i="19" s="1"/>
  <c r="B36" i="19"/>
  <c r="L36" i="19" s="1"/>
  <c r="B7" i="19"/>
  <c r="M7" i="19" s="1"/>
  <c r="Q45" i="16"/>
  <c r="S45" i="16"/>
  <c r="R45" i="16"/>
  <c r="Q3" i="16"/>
  <c r="R3" i="16"/>
  <c r="S3" i="16"/>
  <c r="R16" i="16"/>
  <c r="S16" i="16"/>
  <c r="Q16" i="16"/>
  <c r="S24" i="16"/>
  <c r="R24" i="16"/>
  <c r="Q24" i="16"/>
  <c r="Q39" i="16"/>
  <c r="R39" i="16"/>
  <c r="S39" i="16"/>
  <c r="B37" i="19"/>
  <c r="I37" i="19" s="1"/>
  <c r="R12" i="16"/>
  <c r="S12" i="16"/>
  <c r="Q12" i="16"/>
  <c r="R18" i="16"/>
  <c r="S18" i="16"/>
  <c r="Q18" i="16"/>
  <c r="B27" i="19"/>
  <c r="F27" i="19" s="1"/>
  <c r="B63" i="19"/>
  <c r="G63" i="19" s="1"/>
  <c r="Q5" i="19"/>
  <c r="M5" i="19"/>
  <c r="Q6" i="19"/>
  <c r="P6" i="19"/>
  <c r="L6" i="19"/>
  <c r="B11" i="19"/>
  <c r="I11" i="19" s="1"/>
  <c r="B12" i="19"/>
  <c r="H12" i="19" s="1"/>
  <c r="P9" i="19"/>
  <c r="F9" i="19"/>
  <c r="I9" i="19"/>
  <c r="S13" i="16"/>
  <c r="R13" i="16"/>
  <c r="Q13" i="16"/>
  <c r="Q8" i="16"/>
  <c r="S8" i="16"/>
  <c r="R8" i="16"/>
  <c r="I36" i="19"/>
  <c r="O36" i="19"/>
  <c r="P36" i="19"/>
  <c r="F36" i="19"/>
  <c r="Q36" i="19"/>
  <c r="J36" i="19"/>
  <c r="H36" i="19"/>
  <c r="N36" i="19"/>
  <c r="K36" i="19"/>
  <c r="P28" i="19"/>
  <c r="O28" i="19"/>
  <c r="N28" i="19"/>
  <c r="I13" i="19"/>
  <c r="R29" i="16"/>
  <c r="S29" i="16"/>
  <c r="Q29" i="16"/>
  <c r="B29" i="19"/>
  <c r="G29" i="19" s="1"/>
  <c r="B30" i="19"/>
  <c r="F30" i="19" s="1"/>
  <c r="B31" i="19"/>
  <c r="H31" i="19" s="1"/>
  <c r="N27" i="19"/>
  <c r="J12" i="19"/>
  <c r="O12" i="19"/>
  <c r="I12" i="19"/>
  <c r="Q25" i="16"/>
  <c r="B4" i="19"/>
  <c r="L4" i="19" s="1"/>
  <c r="S11" i="16"/>
  <c r="R11" i="16"/>
  <c r="O63" i="19"/>
  <c r="L63" i="19"/>
  <c r="Q63" i="19"/>
  <c r="B62" i="19"/>
  <c r="F62" i="19" s="1"/>
  <c r="R49" i="16"/>
  <c r="S49" i="16"/>
  <c r="Q49" i="16"/>
  <c r="G31" i="19"/>
  <c r="N31" i="19"/>
  <c r="O30" i="19"/>
  <c r="Q29" i="19"/>
  <c r="K29" i="19"/>
  <c r="B68" i="19"/>
  <c r="F68" i="19" s="1"/>
  <c r="S43" i="16"/>
  <c r="Q43" i="16"/>
  <c r="R43" i="16"/>
  <c r="S40" i="16"/>
  <c r="Q40" i="16"/>
  <c r="R40" i="16"/>
  <c r="S25" i="16"/>
  <c r="J4" i="19"/>
  <c r="K4" i="19"/>
  <c r="Q4" i="19"/>
  <c r="R25" i="16"/>
  <c r="G62" i="19"/>
  <c r="S55" i="16"/>
  <c r="Q55" i="16"/>
  <c r="R55" i="16"/>
  <c r="Q46" i="16"/>
  <c r="S46" i="16"/>
  <c r="R46" i="16"/>
  <c r="B57" i="19"/>
  <c r="J57" i="19" s="1"/>
  <c r="B58" i="19"/>
  <c r="J58" i="19" s="1"/>
  <c r="M57" i="19"/>
  <c r="B39" i="19"/>
  <c r="B43" i="19"/>
  <c r="J43" i="19" s="1"/>
  <c r="B59" i="19"/>
  <c r="I59" i="19" s="1"/>
  <c r="B60" i="19"/>
  <c r="G60" i="19" s="1"/>
  <c r="Q58" i="19"/>
  <c r="I58" i="19"/>
  <c r="O39" i="19"/>
  <c r="H59" i="19"/>
  <c r="J59" i="19"/>
  <c r="M59" i="19"/>
  <c r="K59" i="19"/>
  <c r="B40" i="19"/>
  <c r="Q40" i="19" s="1"/>
  <c r="B42" i="19"/>
  <c r="P42" i="19" s="1"/>
  <c r="B41" i="19"/>
  <c r="J41" i="19" s="1"/>
  <c r="F42" i="19"/>
  <c r="R42" i="19" s="1"/>
  <c r="G41" i="19"/>
  <c r="Q41" i="19"/>
  <c r="L47" i="19"/>
  <c r="N48" i="19"/>
  <c r="M48" i="19"/>
  <c r="H48" i="19"/>
  <c r="D38" i="28"/>
  <c r="G38" i="28" s="1"/>
  <c r="J40" i="19"/>
  <c r="P60" i="19"/>
  <c r="M58" i="19"/>
  <c r="L58" i="19"/>
  <c r="Q57" i="19"/>
  <c r="I5" i="19"/>
  <c r="G5" i="19"/>
  <c r="L5" i="19"/>
  <c r="N5" i="19"/>
  <c r="O5" i="19"/>
  <c r="K33" i="19"/>
  <c r="I33" i="19"/>
  <c r="Q33" i="19"/>
  <c r="N33" i="19"/>
  <c r="J33" i="19"/>
  <c r="N51" i="19"/>
  <c r="O48" i="19"/>
  <c r="G14" i="28"/>
  <c r="J15" i="16" l="1"/>
  <c r="J5" i="16"/>
  <c r="J17" i="16"/>
  <c r="K58" i="19"/>
  <c r="O42" i="19"/>
  <c r="O37" i="19"/>
  <c r="Q59" i="19"/>
  <c r="H58" i="19"/>
  <c r="O58" i="19"/>
  <c r="F31" i="19"/>
  <c r="R31" i="19" s="1"/>
  <c r="M63" i="19"/>
  <c r="L28" i="19"/>
  <c r="J28" i="19"/>
  <c r="H9" i="19"/>
  <c r="G6" i="19"/>
  <c r="H7" i="19"/>
  <c r="P23" i="19"/>
  <c r="O46" i="19"/>
  <c r="R19" i="19"/>
  <c r="H62" i="19"/>
  <c r="H42" i="19"/>
  <c r="L31" i="19"/>
  <c r="N35" i="19"/>
  <c r="J9" i="19"/>
  <c r="O6" i="19"/>
  <c r="L63" i="7"/>
  <c r="J101" i="25"/>
  <c r="H28" i="19"/>
  <c r="K6" i="19"/>
  <c r="P7" i="19"/>
  <c r="H43" i="19"/>
  <c r="P43" i="19"/>
  <c r="L62" i="19"/>
  <c r="J31" i="19"/>
  <c r="M28" i="19"/>
  <c r="P35" i="19"/>
  <c r="O9" i="19"/>
  <c r="F6" i="19"/>
  <c r="R6" i="19" s="1"/>
  <c r="I6" i="19"/>
  <c r="I62" i="19"/>
  <c r="G58" i="19"/>
  <c r="L60" i="19"/>
  <c r="H41" i="19"/>
  <c r="P59" i="19"/>
  <c r="Q43" i="19"/>
  <c r="O43" i="19"/>
  <c r="K62" i="19"/>
  <c r="R27" i="19"/>
  <c r="K31" i="19"/>
  <c r="Q12" i="19"/>
  <c r="G28" i="19"/>
  <c r="M36" i="19"/>
  <c r="M9" i="19"/>
  <c r="H6" i="19"/>
  <c r="M6" i="19"/>
  <c r="G37" i="19"/>
  <c r="L37" i="19"/>
  <c r="M46" i="19"/>
  <c r="I23" i="19"/>
  <c r="O54" i="19"/>
  <c r="J23" i="19"/>
  <c r="D74" i="7"/>
  <c r="P58" i="19"/>
  <c r="G40" i="19"/>
  <c r="G59" i="19"/>
  <c r="N58" i="19"/>
  <c r="L29" i="19"/>
  <c r="M31" i="19"/>
  <c r="K63" i="19"/>
  <c r="O27" i="19"/>
  <c r="F28" i="19"/>
  <c r="R28" i="19" s="1"/>
  <c r="I28" i="19"/>
  <c r="N6" i="19"/>
  <c r="M23" i="19"/>
  <c r="G23" i="19"/>
  <c r="R9" i="19"/>
  <c r="F58" i="19"/>
  <c r="R58" i="19" s="1"/>
  <c r="I42" i="19"/>
  <c r="J37" i="19"/>
  <c r="P40" i="19"/>
  <c r="N59" i="19"/>
  <c r="N57" i="19"/>
  <c r="M29" i="19"/>
  <c r="Q31" i="19"/>
  <c r="J63" i="19"/>
  <c r="M11" i="19"/>
  <c r="K28" i="19"/>
  <c r="G36" i="19"/>
  <c r="N9" i="19"/>
  <c r="N7" i="19"/>
  <c r="M54" i="19"/>
  <c r="N46" i="19"/>
  <c r="L19" i="19"/>
  <c r="Q23" i="19"/>
  <c r="G52" i="19"/>
  <c r="M49" i="19"/>
  <c r="I45" i="19"/>
  <c r="F18" i="28"/>
  <c r="F12" i="28"/>
  <c r="D36" i="28"/>
  <c r="F11" i="28"/>
  <c r="C35" i="28"/>
  <c r="F35" i="28" s="1"/>
  <c r="J40" i="16"/>
  <c r="J25" i="16"/>
  <c r="J55" i="16"/>
  <c r="J8" i="16"/>
  <c r="N40" i="19"/>
  <c r="H4" i="19"/>
  <c r="F11" i="19"/>
  <c r="R11" i="19" s="1"/>
  <c r="P3" i="19"/>
  <c r="P34" i="19"/>
  <c r="G34" i="19"/>
  <c r="Q49" i="19"/>
  <c r="I57" i="19"/>
  <c r="L43" i="19"/>
  <c r="Q60" i="19"/>
  <c r="O40" i="19"/>
  <c r="G17" i="28"/>
  <c r="P47" i="19"/>
  <c r="H68" i="19"/>
  <c r="O41" i="19"/>
  <c r="H45" i="19"/>
  <c r="M40" i="19"/>
  <c r="O59" i="19"/>
  <c r="N43" i="19"/>
  <c r="O68" i="19"/>
  <c r="P4" i="19"/>
  <c r="N29" i="19"/>
  <c r="J29" i="19"/>
  <c r="G30" i="19"/>
  <c r="I31" i="19"/>
  <c r="K11" i="19"/>
  <c r="P11" i="19"/>
  <c r="L27" i="19"/>
  <c r="G9" i="19"/>
  <c r="Q9" i="19"/>
  <c r="O7" i="19"/>
  <c r="Q3" i="19"/>
  <c r="M33" i="19"/>
  <c r="K34" i="19"/>
  <c r="G10" i="19"/>
  <c r="P54" i="19"/>
  <c r="N54" i="19"/>
  <c r="J55" i="19"/>
  <c r="H15" i="19"/>
  <c r="I21" i="19"/>
  <c r="F18" i="19"/>
  <c r="R18" i="19" s="1"/>
  <c r="L16" i="19"/>
  <c r="H21" i="19"/>
  <c r="M52" i="19"/>
  <c r="G55" i="19"/>
  <c r="H22" i="19"/>
  <c r="K17" i="19"/>
  <c r="P49" i="19"/>
  <c r="Q54" i="19"/>
  <c r="N22" i="19"/>
  <c r="H25" i="19"/>
  <c r="C58" i="16"/>
  <c r="P57" i="19"/>
  <c r="D37" i="28"/>
  <c r="G37" i="28" s="1"/>
  <c r="I40" i="19"/>
  <c r="I30" i="19"/>
  <c r="O11" i="19"/>
  <c r="N15" i="19"/>
  <c r="O16" i="19"/>
  <c r="Q16" i="19"/>
  <c r="H16" i="19"/>
  <c r="I52" i="19"/>
  <c r="L22" i="19"/>
  <c r="O22" i="19"/>
  <c r="L49" i="19"/>
  <c r="J60" i="19"/>
  <c r="M42" i="19"/>
  <c r="J47" i="19"/>
  <c r="I68" i="19"/>
  <c r="K49" i="19"/>
  <c r="H40" i="19"/>
  <c r="L59" i="19"/>
  <c r="I43" i="19"/>
  <c r="G57" i="19"/>
  <c r="O57" i="19"/>
  <c r="K68" i="19"/>
  <c r="I4" i="19"/>
  <c r="M4" i="19"/>
  <c r="I29" i="19"/>
  <c r="H29" i="19"/>
  <c r="J30" i="19"/>
  <c r="O31" i="19"/>
  <c r="L11" i="19"/>
  <c r="P12" i="19"/>
  <c r="P27" i="19"/>
  <c r="L9" i="19"/>
  <c r="I7" i="19"/>
  <c r="L34" i="19"/>
  <c r="Q10" i="19"/>
  <c r="J15" i="19"/>
  <c r="O15" i="19"/>
  <c r="L55" i="19"/>
  <c r="L15" i="19"/>
  <c r="P16" i="19"/>
  <c r="F22" i="19"/>
  <c r="R22" i="19" s="1"/>
  <c r="G21" i="19"/>
  <c r="Q52" i="19"/>
  <c r="F55" i="19"/>
  <c r="R55" i="19" s="1"/>
  <c r="G22" i="19"/>
  <c r="P52" i="19"/>
  <c r="B3" i="16"/>
  <c r="J16" i="19"/>
  <c r="K48" i="19"/>
  <c r="G15" i="19"/>
  <c r="F49" i="19"/>
  <c r="E3" i="16"/>
  <c r="N68" i="19"/>
  <c r="G48" i="19"/>
  <c r="H37" i="19"/>
  <c r="H57" i="19"/>
  <c r="K43" i="19"/>
  <c r="I48" i="19"/>
  <c r="F37" i="19"/>
  <c r="R37" i="19" s="1"/>
  <c r="L68" i="19"/>
  <c r="P41" i="19"/>
  <c r="F59" i="19"/>
  <c r="R59" i="19" s="1"/>
  <c r="M43" i="19"/>
  <c r="L57" i="19"/>
  <c r="R30" i="19"/>
  <c r="J68" i="19"/>
  <c r="G4" i="19"/>
  <c r="P29" i="19"/>
  <c r="O29" i="19"/>
  <c r="P31" i="19"/>
  <c r="H11" i="19"/>
  <c r="K27" i="19"/>
  <c r="H13" i="19"/>
  <c r="N34" i="19"/>
  <c r="L24" i="19"/>
  <c r="K21" i="19"/>
  <c r="N21" i="19"/>
  <c r="P55" i="19"/>
  <c r="L54" i="19"/>
  <c r="P18" i="19"/>
  <c r="K52" i="19"/>
  <c r="M22" i="19"/>
  <c r="O49" i="19"/>
  <c r="H47" i="19"/>
  <c r="J54" i="19"/>
  <c r="P21" i="19"/>
  <c r="I55" i="19"/>
  <c r="J18" i="16"/>
  <c r="J7" i="16"/>
  <c r="G68" i="19"/>
  <c r="G11" i="19"/>
  <c r="N16" i="19"/>
  <c r="K16" i="19"/>
  <c r="I22" i="19"/>
  <c r="K57" i="19"/>
  <c r="G43" i="19"/>
  <c r="P37" i="19"/>
  <c r="F43" i="19"/>
  <c r="R43" i="19" s="1"/>
  <c r="J11" i="19"/>
  <c r="F13" i="19"/>
  <c r="R13" i="19" s="1"/>
  <c r="N49" i="19"/>
  <c r="F16" i="19"/>
  <c r="R16" i="19" s="1"/>
  <c r="H52" i="19"/>
  <c r="Q22" i="19"/>
  <c r="L48" i="19"/>
  <c r="O24" i="19"/>
  <c r="L52" i="19"/>
  <c r="Q68" i="19"/>
  <c r="N37" i="19"/>
  <c r="F40" i="19"/>
  <c r="R40" i="19" s="1"/>
  <c r="F57" i="19"/>
  <c r="R57" i="19" s="1"/>
  <c r="M68" i="19"/>
  <c r="F4" i="19"/>
  <c r="R4" i="19" s="1"/>
  <c r="O4" i="19"/>
  <c r="F29" i="19"/>
  <c r="R29" i="19" s="1"/>
  <c r="K30" i="19"/>
  <c r="N11" i="19"/>
  <c r="H27" i="19"/>
  <c r="M37" i="19"/>
  <c r="J34" i="19"/>
  <c r="Q34" i="19"/>
  <c r="Q15" i="19"/>
  <c r="Q37" i="19"/>
  <c r="K40" i="19"/>
  <c r="F48" i="19"/>
  <c r="K37" i="19"/>
  <c r="P68" i="19"/>
  <c r="N4" i="19"/>
  <c r="Q30" i="19"/>
  <c r="Q11" i="19"/>
  <c r="G7" i="19"/>
  <c r="F34" i="19"/>
  <c r="R34" i="19" s="1"/>
  <c r="J49" i="19"/>
  <c r="I16" i="19"/>
  <c r="K54" i="19"/>
  <c r="J52" i="19"/>
  <c r="J48" i="19"/>
  <c r="R12" i="28"/>
  <c r="R11" i="28"/>
  <c r="R17" i="28"/>
  <c r="D39" i="28"/>
  <c r="G16" i="28"/>
  <c r="G32" i="28" s="1"/>
  <c r="G57" i="28" s="1"/>
  <c r="F60" i="19"/>
  <c r="K60" i="19"/>
  <c r="M60" i="19"/>
  <c r="O60" i="19"/>
  <c r="I60" i="19"/>
  <c r="H60" i="19"/>
  <c r="N60" i="19"/>
  <c r="L39" i="19"/>
  <c r="M39" i="19"/>
  <c r="N39" i="19"/>
  <c r="K39" i="19"/>
  <c r="I39" i="19"/>
  <c r="G39" i="19"/>
  <c r="J39" i="19"/>
  <c r="P39" i="19"/>
  <c r="F39" i="19"/>
  <c r="R39" i="19" s="1"/>
  <c r="H39" i="19"/>
  <c r="Q39" i="19"/>
  <c r="M41" i="19"/>
  <c r="F41" i="19"/>
  <c r="R41" i="19" s="1"/>
  <c r="K41" i="19"/>
  <c r="N41" i="19"/>
  <c r="L41" i="19"/>
  <c r="I41" i="19"/>
  <c r="N42" i="19"/>
  <c r="Q42" i="19"/>
  <c r="K42" i="19"/>
  <c r="G42" i="19"/>
  <c r="N12" i="19"/>
  <c r="G12" i="19"/>
  <c r="L12" i="19"/>
  <c r="K12" i="19"/>
  <c r="F12" i="19"/>
  <c r="M12" i="19"/>
  <c r="K5" i="19"/>
  <c r="F5" i="19"/>
  <c r="R5" i="19" s="1"/>
  <c r="J5" i="19"/>
  <c r="P5" i="19"/>
  <c r="H5" i="19"/>
  <c r="L42" i="19"/>
  <c r="N62" i="19"/>
  <c r="Q62" i="19"/>
  <c r="M62" i="19"/>
  <c r="O62" i="19"/>
  <c r="R62" i="19"/>
  <c r="P62" i="19"/>
  <c r="J62" i="19"/>
  <c r="J35" i="19"/>
  <c r="K35" i="19"/>
  <c r="Q35" i="19"/>
  <c r="I35" i="19"/>
  <c r="F35" i="19"/>
  <c r="R35" i="19" s="1"/>
  <c r="H35" i="19"/>
  <c r="G35" i="19"/>
  <c r="L35" i="19"/>
  <c r="M35" i="19"/>
  <c r="J42" i="19"/>
  <c r="R68" i="19"/>
  <c r="N13" i="19"/>
  <c r="M13" i="19"/>
  <c r="K13" i="19"/>
  <c r="O13" i="19"/>
  <c r="J13" i="19"/>
  <c r="P13" i="19"/>
  <c r="L13" i="19"/>
  <c r="Q13" i="19"/>
  <c r="K13" i="7"/>
  <c r="K67" i="7"/>
  <c r="J3" i="19"/>
  <c r="I3" i="19"/>
  <c r="K3" i="19"/>
  <c r="M3" i="19"/>
  <c r="N10" i="19"/>
  <c r="P10" i="19"/>
  <c r="P53" i="19"/>
  <c r="G53" i="19"/>
  <c r="D32" i="28"/>
  <c r="L12" i="28" s="1"/>
  <c r="M12" i="28" s="1"/>
  <c r="D35" i="28"/>
  <c r="N30" i="19"/>
  <c r="H30" i="19"/>
  <c r="L30" i="19"/>
  <c r="H63" i="19"/>
  <c r="I63" i="19"/>
  <c r="P63" i="19"/>
  <c r="Q27" i="19"/>
  <c r="I27" i="19"/>
  <c r="G27" i="19"/>
  <c r="Q7" i="19"/>
  <c r="F7" i="19"/>
  <c r="R7" i="19" s="1"/>
  <c r="R3" i="19"/>
  <c r="O3" i="19"/>
  <c r="L3" i="19"/>
  <c r="F33" i="19"/>
  <c r="R33" i="19" s="1"/>
  <c r="H33" i="19"/>
  <c r="M10" i="19"/>
  <c r="R10" i="19"/>
  <c r="K10" i="19"/>
  <c r="L64" i="7"/>
  <c r="M45" i="19"/>
  <c r="L45" i="19"/>
  <c r="O45" i="19"/>
  <c r="F45" i="19"/>
  <c r="K45" i="19"/>
  <c r="Q45" i="19"/>
  <c r="P45" i="19"/>
  <c r="R45" i="19"/>
  <c r="G17" i="19"/>
  <c r="Q17" i="19"/>
  <c r="I17" i="19"/>
  <c r="N17" i="19"/>
  <c r="P17" i="19"/>
  <c r="O17" i="19"/>
  <c r="J17" i="19"/>
  <c r="M17" i="19"/>
  <c r="F17" i="19"/>
  <c r="R17" i="19" s="1"/>
  <c r="O53" i="19"/>
  <c r="L53" i="19"/>
  <c r="R53" i="19"/>
  <c r="K53" i="19"/>
  <c r="M53" i="19"/>
  <c r="N53" i="19"/>
  <c r="Q53" i="19"/>
  <c r="C85" i="7"/>
  <c r="L10" i="7" s="1"/>
  <c r="B86" i="7"/>
  <c r="L65" i="7"/>
  <c r="L40" i="19"/>
  <c r="P30" i="19"/>
  <c r="M30" i="19"/>
  <c r="N63" i="19"/>
  <c r="F63" i="19"/>
  <c r="R63" i="19" s="1"/>
  <c r="J27" i="19"/>
  <c r="M27" i="19"/>
  <c r="J7" i="19"/>
  <c r="K7" i="19"/>
  <c r="L7" i="19"/>
  <c r="N3" i="19"/>
  <c r="G3" i="19"/>
  <c r="G33" i="19"/>
  <c r="O33" i="19"/>
  <c r="O10" i="19"/>
  <c r="H10" i="19"/>
  <c r="I10" i="19"/>
  <c r="M47" i="19"/>
  <c r="Q47" i="19"/>
  <c r="F47" i="19"/>
  <c r="R47" i="19" s="1"/>
  <c r="K47" i="19"/>
  <c r="I47" i="19"/>
  <c r="N47" i="19"/>
  <c r="G47" i="19"/>
  <c r="Q24" i="19"/>
  <c r="I24" i="19"/>
  <c r="N24" i="19"/>
  <c r="P24" i="19"/>
  <c r="H24" i="19"/>
  <c r="K24" i="19"/>
  <c r="M24" i="19"/>
  <c r="F24" i="19"/>
  <c r="R49" i="19"/>
  <c r="H55" i="16"/>
  <c r="H25" i="16"/>
  <c r="H8" i="16"/>
  <c r="H40" i="16"/>
  <c r="G36" i="28"/>
  <c r="G54" i="19"/>
  <c r="R54" i="19"/>
  <c r="F32" i="28" l="1"/>
  <c r="I20" i="28" s="1"/>
  <c r="J20" i="28" s="1"/>
  <c r="J58" i="16"/>
  <c r="B58" i="16"/>
  <c r="G3" i="16"/>
  <c r="E58" i="16"/>
  <c r="D3" i="16"/>
  <c r="I18" i="28"/>
  <c r="J18" i="28" s="1"/>
  <c r="F54" i="28"/>
  <c r="I35" i="28" s="1"/>
  <c r="J35" i="28" s="1"/>
  <c r="G39" i="28"/>
  <c r="C86" i="7"/>
  <c r="L66" i="7" s="1"/>
  <c r="B87" i="7"/>
  <c r="K68" i="7"/>
  <c r="D54" i="28"/>
  <c r="L39" i="28" s="1"/>
  <c r="M39" i="28" s="1"/>
  <c r="G35" i="28"/>
  <c r="H58" i="16"/>
  <c r="L13" i="28"/>
  <c r="M13" i="28" s="1"/>
  <c r="P57" i="28" s="1"/>
  <c r="L11" i="28"/>
  <c r="L15" i="28"/>
  <c r="M15" i="28" s="1"/>
  <c r="P59" i="28" s="1"/>
  <c r="L18" i="28"/>
  <c r="M18" i="28" s="1"/>
  <c r="L17" i="28"/>
  <c r="M17" i="28" s="1"/>
  <c r="L20" i="28"/>
  <c r="M20" i="28" s="1"/>
  <c r="L19" i="28"/>
  <c r="M19" i="28" s="1"/>
  <c r="P60" i="28" s="1"/>
  <c r="L14" i="28"/>
  <c r="M14" i="28" s="1"/>
  <c r="P58" i="28" s="1"/>
  <c r="K14" i="7"/>
  <c r="L16" i="28"/>
  <c r="M16" i="28" s="1"/>
  <c r="I15" i="28" l="1"/>
  <c r="J15" i="28" s="1"/>
  <c r="P43" i="28" s="1"/>
  <c r="I12" i="28"/>
  <c r="J12" i="28" s="1"/>
  <c r="I16" i="28"/>
  <c r="J16" i="28" s="1"/>
  <c r="I14" i="28"/>
  <c r="J14" i="28" s="1"/>
  <c r="P42" i="28" s="1"/>
  <c r="I17" i="28"/>
  <c r="J17" i="28" s="1"/>
  <c r="F57" i="28"/>
  <c r="I19" i="28"/>
  <c r="J19" i="28" s="1"/>
  <c r="P44" i="28" s="1"/>
  <c r="I13" i="28"/>
  <c r="J13" i="28" s="1"/>
  <c r="P41" i="28" s="1"/>
  <c r="I11" i="28"/>
  <c r="J11" i="28" s="1"/>
  <c r="P35" i="28" s="1"/>
  <c r="F58" i="28"/>
  <c r="F59" i="28" s="1"/>
  <c r="Q44" i="28" s="1"/>
  <c r="I36" i="28"/>
  <c r="J36" i="28" s="1"/>
  <c r="I45" i="28"/>
  <c r="J45" i="28" s="1"/>
  <c r="P40" i="28" s="1"/>
  <c r="I38" i="28"/>
  <c r="J38" i="28" s="1"/>
  <c r="I39" i="28"/>
  <c r="J39" i="28" s="1"/>
  <c r="I37" i="28"/>
  <c r="J37" i="28" s="1"/>
  <c r="P37" i="28" s="1"/>
  <c r="P39" i="28"/>
  <c r="D58" i="16"/>
  <c r="I3" i="16"/>
  <c r="G54" i="28"/>
  <c r="G58" i="28" s="1"/>
  <c r="G59" i="28" s="1"/>
  <c r="Q60" i="28" s="1"/>
  <c r="P55" i="28"/>
  <c r="P36" i="28"/>
  <c r="K69" i="7"/>
  <c r="L32" i="28"/>
  <c r="M11" i="28"/>
  <c r="M32" i="28" s="1"/>
  <c r="L35" i="28"/>
  <c r="B88" i="7"/>
  <c r="C87" i="7"/>
  <c r="K15" i="7"/>
  <c r="Q57" i="28"/>
  <c r="L38" i="28"/>
  <c r="M38" i="28" s="1"/>
  <c r="P54" i="28" s="1"/>
  <c r="L37" i="28"/>
  <c r="M37" i="28" s="1"/>
  <c r="P53" i="28" s="1"/>
  <c r="L36" i="28"/>
  <c r="M36" i="28" s="1"/>
  <c r="P52" i="28" s="1"/>
  <c r="L45" i="28"/>
  <c r="M45" i="28" s="1"/>
  <c r="P56" i="28" s="1"/>
  <c r="L11" i="7"/>
  <c r="J32" i="28" l="1"/>
  <c r="P38" i="28"/>
  <c r="Q38" i="28" s="1"/>
  <c r="I32" i="28"/>
  <c r="J54" i="28"/>
  <c r="Q59" i="28"/>
  <c r="Q37" i="28"/>
  <c r="Q40" i="28"/>
  <c r="Q39" i="28"/>
  <c r="Q58" i="28"/>
  <c r="I54" i="28"/>
  <c r="Q43" i="28"/>
  <c r="Q41" i="28"/>
  <c r="Q42" i="28"/>
  <c r="Q55" i="28"/>
  <c r="Q52" i="28"/>
  <c r="K16" i="7"/>
  <c r="B89" i="7"/>
  <c r="C88" i="7"/>
  <c r="L13" i="7" s="1"/>
  <c r="K70" i="7"/>
  <c r="L67" i="7"/>
  <c r="L12" i="7"/>
  <c r="Q53" i="28"/>
  <c r="M35" i="28"/>
  <c r="L54" i="28"/>
  <c r="Q56" i="28"/>
  <c r="Q54" i="28"/>
  <c r="Q35" i="28"/>
  <c r="P45" i="28"/>
  <c r="Q36" i="28"/>
  <c r="K17" i="7" l="1"/>
  <c r="Q45" i="28"/>
  <c r="K71" i="7"/>
  <c r="B90" i="7"/>
  <c r="C89" i="7"/>
  <c r="L69" i="7" s="1"/>
  <c r="P51" i="28"/>
  <c r="M54" i="28"/>
  <c r="L68" i="7"/>
  <c r="L14" i="7" l="1"/>
  <c r="P61" i="28"/>
  <c r="Q51" i="28"/>
  <c r="Q61" i="28" s="1"/>
  <c r="K19" i="7"/>
  <c r="C90" i="7"/>
  <c r="L70" i="7" s="1"/>
  <c r="B91" i="7"/>
  <c r="K72" i="7"/>
  <c r="K20" i="7" l="1"/>
  <c r="B92" i="7"/>
  <c r="C91" i="7"/>
  <c r="L15" i="7"/>
  <c r="B93" i="7" l="1"/>
  <c r="C92" i="7"/>
  <c r="L16" i="7"/>
  <c r="L71" i="7"/>
  <c r="K21" i="7"/>
  <c r="L17" i="7" l="1"/>
  <c r="L72" i="7"/>
  <c r="K22" i="7"/>
  <c r="C93" i="7"/>
  <c r="L19" i="7" s="1"/>
  <c r="B94" i="7"/>
  <c r="C94" i="7" l="1"/>
  <c r="L20" i="7" s="1"/>
  <c r="B95" i="7"/>
  <c r="K23" i="7"/>
  <c r="C95" i="7" l="1"/>
  <c r="L21" i="7" s="1"/>
  <c r="B96" i="7"/>
  <c r="K24" i="7"/>
  <c r="B97" i="7" l="1"/>
  <c r="C96" i="7"/>
  <c r="L22" i="7" s="1"/>
  <c r="K25" i="7"/>
  <c r="K26" i="7" l="1"/>
  <c r="B98" i="7"/>
  <c r="C97" i="7"/>
  <c r="L23" i="7"/>
  <c r="B99" i="7" l="1"/>
  <c r="C98" i="7"/>
  <c r="L24" i="7" s="1"/>
  <c r="K27" i="7"/>
  <c r="K28" i="7" l="1"/>
  <c r="B100" i="7"/>
  <c r="C99" i="7"/>
  <c r="L25" i="7" s="1"/>
  <c r="C100" i="7" l="1"/>
  <c r="L26" i="7" s="1"/>
  <c r="B101" i="7"/>
  <c r="K30" i="7"/>
  <c r="C101" i="7" l="1"/>
  <c r="L27" i="7" s="1"/>
  <c r="B102" i="7"/>
  <c r="K31" i="7"/>
  <c r="B103" i="7" l="1"/>
  <c r="C102" i="7"/>
  <c r="L28" i="7" s="1"/>
  <c r="K32" i="7"/>
  <c r="K33" i="7" l="1"/>
  <c r="C103" i="7"/>
  <c r="L30" i="7" s="1"/>
  <c r="B104" i="7"/>
  <c r="B105" i="7" l="1"/>
  <c r="C104" i="7"/>
  <c r="L31" i="7" s="1"/>
  <c r="K34" i="7"/>
  <c r="B106" i="7" l="1"/>
  <c r="C105" i="7"/>
  <c r="L32" i="7" s="1"/>
  <c r="K35" i="7"/>
  <c r="K36" i="7" l="1"/>
  <c r="C106" i="7"/>
  <c r="L33" i="7" s="1"/>
  <c r="B107" i="7"/>
  <c r="C107" i="7" l="1"/>
  <c r="L34" i="7" s="1"/>
  <c r="B108" i="7"/>
  <c r="K37" i="7"/>
  <c r="C108" i="7" l="1"/>
  <c r="L35" i="7" s="1"/>
  <c r="B109" i="7"/>
  <c r="K38" i="7"/>
  <c r="C109" i="7" l="1"/>
  <c r="L36" i="7" s="1"/>
  <c r="B110" i="7"/>
  <c r="K39" i="7"/>
  <c r="K41" i="7" l="1"/>
  <c r="C110" i="7"/>
  <c r="L37" i="7" s="1"/>
  <c r="B111" i="7"/>
  <c r="B112" i="7" l="1"/>
  <c r="C111" i="7"/>
  <c r="L38" i="7" s="1"/>
  <c r="K42" i="7"/>
  <c r="B113" i="7" l="1"/>
  <c r="C112" i="7"/>
  <c r="L39" i="7" s="1"/>
  <c r="K43" i="7"/>
  <c r="B114" i="7" l="1"/>
  <c r="C113" i="7"/>
  <c r="L41" i="7" s="1"/>
  <c r="K44" i="7"/>
  <c r="K45" i="7" l="1"/>
  <c r="B115" i="7"/>
  <c r="C114" i="7"/>
  <c r="L42" i="7"/>
  <c r="C115" i="7" l="1"/>
  <c r="L43" i="7" s="1"/>
  <c r="B116" i="7"/>
  <c r="K46" i="7"/>
  <c r="B117" i="7" l="1"/>
  <c r="C116" i="7"/>
  <c r="L44" i="7" s="1"/>
  <c r="K47" i="7"/>
  <c r="K48" i="7" l="1"/>
  <c r="B118" i="7"/>
  <c r="C117" i="7"/>
  <c r="L45" i="7" s="1"/>
  <c r="B119" i="7" l="1"/>
  <c r="C118" i="7"/>
  <c r="L46" i="7" s="1"/>
  <c r="K49" i="7"/>
  <c r="K50" i="7" l="1"/>
  <c r="C119" i="7"/>
  <c r="L47" i="7" s="1"/>
  <c r="B120" i="7"/>
  <c r="C120" i="7" l="1"/>
  <c r="L48" i="7" s="1"/>
  <c r="B121" i="7"/>
  <c r="K52" i="7"/>
  <c r="K53" i="7" l="1"/>
  <c r="C121" i="7"/>
  <c r="B122" i="7"/>
  <c r="L49" i="7"/>
  <c r="C122" i="7" l="1"/>
  <c r="L50" i="7" s="1"/>
  <c r="B123" i="7"/>
  <c r="K54" i="7"/>
  <c r="K55" i="7" l="1"/>
  <c r="C123" i="7"/>
  <c r="L52" i="7" s="1"/>
  <c r="B124" i="7"/>
  <c r="C124" i="7" l="1"/>
  <c r="L53" i="7" s="1"/>
  <c r="B125" i="7"/>
  <c r="K56" i="7"/>
  <c r="K57" i="7" l="1"/>
  <c r="C125" i="7"/>
  <c r="L54" i="7" s="1"/>
  <c r="B126" i="7"/>
  <c r="C126" i="7" l="1"/>
  <c r="L55" i="7" s="1"/>
  <c r="B127" i="7"/>
  <c r="K58" i="7"/>
  <c r="K59" i="7" l="1"/>
  <c r="C127" i="7"/>
  <c r="B128" i="7"/>
  <c r="L56" i="7"/>
  <c r="C128" i="7" l="1"/>
  <c r="L57" i="7" s="1"/>
  <c r="B129" i="7"/>
  <c r="K60" i="7"/>
  <c r="C129" i="7" l="1"/>
  <c r="L58" i="7" s="1"/>
  <c r="B130" i="7"/>
  <c r="K61" i="7"/>
  <c r="C130" i="7" l="1"/>
  <c r="L59" i="7" s="1"/>
  <c r="B131" i="7"/>
  <c r="C131" i="7" l="1"/>
  <c r="L60" i="7" s="1"/>
  <c r="B132" i="7"/>
  <c r="C132" i="7" l="1"/>
  <c r="L61" i="7" s="1"/>
  <c r="B133" i="7"/>
  <c r="B134" i="7" l="1"/>
  <c r="C133" i="7"/>
  <c r="C134" i="7" l="1"/>
  <c r="B135" i="7"/>
  <c r="C135" i="7" l="1"/>
  <c r="B136" i="7"/>
  <c r="C136" i="7" l="1"/>
  <c r="B137" i="7"/>
  <c r="B138" i="7" l="1"/>
  <c r="C137" i="7"/>
  <c r="B139" i="7" l="1"/>
  <c r="C138" i="7"/>
  <c r="B140" i="7" l="1"/>
  <c r="C139" i="7"/>
  <c r="B141" i="7" l="1"/>
  <c r="C140" i="7"/>
  <c r="B142" i="7" l="1"/>
  <c r="C141" i="7"/>
  <c r="B143" i="7" l="1"/>
  <c r="C142" i="7"/>
  <c r="B144" i="7" l="1"/>
  <c r="C143" i="7"/>
  <c r="B145" i="7" l="1"/>
  <c r="C144" i="7"/>
  <c r="B146" i="7" l="1"/>
  <c r="C145" i="7"/>
  <c r="B147" i="7" l="1"/>
  <c r="C146" i="7"/>
  <c r="B148" i="7" l="1"/>
  <c r="C147" i="7"/>
  <c r="B149" i="7" l="1"/>
  <c r="C148" i="7"/>
  <c r="B150" i="7" l="1"/>
  <c r="C149" i="7"/>
  <c r="B151" i="7" l="1"/>
  <c r="C150" i="7"/>
  <c r="B152" i="7" l="1"/>
  <c r="C151" i="7"/>
  <c r="B153" i="7" l="1"/>
  <c r="C152" i="7"/>
  <c r="B154" i="7" l="1"/>
  <c r="C153" i="7"/>
  <c r="B155" i="7" l="1"/>
  <c r="C154" i="7"/>
  <c r="B156" i="7" l="1"/>
  <c r="C155" i="7"/>
  <c r="B157" i="7" l="1"/>
  <c r="C156" i="7"/>
  <c r="B158" i="7" l="1"/>
  <c r="C157" i="7"/>
  <c r="B159" i="7" l="1"/>
  <c r="C158" i="7"/>
  <c r="B160" i="7" l="1"/>
  <c r="C159" i="7"/>
  <c r="B161" i="7" l="1"/>
  <c r="C160" i="7"/>
  <c r="B162" i="7" l="1"/>
  <c r="C161" i="7"/>
  <c r="B163" i="7" l="1"/>
  <c r="C162" i="7"/>
  <c r="B164" i="7" l="1"/>
  <c r="C163" i="7"/>
  <c r="B165" i="7" l="1"/>
  <c r="C164" i="7"/>
  <c r="B166" i="7" l="1"/>
  <c r="C165" i="7"/>
  <c r="B167" i="7" l="1"/>
  <c r="C166" i="7"/>
  <c r="B168" i="7" l="1"/>
  <c r="C167" i="7"/>
  <c r="B169" i="7" l="1"/>
  <c r="C168" i="7"/>
  <c r="B170" i="7" l="1"/>
  <c r="C169" i="7"/>
  <c r="B171" i="7" l="1"/>
  <c r="C170" i="7"/>
  <c r="B172" i="7" l="1"/>
  <c r="C171" i="7"/>
  <c r="B173" i="7" l="1"/>
  <c r="C172" i="7"/>
  <c r="Q10" i="7" l="1"/>
  <c r="R10" i="7" s="1"/>
  <c r="V63" i="7"/>
  <c r="X63" i="7" s="1"/>
  <c r="V8" i="7"/>
  <c r="X8" i="7" s="1"/>
  <c r="P63" i="7"/>
  <c r="O9" i="7"/>
  <c r="V12" i="7"/>
  <c r="X12" i="7" s="1"/>
  <c r="N64" i="7"/>
  <c r="O11" i="7"/>
  <c r="Q9" i="7"/>
  <c r="R9" i="7" s="1"/>
  <c r="V9" i="7"/>
  <c r="X9" i="7" s="1"/>
  <c r="Q65" i="7"/>
  <c r="R65" i="7" s="1"/>
  <c r="P65" i="7"/>
  <c r="O65" i="7"/>
  <c r="P9" i="7"/>
  <c r="P10" i="7"/>
  <c r="Q66" i="7"/>
  <c r="R66" i="7" s="1"/>
  <c r="O8" i="7"/>
  <c r="Q64" i="7"/>
  <c r="R64" i="7" s="1"/>
  <c r="Q8" i="7"/>
  <c r="R8" i="7" s="1"/>
  <c r="V10" i="7"/>
  <c r="X10" i="7" s="1"/>
  <c r="O64" i="7"/>
  <c r="N10" i="7"/>
  <c r="O12" i="7"/>
  <c r="V11" i="7"/>
  <c r="X11" i="7" s="1"/>
  <c r="Q63" i="7"/>
  <c r="R63" i="7" s="1"/>
  <c r="V64" i="7"/>
  <c r="X64" i="7" s="1"/>
  <c r="P64" i="7"/>
  <c r="U64" i="7" s="1"/>
  <c r="V65" i="7"/>
  <c r="X65" i="7" s="1"/>
  <c r="Q11" i="7"/>
  <c r="R11" i="7" s="1"/>
  <c r="N65" i="7"/>
  <c r="B174" i="7"/>
  <c r="P11" i="7"/>
  <c r="O63" i="7"/>
  <c r="T63" i="7" s="1"/>
  <c r="P8" i="7"/>
  <c r="P12" i="7"/>
  <c r="P66" i="7"/>
  <c r="N63" i="7"/>
  <c r="S63" i="7" s="1"/>
  <c r="N8" i="7"/>
  <c r="S8" i="7" s="1"/>
  <c r="O66" i="7"/>
  <c r="N66" i="7"/>
  <c r="S66" i="7" s="1"/>
  <c r="V66" i="7"/>
  <c r="X66" i="7" s="1"/>
  <c r="N12" i="7"/>
  <c r="C173" i="7"/>
  <c r="O10" i="7"/>
  <c r="N9" i="7"/>
  <c r="S9" i="7" s="1"/>
  <c r="Q12" i="7"/>
  <c r="R12" i="7" s="1"/>
  <c r="N11" i="7"/>
  <c r="Q67" i="7"/>
  <c r="R67" i="7" s="1"/>
  <c r="O67" i="7"/>
  <c r="N13" i="7"/>
  <c r="O13" i="7"/>
  <c r="P67" i="7"/>
  <c r="V13" i="7"/>
  <c r="X13" i="7" s="1"/>
  <c r="V67" i="7"/>
  <c r="X67" i="7" s="1"/>
  <c r="N67" i="7"/>
  <c r="Q13" i="7"/>
  <c r="R13" i="7" s="1"/>
  <c r="P13" i="7"/>
  <c r="Q68" i="7"/>
  <c r="R68" i="7" s="1"/>
  <c r="N14" i="7"/>
  <c r="V14" i="7"/>
  <c r="X14" i="7" s="1"/>
  <c r="Q14" i="7"/>
  <c r="R14" i="7" s="1"/>
  <c r="P68" i="7"/>
  <c r="U68" i="7" s="1"/>
  <c r="P14" i="7"/>
  <c r="V68" i="7"/>
  <c r="X68" i="7" s="1"/>
  <c r="O14" i="7"/>
  <c r="O68" i="7"/>
  <c r="T68" i="7" s="1"/>
  <c r="N68" i="7"/>
  <c r="N15" i="7"/>
  <c r="P69" i="7"/>
  <c r="Q69" i="7"/>
  <c r="R69" i="7" s="1"/>
  <c r="Q15" i="7"/>
  <c r="R15" i="7" s="1"/>
  <c r="V15" i="7"/>
  <c r="X15" i="7" s="1"/>
  <c r="O69" i="7"/>
  <c r="V69" i="7"/>
  <c r="X69" i="7" s="1"/>
  <c r="P15" i="7"/>
  <c r="N69" i="7"/>
  <c r="O15" i="7"/>
  <c r="V16" i="7"/>
  <c r="X16" i="7" s="1"/>
  <c r="N70" i="7"/>
  <c r="O16" i="7"/>
  <c r="O70" i="7"/>
  <c r="Q16" i="7"/>
  <c r="R16" i="7" s="1"/>
  <c r="N16" i="7"/>
  <c r="Q70" i="7"/>
  <c r="R70" i="7" s="1"/>
  <c r="V70" i="7"/>
  <c r="X70" i="7" s="1"/>
  <c r="P16" i="7"/>
  <c r="U16" i="7" s="1"/>
  <c r="P70" i="7"/>
  <c r="Q17" i="7"/>
  <c r="R17" i="7" s="1"/>
  <c r="P17" i="7"/>
  <c r="P71" i="7"/>
  <c r="V71" i="7"/>
  <c r="X71" i="7" s="1"/>
  <c r="O71" i="7"/>
  <c r="Q71" i="7"/>
  <c r="R71" i="7" s="1"/>
  <c r="N17" i="7"/>
  <c r="O17" i="7"/>
  <c r="N71" i="7"/>
  <c r="V17" i="7"/>
  <c r="X17" i="7" s="1"/>
  <c r="P19" i="7"/>
  <c r="V72" i="7"/>
  <c r="X72" i="7" s="1"/>
  <c r="N72" i="7"/>
  <c r="V19" i="7"/>
  <c r="X19" i="7" s="1"/>
  <c r="P72" i="7"/>
  <c r="Q19" i="7"/>
  <c r="R19" i="7" s="1"/>
  <c r="O19" i="7"/>
  <c r="T19" i="7" s="1"/>
  <c r="O72" i="7"/>
  <c r="Q72" i="7"/>
  <c r="R72" i="7" s="1"/>
  <c r="N19" i="7"/>
  <c r="O20" i="7"/>
  <c r="N20" i="7"/>
  <c r="V20" i="7"/>
  <c r="X20" i="7" s="1"/>
  <c r="Q20" i="7"/>
  <c r="R20" i="7" s="1"/>
  <c r="P20" i="7"/>
  <c r="U20" i="7" s="1"/>
  <c r="N21" i="7"/>
  <c r="Q21" i="7"/>
  <c r="R21" i="7" s="1"/>
  <c r="P21" i="7"/>
  <c r="O21" i="7"/>
  <c r="V21" i="7"/>
  <c r="X21" i="7" s="1"/>
  <c r="Q22" i="7"/>
  <c r="R22" i="7" s="1"/>
  <c r="O22" i="7"/>
  <c r="P22" i="7"/>
  <c r="N22" i="7"/>
  <c r="V22" i="7"/>
  <c r="X22" i="7" s="1"/>
  <c r="P23" i="7"/>
  <c r="O23" i="7"/>
  <c r="Q23" i="7"/>
  <c r="R23" i="7" s="1"/>
  <c r="V23" i="7"/>
  <c r="X23" i="7" s="1"/>
  <c r="N23" i="7"/>
  <c r="P24" i="7"/>
  <c r="N24" i="7"/>
  <c r="O24" i="7"/>
  <c r="V24" i="7"/>
  <c r="X24" i="7" s="1"/>
  <c r="Q24" i="7"/>
  <c r="R24" i="7" s="1"/>
  <c r="O25" i="7"/>
  <c r="P25" i="7"/>
  <c r="U25" i="7" s="1"/>
  <c r="Q25" i="7"/>
  <c r="R25" i="7" s="1"/>
  <c r="N25" i="7"/>
  <c r="S25" i="7" s="1"/>
  <c r="V25" i="7"/>
  <c r="X25" i="7" s="1"/>
  <c r="V26" i="7"/>
  <c r="X26" i="7" s="1"/>
  <c r="Q26" i="7"/>
  <c r="R26" i="7" s="1"/>
  <c r="N26" i="7"/>
  <c r="O26" i="7"/>
  <c r="P26" i="7"/>
  <c r="U26" i="7" s="1"/>
  <c r="O27" i="7"/>
  <c r="V27" i="7"/>
  <c r="X27" i="7" s="1"/>
  <c r="P27" i="7"/>
  <c r="Q27" i="7"/>
  <c r="R27" i="7" s="1"/>
  <c r="N27" i="7"/>
  <c r="N28" i="7"/>
  <c r="O28" i="7"/>
  <c r="V28" i="7"/>
  <c r="X28" i="7" s="1"/>
  <c r="P28" i="7"/>
  <c r="Q28" i="7"/>
  <c r="R28" i="7" s="1"/>
  <c r="O30" i="7"/>
  <c r="Q30" i="7"/>
  <c r="R30" i="7" s="1"/>
  <c r="V30" i="7"/>
  <c r="X30" i="7" s="1"/>
  <c r="P30" i="7"/>
  <c r="N30" i="7"/>
  <c r="V31" i="7"/>
  <c r="X31" i="7" s="1"/>
  <c r="O31" i="7"/>
  <c r="Q31" i="7"/>
  <c r="R31" i="7" s="1"/>
  <c r="N31" i="7"/>
  <c r="P31" i="7"/>
  <c r="V32" i="7"/>
  <c r="X32" i="7" s="1"/>
  <c r="N32" i="7"/>
  <c r="Q32" i="7"/>
  <c r="R32" i="7" s="1"/>
  <c r="P32" i="7"/>
  <c r="O32" i="7"/>
  <c r="V33" i="7"/>
  <c r="X33" i="7" s="1"/>
  <c r="P33" i="7"/>
  <c r="Q33" i="7"/>
  <c r="R33" i="7" s="1"/>
  <c r="O33" i="7"/>
  <c r="N33" i="7"/>
  <c r="N34" i="7"/>
  <c r="Q34" i="7"/>
  <c r="R34" i="7" s="1"/>
  <c r="P34" i="7"/>
  <c r="O34" i="7"/>
  <c r="V34" i="7"/>
  <c r="X34" i="7" s="1"/>
  <c r="P35" i="7"/>
  <c r="V35" i="7"/>
  <c r="X35" i="7" s="1"/>
  <c r="O35" i="7"/>
  <c r="Q35" i="7"/>
  <c r="R35" i="7" s="1"/>
  <c r="N35" i="7"/>
  <c r="N36" i="7"/>
  <c r="P36" i="7"/>
  <c r="O36" i="7"/>
  <c r="Q36" i="7"/>
  <c r="R36" i="7" s="1"/>
  <c r="V36" i="7"/>
  <c r="X36" i="7" s="1"/>
  <c r="O37" i="7"/>
  <c r="N37" i="7"/>
  <c r="P37" i="7"/>
  <c r="U37" i="7" s="1"/>
  <c r="Q37" i="7"/>
  <c r="R37" i="7" s="1"/>
  <c r="V37" i="7"/>
  <c r="X37" i="7" s="1"/>
  <c r="N38" i="7"/>
  <c r="P38" i="7"/>
  <c r="O38" i="7"/>
  <c r="Q38" i="7"/>
  <c r="R38" i="7" s="1"/>
  <c r="V38" i="7"/>
  <c r="X38" i="7" s="1"/>
  <c r="V39" i="7"/>
  <c r="X39" i="7" s="1"/>
  <c r="P39" i="7"/>
  <c r="O39" i="7"/>
  <c r="Q39" i="7"/>
  <c r="R39" i="7" s="1"/>
  <c r="N39" i="7"/>
  <c r="Q41" i="7"/>
  <c r="R41" i="7" s="1"/>
  <c r="V41" i="7"/>
  <c r="X41" i="7" s="1"/>
  <c r="N41" i="7"/>
  <c r="O41" i="7"/>
  <c r="T41" i="7" s="1"/>
  <c r="P41" i="7"/>
  <c r="O42" i="7"/>
  <c r="N42" i="7"/>
  <c r="P42" i="7"/>
  <c r="V42" i="7"/>
  <c r="X42" i="7" s="1"/>
  <c r="Q42" i="7"/>
  <c r="R42" i="7" s="1"/>
  <c r="N43" i="7"/>
  <c r="P43" i="7"/>
  <c r="U43" i="7" s="1"/>
  <c r="Q43" i="7"/>
  <c r="R43" i="7" s="1"/>
  <c r="V43" i="7"/>
  <c r="X43" i="7" s="1"/>
  <c r="O43" i="7"/>
  <c r="V44" i="7"/>
  <c r="X44" i="7" s="1"/>
  <c r="P44" i="7"/>
  <c r="O44" i="7"/>
  <c r="N44" i="7"/>
  <c r="Q44" i="7"/>
  <c r="R44" i="7" s="1"/>
  <c r="O45" i="7"/>
  <c r="Q45" i="7"/>
  <c r="R45" i="7" s="1"/>
  <c r="V45" i="7"/>
  <c r="X45" i="7" s="1"/>
  <c r="P45" i="7"/>
  <c r="N45" i="7"/>
  <c r="N46" i="7"/>
  <c r="O46" i="7"/>
  <c r="V46" i="7"/>
  <c r="X46" i="7" s="1"/>
  <c r="P46" i="7"/>
  <c r="Q46" i="7"/>
  <c r="R46" i="7" s="1"/>
  <c r="O47" i="7"/>
  <c r="P47" i="7"/>
  <c r="V47" i="7"/>
  <c r="X47" i="7" s="1"/>
  <c r="Q47" i="7"/>
  <c r="R47" i="7" s="1"/>
  <c r="N47" i="7"/>
  <c r="S47" i="7" s="1"/>
  <c r="Q48" i="7"/>
  <c r="R48" i="7" s="1"/>
  <c r="O48" i="7"/>
  <c r="N48" i="7"/>
  <c r="P48" i="7"/>
  <c r="V48" i="7"/>
  <c r="X48" i="7" s="1"/>
  <c r="P49" i="7"/>
  <c r="O49" i="7"/>
  <c r="V49" i="7"/>
  <c r="X49" i="7" s="1"/>
  <c r="N49" i="7"/>
  <c r="S49" i="7" s="1"/>
  <c r="Q49" i="7"/>
  <c r="R49" i="7" s="1"/>
  <c r="P50" i="7"/>
  <c r="N50" i="7"/>
  <c r="V50" i="7"/>
  <c r="X50" i="7" s="1"/>
  <c r="O50" i="7"/>
  <c r="Q50" i="7"/>
  <c r="R50" i="7" s="1"/>
  <c r="V52" i="7"/>
  <c r="X52" i="7" s="1"/>
  <c r="O52" i="7"/>
  <c r="T52" i="7" s="1"/>
  <c r="Q52" i="7"/>
  <c r="R52" i="7" s="1"/>
  <c r="P52" i="7"/>
  <c r="U52" i="7" s="1"/>
  <c r="N52" i="7"/>
  <c r="P53" i="7"/>
  <c r="N53" i="7"/>
  <c r="V53" i="7"/>
  <c r="X53" i="7" s="1"/>
  <c r="Q53" i="7"/>
  <c r="R53" i="7" s="1"/>
  <c r="O53" i="7"/>
  <c r="O54" i="7"/>
  <c r="N54" i="7"/>
  <c r="P54" i="7"/>
  <c r="V54" i="7"/>
  <c r="X54" i="7" s="1"/>
  <c r="Q54" i="7"/>
  <c r="R54" i="7" s="1"/>
  <c r="V55" i="7"/>
  <c r="X55" i="7" s="1"/>
  <c r="Q55" i="7"/>
  <c r="R55" i="7" s="1"/>
  <c r="N55" i="7"/>
  <c r="P55" i="7"/>
  <c r="O55" i="7"/>
  <c r="Q56" i="7"/>
  <c r="R56" i="7" s="1"/>
  <c r="P56" i="7"/>
  <c r="V56" i="7"/>
  <c r="X56" i="7" s="1"/>
  <c r="O56" i="7"/>
  <c r="N56" i="7"/>
  <c r="S56" i="7" s="1"/>
  <c r="O57" i="7"/>
  <c r="V57" i="7"/>
  <c r="X57" i="7" s="1"/>
  <c r="P57" i="7"/>
  <c r="N57" i="7"/>
  <c r="Q57" i="7"/>
  <c r="R57" i="7" s="1"/>
  <c r="N58" i="7"/>
  <c r="O58" i="7"/>
  <c r="Q58" i="7"/>
  <c r="R58" i="7" s="1"/>
  <c r="P58" i="7"/>
  <c r="V58" i="7"/>
  <c r="X58" i="7" s="1"/>
  <c r="V59" i="7"/>
  <c r="X59" i="7" s="1"/>
  <c r="N59" i="7"/>
  <c r="O59" i="7"/>
  <c r="Q59" i="7"/>
  <c r="R59" i="7" s="1"/>
  <c r="P59" i="7"/>
  <c r="Q60" i="7"/>
  <c r="R60" i="7" s="1"/>
  <c r="N60" i="7"/>
  <c r="P60" i="7"/>
  <c r="V60" i="7"/>
  <c r="X60" i="7" s="1"/>
  <c r="O60" i="7"/>
  <c r="V61" i="7"/>
  <c r="X61" i="7" s="1"/>
  <c r="N61" i="7"/>
  <c r="Q61" i="7"/>
  <c r="R61" i="7" s="1"/>
  <c r="P61" i="7"/>
  <c r="U61" i="7" s="1"/>
  <c r="O61" i="7"/>
  <c r="T61" i="7" s="1"/>
  <c r="S54" i="7" l="1"/>
  <c r="U41" i="7"/>
  <c r="S30" i="7"/>
  <c r="S65" i="7"/>
  <c r="U8" i="7"/>
  <c r="T66" i="7"/>
  <c r="Z66" i="7" s="1"/>
  <c r="T46" i="7"/>
  <c r="Z46" i="7" s="1"/>
  <c r="S44" i="7"/>
  <c r="S43" i="7"/>
  <c r="S41" i="7"/>
  <c r="Y41" i="7" s="1"/>
  <c r="S37" i="7"/>
  <c r="Y37" i="7" s="1"/>
  <c r="S34" i="7"/>
  <c r="T28" i="7"/>
  <c r="T26" i="7"/>
  <c r="Z26" i="7" s="1"/>
  <c r="T25" i="7"/>
  <c r="Z25" i="7" s="1"/>
  <c r="S20" i="7"/>
  <c r="T15" i="7"/>
  <c r="U69" i="7"/>
  <c r="AA69" i="7" s="1"/>
  <c r="T64" i="7"/>
  <c r="T65" i="7"/>
  <c r="U59" i="7"/>
  <c r="T49" i="7"/>
  <c r="T37" i="7"/>
  <c r="Z37" i="7" s="1"/>
  <c r="S26" i="7"/>
  <c r="T20" i="7"/>
  <c r="S15" i="7"/>
  <c r="Y15" i="7" s="1"/>
  <c r="U67" i="7"/>
  <c r="AA67" i="7" s="1"/>
  <c r="U66" i="7"/>
  <c r="U65" i="7"/>
  <c r="S19" i="7"/>
  <c r="Y19" i="7" s="1"/>
  <c r="U15" i="7"/>
  <c r="AA15" i="7" s="1"/>
  <c r="T59" i="7"/>
  <c r="U47" i="7"/>
  <c r="U45" i="7"/>
  <c r="AA45" i="7" s="1"/>
  <c r="U42" i="7"/>
  <c r="AA42" i="7" s="1"/>
  <c r="U38" i="7"/>
  <c r="U31" i="7"/>
  <c r="T24" i="7"/>
  <c r="U19" i="7"/>
  <c r="U29" i="7" s="1"/>
  <c r="S17" i="7"/>
  <c r="T60" i="7"/>
  <c r="S59" i="7"/>
  <c r="Y59" i="7" s="1"/>
  <c r="S57" i="7"/>
  <c r="Y57" i="7" s="1"/>
  <c r="U54" i="7"/>
  <c r="S52" i="7"/>
  <c r="Y52" i="7" s="1"/>
  <c r="S50" i="7"/>
  <c r="Y50" i="7" s="1"/>
  <c r="U48" i="7"/>
  <c r="AA48" i="7" s="1"/>
  <c r="T47" i="7"/>
  <c r="T43" i="7"/>
  <c r="S42" i="7"/>
  <c r="Y42" i="7" s="1"/>
  <c r="S38" i="7"/>
  <c r="Y38" i="7" s="1"/>
  <c r="T36" i="7"/>
  <c r="U33" i="7"/>
  <c r="S31" i="7"/>
  <c r="Y31" i="7" s="1"/>
  <c r="T30" i="7"/>
  <c r="Z30" i="7" s="1"/>
  <c r="U27" i="7"/>
  <c r="S24" i="7"/>
  <c r="S22" i="7"/>
  <c r="Y22" i="7" s="1"/>
  <c r="S21" i="7"/>
  <c r="Y21" i="7" s="1"/>
  <c r="T72" i="7"/>
  <c r="U17" i="7"/>
  <c r="T70" i="7"/>
  <c r="T69" i="7"/>
  <c r="T14" i="7"/>
  <c r="Z14" i="7" s="1"/>
  <c r="U13" i="7"/>
  <c r="T67" i="7"/>
  <c r="T8" i="7"/>
  <c r="Z52" i="7"/>
  <c r="AA52" i="7"/>
  <c r="Z49" i="7"/>
  <c r="Y49" i="7"/>
  <c r="AA38" i="7"/>
  <c r="Y25" i="7"/>
  <c r="AA25" i="7"/>
  <c r="T9" i="7"/>
  <c r="U57" i="7"/>
  <c r="AA41" i="7"/>
  <c r="Z41" i="7"/>
  <c r="AA37" i="7"/>
  <c r="U36" i="7"/>
  <c r="T35" i="7"/>
  <c r="T34" i="7"/>
  <c r="Z34" i="7" s="1"/>
  <c r="S33" i="7"/>
  <c r="Y33" i="7" s="1"/>
  <c r="AA33" i="7"/>
  <c r="S32" i="7"/>
  <c r="U30" i="7"/>
  <c r="S28" i="7"/>
  <c r="AA27" i="7"/>
  <c r="U24" i="7"/>
  <c r="T23" i="7"/>
  <c r="Z23" i="7" s="1"/>
  <c r="U22" i="7"/>
  <c r="AA22" i="7" s="1"/>
  <c r="T21" i="7"/>
  <c r="Z21" i="7" s="1"/>
  <c r="S72" i="7"/>
  <c r="Y72" i="7" s="1"/>
  <c r="S71" i="7"/>
  <c r="T71" i="7"/>
  <c r="T16" i="7"/>
  <c r="S69" i="7"/>
  <c r="Y69" i="7" s="1"/>
  <c r="Z15" i="7"/>
  <c r="Z68" i="7"/>
  <c r="AA68" i="7"/>
  <c r="T10" i="7"/>
  <c r="Z10" i="7" s="1"/>
  <c r="U11" i="7"/>
  <c r="AA11" i="7" s="1"/>
  <c r="Y65" i="7"/>
  <c r="Z65" i="7"/>
  <c r="AA65" i="7"/>
  <c r="T11" i="7"/>
  <c r="Z11" i="7" s="1"/>
  <c r="U63" i="7"/>
  <c r="AA63" i="7" s="1"/>
  <c r="Z19" i="7"/>
  <c r="AA17" i="7"/>
  <c r="Y17" i="7"/>
  <c r="Z70" i="7"/>
  <c r="AA13" i="7"/>
  <c r="AA66" i="7"/>
  <c r="Y66" i="7"/>
  <c r="Z60" i="7"/>
  <c r="Z59" i="7"/>
  <c r="AA59" i="7"/>
  <c r="T58" i="7"/>
  <c r="Z58" i="7" s="1"/>
  <c r="T56" i="7"/>
  <c r="Z56" i="7" s="1"/>
  <c r="T55" i="7"/>
  <c r="Z55" i="7" s="1"/>
  <c r="U50" i="7"/>
  <c r="S48" i="7"/>
  <c r="S46" i="7"/>
  <c r="Y46" i="7" s="1"/>
  <c r="T44" i="7"/>
  <c r="Z44" i="7" s="1"/>
  <c r="Y43" i="7"/>
  <c r="Z43" i="7"/>
  <c r="AA43" i="7"/>
  <c r="T42" i="7"/>
  <c r="Z42" i="7" s="1"/>
  <c r="T39" i="7"/>
  <c r="S61" i="7"/>
  <c r="U60" i="7"/>
  <c r="AA60" i="7" s="1"/>
  <c r="S58" i="7"/>
  <c r="Y58" i="7" s="1"/>
  <c r="AA57" i="7"/>
  <c r="Y56" i="7"/>
  <c r="U55" i="7"/>
  <c r="AA55" i="7" s="1"/>
  <c r="T54" i="7"/>
  <c r="S53" i="7"/>
  <c r="T50" i="7"/>
  <c r="Z50" i="7" s="1"/>
  <c r="U49" i="7"/>
  <c r="AA49" i="7" s="1"/>
  <c r="T48" i="7"/>
  <c r="Z48" i="7" s="1"/>
  <c r="Y47" i="7"/>
  <c r="AA47" i="7"/>
  <c r="Z47" i="7"/>
  <c r="U46" i="7"/>
  <c r="S45" i="7"/>
  <c r="T45" i="7"/>
  <c r="Z45" i="7" s="1"/>
  <c r="U44" i="7"/>
  <c r="U39" i="7"/>
  <c r="AA39" i="7" s="1"/>
  <c r="T38" i="7"/>
  <c r="Z38" i="7" s="1"/>
  <c r="Z36" i="7"/>
  <c r="AA36" i="7"/>
  <c r="S36" i="7"/>
  <c r="Y36" i="7" s="1"/>
  <c r="Z35" i="7"/>
  <c r="U34" i="7"/>
  <c r="AA34" i="7" s="1"/>
  <c r="T33" i="7"/>
  <c r="Z33" i="7" s="1"/>
  <c r="T32" i="7"/>
  <c r="Z32" i="7" s="1"/>
  <c r="Y32" i="7"/>
  <c r="T31" i="7"/>
  <c r="Y30" i="7"/>
  <c r="AA30" i="7"/>
  <c r="U28" i="7"/>
  <c r="S27" i="7"/>
  <c r="Y27" i="7" s="1"/>
  <c r="T27" i="7"/>
  <c r="Z27" i="7" s="1"/>
  <c r="Z24" i="7"/>
  <c r="Y24" i="7"/>
  <c r="AA24" i="7"/>
  <c r="S23" i="7"/>
  <c r="Y23" i="7" s="1"/>
  <c r="U23" i="7"/>
  <c r="T22" i="7"/>
  <c r="U21" i="7"/>
  <c r="AA21" i="7" s="1"/>
  <c r="Z72" i="7"/>
  <c r="T17" i="7"/>
  <c r="Z17" i="7" s="1"/>
  <c r="Z71" i="7"/>
  <c r="Y71" i="7"/>
  <c r="U70" i="7"/>
  <c r="AA70" i="7" s="1"/>
  <c r="S16" i="7"/>
  <c r="S70" i="7"/>
  <c r="Y70" i="7" s="1"/>
  <c r="S68" i="7"/>
  <c r="Y68" i="7" s="1"/>
  <c r="U14" i="7"/>
  <c r="AA14" i="7" s="1"/>
  <c r="S14" i="7"/>
  <c r="Y14" i="7" s="1"/>
  <c r="S67" i="7"/>
  <c r="Y67" i="7" s="1"/>
  <c r="T13" i="7"/>
  <c r="Z13" i="7" s="1"/>
  <c r="S11" i="7"/>
  <c r="Y11" i="7" s="1"/>
  <c r="U12" i="7"/>
  <c r="B175" i="7"/>
  <c r="C174" i="7"/>
  <c r="T12" i="7"/>
  <c r="Z12" i="7" s="1"/>
  <c r="U10" i="7"/>
  <c r="AA10" i="7" s="1"/>
  <c r="S64" i="7"/>
  <c r="Y64" i="7" s="1"/>
  <c r="Z8" i="7"/>
  <c r="AA8" i="7"/>
  <c r="Y8" i="7"/>
  <c r="Y34" i="7"/>
  <c r="Y61" i="7"/>
  <c r="Z61" i="7"/>
  <c r="AA61" i="7"/>
  <c r="S60" i="7"/>
  <c r="Y60" i="7" s="1"/>
  <c r="U58" i="7"/>
  <c r="AA58" i="7" s="1"/>
  <c r="T57" i="7"/>
  <c r="Z57" i="7" s="1"/>
  <c r="U56" i="7"/>
  <c r="AA56" i="7" s="1"/>
  <c r="S55" i="7"/>
  <c r="Y55" i="7" s="1"/>
  <c r="AA54" i="7"/>
  <c r="Y54" i="7"/>
  <c r="Z54" i="7"/>
  <c r="T53" i="7"/>
  <c r="U53" i="7"/>
  <c r="AA50" i="7"/>
  <c r="Y48" i="7"/>
  <c r="AA46" i="7"/>
  <c r="AA44" i="7"/>
  <c r="Y44" i="7"/>
  <c r="S39" i="7"/>
  <c r="Y39" i="7" s="1"/>
  <c r="Z39" i="7"/>
  <c r="S35" i="7"/>
  <c r="Y35" i="7" s="1"/>
  <c r="U35" i="7"/>
  <c r="AA35" i="7" s="1"/>
  <c r="U32" i="7"/>
  <c r="AA32" i="7" s="1"/>
  <c r="AA31" i="7"/>
  <c r="Z31" i="7"/>
  <c r="Y28" i="7"/>
  <c r="AA28" i="7"/>
  <c r="Z28" i="7"/>
  <c r="AA26" i="7"/>
  <c r="Y26" i="7"/>
  <c r="AA23" i="7"/>
  <c r="Z22" i="7"/>
  <c r="Z20" i="7"/>
  <c r="AA20" i="7"/>
  <c r="Y20" i="7"/>
  <c r="U72" i="7"/>
  <c r="AA72" i="7" s="1"/>
  <c r="U71" i="7"/>
  <c r="AA71" i="7" s="1"/>
  <c r="Y16" i="7"/>
  <c r="Z16" i="7"/>
  <c r="AA16" i="7"/>
  <c r="Z69" i="7"/>
  <c r="Z67" i="7"/>
  <c r="S13" i="7"/>
  <c r="Y13" i="7" s="1"/>
  <c r="S12" i="7"/>
  <c r="AA64" i="7"/>
  <c r="S10" i="7"/>
  <c r="U9" i="7"/>
  <c r="Z9" i="7"/>
  <c r="Y9" i="7"/>
  <c r="Y12" i="7"/>
  <c r="AA12" i="7"/>
  <c r="Y63" i="7"/>
  <c r="Z63" i="7"/>
  <c r="T62" i="7" l="1"/>
  <c r="T40" i="7"/>
  <c r="S18" i="7"/>
  <c r="AA19" i="7"/>
  <c r="AA29" i="7" s="1"/>
  <c r="S51" i="7"/>
  <c r="T73" i="7"/>
  <c r="U18" i="7"/>
  <c r="S62" i="7"/>
  <c r="T29" i="7"/>
  <c r="S73" i="7"/>
  <c r="Z64" i="7"/>
  <c r="Y45" i="7"/>
  <c r="Y51" i="7" s="1"/>
  <c r="U51" i="7"/>
  <c r="Z53" i="7"/>
  <c r="Z62" i="7" s="1"/>
  <c r="T18" i="7"/>
  <c r="T74" i="7" s="1"/>
  <c r="U62" i="7"/>
  <c r="AA9" i="7"/>
  <c r="AA18" i="7" s="1"/>
  <c r="T51" i="7"/>
  <c r="C175" i="7"/>
  <c r="B176" i="7"/>
  <c r="AA53" i="7"/>
  <c r="AA62" i="7" s="1"/>
  <c r="Y29" i="7"/>
  <c r="U73" i="7"/>
  <c r="Y10" i="7"/>
  <c r="Y18" i="7" s="1"/>
  <c r="U40" i="7"/>
  <c r="S29" i="7"/>
  <c r="Z40" i="7"/>
  <c r="AA51" i="7"/>
  <c r="Z73" i="7"/>
  <c r="AA40" i="7"/>
  <c r="Z29" i="7"/>
  <c r="Z51" i="7"/>
  <c r="AA73" i="7"/>
  <c r="S40" i="7"/>
  <c r="Y73" i="7"/>
  <c r="Z18" i="7"/>
  <c r="Y40" i="7"/>
  <c r="Y53" i="7"/>
  <c r="Y62" i="7" s="1"/>
  <c r="S74" i="7" l="1"/>
  <c r="U74" i="7"/>
  <c r="AA74" i="7"/>
  <c r="Y74" i="7"/>
  <c r="Z74" i="7"/>
  <c r="B177" i="7"/>
  <c r="C176" i="7"/>
  <c r="C177" i="7" l="1"/>
  <c r="B178" i="7"/>
  <c r="C178" i="7" l="1"/>
  <c r="B179" i="7"/>
  <c r="B180" i="7" l="1"/>
  <c r="C179" i="7"/>
  <c r="C180" i="7" l="1"/>
  <c r="B181" i="7"/>
  <c r="B182" i="7" l="1"/>
  <c r="C181" i="7"/>
  <c r="C182" i="7" l="1"/>
  <c r="B183" i="7"/>
  <c r="B184" i="7" l="1"/>
  <c r="C183" i="7"/>
  <c r="B185" i="7" l="1"/>
  <c r="C184" i="7"/>
  <c r="B186" i="7" l="1"/>
  <c r="C185" i="7"/>
  <c r="B187" i="7" l="1"/>
  <c r="C186" i="7"/>
  <c r="B188" i="7" l="1"/>
  <c r="C187" i="7"/>
  <c r="C188" i="7" l="1"/>
  <c r="B189" i="7"/>
  <c r="B190" i="7" l="1"/>
  <c r="C189" i="7"/>
  <c r="C190" i="7" l="1"/>
  <c r="B191" i="7"/>
  <c r="B192" i="7" l="1"/>
  <c r="C191" i="7"/>
  <c r="B193" i="7" l="1"/>
  <c r="C192" i="7"/>
  <c r="C193" i="7" l="1"/>
  <c r="B194" i="7"/>
  <c r="B195" i="7" l="1"/>
  <c r="C194" i="7"/>
  <c r="C195" i="7" l="1"/>
  <c r="B196" i="7"/>
  <c r="B197" i="7" l="1"/>
  <c r="C196" i="7"/>
  <c r="C197" i="7" l="1"/>
  <c r="B198" i="7"/>
  <c r="B199" i="7" l="1"/>
  <c r="C198" i="7"/>
  <c r="C199" i="7" l="1"/>
  <c r="B200" i="7"/>
  <c r="B201" i="7" l="1"/>
  <c r="C200" i="7"/>
  <c r="C201" i="7" l="1"/>
  <c r="B202" i="7"/>
  <c r="B203" i="7" l="1"/>
  <c r="C202" i="7"/>
  <c r="C203" i="7" l="1"/>
  <c r="B204" i="7"/>
  <c r="B205" i="7" l="1"/>
  <c r="C204" i="7"/>
  <c r="C205" i="7" l="1"/>
  <c r="B206" i="7"/>
  <c r="B207" i="7" l="1"/>
  <c r="C206" i="7"/>
  <c r="C207" i="7" l="1"/>
  <c r="B208" i="7"/>
  <c r="B209" i="7" l="1"/>
  <c r="C208" i="7"/>
  <c r="C209" i="7" l="1"/>
  <c r="B210" i="7"/>
  <c r="B211" i="7" l="1"/>
  <c r="C210" i="7"/>
  <c r="C211" i="7" l="1"/>
  <c r="B212" i="7"/>
  <c r="B213" i="7" l="1"/>
  <c r="C212" i="7"/>
  <c r="C213" i="7" l="1"/>
  <c r="B214" i="7"/>
  <c r="B215" i="7" l="1"/>
  <c r="C214" i="7"/>
  <c r="C215" i="7" l="1"/>
  <c r="B216" i="7"/>
  <c r="B217" i="7" l="1"/>
  <c r="C216" i="7"/>
  <c r="C217" i="7" l="1"/>
  <c r="B218" i="7"/>
  <c r="B219" i="7" l="1"/>
  <c r="C218" i="7"/>
  <c r="C219" i="7" l="1"/>
  <c r="B220" i="7"/>
  <c r="B221" i="7" l="1"/>
  <c r="C220" i="7"/>
  <c r="C221" i="7" l="1"/>
  <c r="B222" i="7"/>
  <c r="B223" i="7" l="1"/>
  <c r="C222" i="7"/>
  <c r="C223" i="7" l="1"/>
  <c r="B224" i="7"/>
  <c r="B225" i="7" l="1"/>
  <c r="C224" i="7"/>
  <c r="C225" i="7" l="1"/>
  <c r="B226" i="7"/>
  <c r="B227" i="7" l="1"/>
  <c r="C226" i="7"/>
  <c r="C227" i="7" l="1"/>
  <c r="B228" i="7"/>
  <c r="B229" i="7" l="1"/>
  <c r="C228" i="7"/>
  <c r="C229" i="7" l="1"/>
  <c r="B230" i="7"/>
  <c r="B231" i="7" l="1"/>
  <c r="C230" i="7"/>
  <c r="C231" i="7" l="1"/>
  <c r="B232" i="7"/>
  <c r="B233" i="7" l="1"/>
  <c r="C232" i="7"/>
  <c r="C233" i="7" l="1"/>
  <c r="B234" i="7"/>
  <c r="B235" i="7" l="1"/>
  <c r="C234" i="7"/>
  <c r="C235" i="7" l="1"/>
  <c r="B236" i="7"/>
  <c r="B237" i="7" l="1"/>
  <c r="C236" i="7"/>
  <c r="C237" i="7" l="1"/>
  <c r="B238" i="7"/>
  <c r="B239" i="7" l="1"/>
  <c r="C238" i="7"/>
  <c r="C239" i="7" l="1"/>
  <c r="B240" i="7"/>
  <c r="B241" i="7" l="1"/>
  <c r="C240" i="7"/>
  <c r="C241" i="7" l="1"/>
  <c r="B242" i="7"/>
  <c r="B243" i="7" l="1"/>
  <c r="C242" i="7"/>
  <c r="B244" i="7" l="1"/>
  <c r="C243" i="7"/>
  <c r="B245" i="7" l="1"/>
  <c r="C244" i="7"/>
  <c r="B246" i="7" l="1"/>
  <c r="C245" i="7"/>
  <c r="B247" i="7" l="1"/>
  <c r="C246" i="7"/>
  <c r="B248" i="7" l="1"/>
  <c r="C247" i="7"/>
  <c r="C248" i="7" l="1"/>
  <c r="B249" i="7"/>
  <c r="C249" i="7" l="1"/>
  <c r="B250" i="7"/>
  <c r="C250" i="7" l="1"/>
  <c r="B251" i="7"/>
  <c r="C251" i="7" l="1"/>
  <c r="B252" i="7"/>
  <c r="C252" i="7" l="1"/>
  <c r="B253" i="7"/>
  <c r="B254" i="7" l="1"/>
  <c r="C253" i="7"/>
  <c r="B255" i="7" l="1"/>
  <c r="C254" i="7"/>
  <c r="B256" i="7" l="1"/>
  <c r="C255" i="7"/>
  <c r="C256" i="7" l="1"/>
  <c r="B257" i="7"/>
  <c r="C257" i="7" l="1"/>
  <c r="B258" i="7"/>
  <c r="C258" i="7" l="1"/>
  <c r="B259" i="7"/>
  <c r="C259" i="7" l="1"/>
  <c r="B260" i="7"/>
  <c r="C260" i="7" l="1"/>
  <c r="B261" i="7"/>
  <c r="B262" i="7" l="1"/>
  <c r="C261" i="7"/>
  <c r="B263" i="7" l="1"/>
  <c r="C262" i="7"/>
  <c r="B264" i="7" l="1"/>
  <c r="C264" i="7" s="1"/>
  <c r="C263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tgalvin</author>
    <author>stu slote</author>
    <author>Gay Cook</author>
  </authors>
  <commentList>
    <comment ref="E10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>tgalvin:</t>
        </r>
        <r>
          <rPr>
            <sz val="8"/>
            <color indexed="81"/>
            <rFont val="Tahoma"/>
            <family val="2"/>
          </rPr>
          <t xml:space="preserve">
Not used- linking to actual Single family existing tab for reference</t>
        </r>
      </text>
    </comment>
    <comment ref="C13" authorId="1" shapeId="0" xr:uid="{00000000-0006-0000-0000-000002000000}">
      <text>
        <r>
          <rPr>
            <b/>
            <sz val="10"/>
            <color indexed="81"/>
            <rFont val="Tahoma"/>
            <family val="2"/>
          </rPr>
          <t>stu slote:</t>
        </r>
        <r>
          <rPr>
            <sz val="10"/>
            <color indexed="81"/>
            <rFont val="Tahoma"/>
            <family val="2"/>
          </rPr>
          <t xml:space="preserve">
from EVT TRM April 2007</t>
        </r>
      </text>
    </comment>
    <comment ref="D13" authorId="1" shapeId="0" xr:uid="{00000000-0006-0000-0000-000003000000}">
      <text>
        <r>
          <rPr>
            <b/>
            <sz val="10"/>
            <color indexed="81"/>
            <rFont val="Tahoma"/>
            <family val="2"/>
          </rPr>
          <t>stu slote:</t>
        </r>
        <r>
          <rPr>
            <sz val="10"/>
            <color indexed="81"/>
            <rFont val="Tahoma"/>
            <family val="2"/>
          </rPr>
          <t xml:space="preserve">
from EVT TRM April 2007</t>
        </r>
      </text>
    </comment>
    <comment ref="C16" authorId="0" shapeId="0" xr:uid="{00000000-0006-0000-0000-000004000000}">
      <text>
        <r>
          <rPr>
            <b/>
            <sz val="8"/>
            <color indexed="81"/>
            <rFont val="Tahoma"/>
            <family val="2"/>
          </rPr>
          <t>tgalvin:</t>
        </r>
        <r>
          <rPr>
            <sz val="8"/>
            <color indexed="81"/>
            <rFont val="Tahoma"/>
            <family val="2"/>
          </rPr>
          <t xml:space="preserve">
Per Gay Cook- 7/8/08
</t>
        </r>
      </text>
    </comment>
    <comment ref="C17" authorId="0" shapeId="0" xr:uid="{00000000-0006-0000-0000-000005000000}">
      <text>
        <r>
          <rPr>
            <b/>
            <sz val="8"/>
            <color indexed="81"/>
            <rFont val="Tahoma"/>
            <family val="2"/>
          </rPr>
          <t>tgalvin:</t>
        </r>
        <r>
          <rPr>
            <sz val="8"/>
            <color indexed="81"/>
            <rFont val="Tahoma"/>
            <family val="2"/>
          </rPr>
          <t xml:space="preserve">
Per Gay Cook- 7/8/08
</t>
        </r>
      </text>
    </comment>
    <comment ref="C19" authorId="2" shapeId="0" xr:uid="{00000000-0006-0000-0000-000006000000}">
      <text>
        <r>
          <rPr>
            <b/>
            <sz val="8"/>
            <color indexed="81"/>
            <rFont val="Tahoma"/>
            <family val="2"/>
          </rPr>
          <t>Gay Cook:</t>
        </r>
        <r>
          <rPr>
            <sz val="8"/>
            <color indexed="81"/>
            <rFont val="Tahoma"/>
            <family val="2"/>
          </rPr>
          <t xml:space="preserve">
LIEE PGE - 18
LIEE SDG&amp;E = 87
- use the average</t>
        </r>
      </text>
    </comment>
    <comment ref="C20" authorId="2" shapeId="0" xr:uid="{00000000-0006-0000-0000-000007000000}">
      <text>
        <r>
          <rPr>
            <b/>
            <sz val="8"/>
            <color indexed="81"/>
            <rFont val="Tahoma"/>
            <family val="2"/>
          </rPr>
          <t>Gay Cook:</t>
        </r>
        <r>
          <rPr>
            <sz val="8"/>
            <color indexed="81"/>
            <rFont val="Tahoma"/>
            <family val="2"/>
          </rPr>
          <t xml:space="preserve">
VT TRM = 266 (heating)
LIEE SCE 
- caulking = 12
- weatherstripping = 25
</t>
        </r>
      </text>
    </comment>
    <comment ref="C37" authorId="0" shapeId="0" xr:uid="{00000000-0006-0000-0000-000008000000}">
      <text>
        <r>
          <rPr>
            <b/>
            <sz val="8"/>
            <color indexed="81"/>
            <rFont val="Tahoma"/>
            <family val="2"/>
          </rPr>
          <t>tgalvin:</t>
        </r>
        <r>
          <rPr>
            <sz val="8"/>
            <color indexed="81"/>
            <rFont val="Tahoma"/>
            <family val="2"/>
          </rPr>
          <t xml:space="preserve">
Per Gay Cook- 7/8/08
 and savings discounted by 50% due to this being a kit and not direct install
</t>
        </r>
      </text>
    </comment>
    <comment ref="C38" authorId="0" shapeId="0" xr:uid="{00000000-0006-0000-0000-000009000000}">
      <text>
        <r>
          <rPr>
            <b/>
            <sz val="8"/>
            <color indexed="81"/>
            <rFont val="Tahoma"/>
            <family val="2"/>
          </rPr>
          <t>tgalvin:</t>
        </r>
        <r>
          <rPr>
            <sz val="8"/>
            <color indexed="81"/>
            <rFont val="Tahoma"/>
            <family val="2"/>
          </rPr>
          <t xml:space="preserve">
Per Gay Cook- 7/8/08
Per Gay Cook- 7/8/08
 and savings discounted by 50% due to this being a kit and not direct install
</t>
        </r>
      </text>
    </comment>
    <comment ref="C39" authorId="0" shapeId="0" xr:uid="{00000000-0006-0000-0000-00000A000000}">
      <text>
        <r>
          <rPr>
            <b/>
            <sz val="8"/>
            <color indexed="81"/>
            <rFont val="Tahoma"/>
            <family val="2"/>
          </rPr>
          <t>tgalvin:</t>
        </r>
        <r>
          <rPr>
            <sz val="8"/>
            <color indexed="81"/>
            <rFont val="Tahoma"/>
            <family val="2"/>
          </rPr>
          <t xml:space="preserve">
Per Gay Cook- 7/8/08
 and savings discounted by 50% due to this being a kit and not direct install
</t>
        </r>
      </text>
    </comment>
    <comment ref="C45" authorId="1" shapeId="0" xr:uid="{00000000-0006-0000-0000-00000B000000}">
      <text>
        <r>
          <rPr>
            <b/>
            <sz val="10"/>
            <color indexed="81"/>
            <rFont val="Tahoma"/>
            <family val="2"/>
          </rPr>
          <t>stu slote:</t>
        </r>
        <r>
          <rPr>
            <sz val="10"/>
            <color indexed="81"/>
            <rFont val="Tahoma"/>
            <family val="2"/>
          </rPr>
          <t xml:space="preserve">
savings discounted by 75% given installation by homeowner and not program field staff</t>
        </r>
      </text>
    </comment>
    <comment ref="D45" authorId="1" shapeId="0" xr:uid="{00000000-0006-0000-0000-00000C000000}">
      <text>
        <r>
          <rPr>
            <b/>
            <sz val="10"/>
            <color indexed="81"/>
            <rFont val="Tahoma"/>
            <family val="2"/>
          </rPr>
          <t>stu slote:</t>
        </r>
        <r>
          <rPr>
            <sz val="10"/>
            <color indexed="81"/>
            <rFont val="Tahoma"/>
            <family val="2"/>
          </rPr>
          <t xml:space="preserve">
savings discounted by 75% given installation by homeowner and not program field staff</t>
        </r>
      </text>
    </comment>
    <comment ref="F45" authorId="1" shapeId="0" xr:uid="{00000000-0006-0000-0000-00000D000000}">
      <text>
        <r>
          <rPr>
            <b/>
            <sz val="10"/>
            <color indexed="81"/>
            <rFont val="Tahoma"/>
            <family val="2"/>
          </rPr>
          <t>stu slote:</t>
        </r>
        <r>
          <rPr>
            <sz val="10"/>
            <color indexed="81"/>
            <rFont val="Tahoma"/>
            <family val="2"/>
          </rPr>
          <t xml:space="preserve">
savings discounted by 75% given installation by homeowner and not program field staff</t>
        </r>
      </text>
    </comment>
    <comment ref="G45" authorId="1" shapeId="0" xr:uid="{00000000-0006-0000-0000-00000E000000}">
      <text>
        <r>
          <rPr>
            <b/>
            <sz val="10"/>
            <color indexed="81"/>
            <rFont val="Tahoma"/>
            <family val="2"/>
          </rPr>
          <t>stu slote:</t>
        </r>
        <r>
          <rPr>
            <sz val="10"/>
            <color indexed="81"/>
            <rFont val="Tahoma"/>
            <family val="2"/>
          </rPr>
          <t xml:space="preserve">
savings discounted by 75% given installation by homeowner and not program field staff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roger hill</author>
    <author>Brent Barkett</author>
    <author xml:space="preserve"> </author>
  </authors>
  <commentList>
    <comment ref="A1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roger hill:</t>
        </r>
        <r>
          <rPr>
            <sz val="8"/>
            <color indexed="81"/>
            <rFont val="Tahoma"/>
            <family val="2"/>
          </rPr>
          <t xml:space="preserve">
weighed average from appliance saturation survey</t>
        </r>
      </text>
    </comment>
    <comment ref="B3" authorId="1" shapeId="0" xr:uid="{00000000-0006-0000-0100-000002000000}">
      <text>
        <r>
          <rPr>
            <b/>
            <sz val="8"/>
            <color indexed="81"/>
            <rFont val="Tahoma"/>
            <family val="2"/>
          </rPr>
          <t>Brent Barkett:</t>
        </r>
        <r>
          <rPr>
            <sz val="8"/>
            <color indexed="81"/>
            <rFont val="Tahoma"/>
            <family val="2"/>
          </rPr>
          <t xml:space="preserve">
calculated</t>
        </r>
      </text>
    </comment>
    <comment ref="C3" authorId="1" shapeId="0" xr:uid="{00000000-0006-0000-0100-000003000000}">
      <text>
        <r>
          <rPr>
            <b/>
            <sz val="8"/>
            <color indexed="81"/>
            <rFont val="Tahoma"/>
            <family val="2"/>
          </rPr>
          <t>Brent Barkett:</t>
        </r>
        <r>
          <rPr>
            <sz val="8"/>
            <color indexed="81"/>
            <rFont val="Tahoma"/>
            <family val="2"/>
          </rPr>
          <t xml:space="preserve">
Source: JEA 2006 customers escalated 3.5%</t>
        </r>
      </text>
    </comment>
    <comment ref="D3" authorId="1" shapeId="0" xr:uid="{00000000-0006-0000-0100-000004000000}">
      <text>
        <r>
          <rPr>
            <b/>
            <sz val="8"/>
            <color indexed="81"/>
            <rFont val="Tahoma"/>
            <family val="2"/>
          </rPr>
          <t>Brent Barkett:</t>
        </r>
        <r>
          <rPr>
            <sz val="8"/>
            <color indexed="81"/>
            <rFont val="Tahoma"/>
            <family val="2"/>
          </rPr>
          <t xml:space="preserve">
existing homes do not change absent the program</t>
        </r>
      </text>
    </comment>
    <comment ref="E3" authorId="1" shapeId="0" xr:uid="{00000000-0006-0000-0100-000005000000}">
      <text>
        <r>
          <rPr>
            <b/>
            <sz val="8"/>
            <color indexed="81"/>
            <rFont val="Tahoma"/>
            <family val="2"/>
          </rPr>
          <t>Brent Barkett:</t>
        </r>
        <r>
          <rPr>
            <sz val="8"/>
            <color indexed="81"/>
            <rFont val="Tahoma"/>
            <family val="2"/>
          </rPr>
          <t xml:space="preserve">
Source: Residential customer growth.xls - NS Power Residential Customers w/o seasonals</t>
        </r>
      </text>
    </comment>
    <comment ref="F3" authorId="1" shapeId="0" xr:uid="{00000000-0006-0000-0100-000006000000}">
      <text>
        <r>
          <rPr>
            <b/>
            <sz val="8"/>
            <color indexed="81"/>
            <rFont val="Tahoma"/>
            <family val="2"/>
          </rPr>
          <t>Brent Barkett:</t>
        </r>
        <r>
          <rPr>
            <sz val="8"/>
            <color indexed="81"/>
            <rFont val="Tahoma"/>
            <family val="2"/>
          </rPr>
          <t xml:space="preserve">
weighted average from appliance saturations</t>
        </r>
      </text>
    </comment>
    <comment ref="G3" authorId="1" shapeId="0" xr:uid="{00000000-0006-0000-0100-000007000000}">
      <text>
        <r>
          <rPr>
            <b/>
            <sz val="8"/>
            <color indexed="81"/>
            <rFont val="Tahoma"/>
            <family val="2"/>
          </rPr>
          <t>Brent Barkett:</t>
        </r>
        <r>
          <rPr>
            <sz val="8"/>
            <color indexed="81"/>
            <rFont val="Tahoma"/>
            <family val="2"/>
          </rPr>
          <t xml:space="preserve">
Calculated from JEA Customer Info</t>
        </r>
      </text>
    </comment>
    <comment ref="I3" authorId="1" shapeId="0" xr:uid="{00000000-0006-0000-0100-000008000000}">
      <text>
        <r>
          <rPr>
            <b/>
            <sz val="8"/>
            <color indexed="81"/>
            <rFont val="Tahoma"/>
            <family val="2"/>
          </rPr>
          <t>Brent Barkett:</t>
        </r>
        <r>
          <rPr>
            <sz val="8"/>
            <color indexed="81"/>
            <rFont val="Tahoma"/>
            <family val="2"/>
          </rPr>
          <t xml:space="preserve">
Calculated from LS2006 Compliance Filing.xls</t>
        </r>
      </text>
    </comment>
    <comment ref="M11" authorId="2" shapeId="0" xr:uid="{00000000-0006-0000-0100-000009000000}">
      <text>
        <r>
          <rPr>
            <b/>
            <sz val="8"/>
            <color indexed="81"/>
            <rFont val="Tahoma"/>
            <family val="2"/>
          </rPr>
          <t xml:space="preserve"> :code below EEM
</t>
        </r>
        <r>
          <rPr>
            <sz val="8"/>
            <color indexed="81"/>
            <rFont val="Tahoma"/>
            <family val="2"/>
          </rPr>
          <t>8.8 - 10.0 SEER dep on size</t>
        </r>
        <r>
          <rPr>
            <sz val="8"/>
            <color indexed="81"/>
            <rFont val="Tahoma"/>
            <family val="2"/>
          </rPr>
          <t xml:space="preserve">
13-607.1.ABC.3.2.1 Mandatory provisions</t>
        </r>
      </text>
    </comment>
    <comment ref="M16" authorId="2" shapeId="0" xr:uid="{00000000-0006-0000-0100-00000A000000}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>.09 have window units: .06 have 1
.03 have 2 or more</t>
        </r>
      </text>
    </comment>
    <comment ref="M21" authorId="2" shapeId="0" xr:uid="{00000000-0006-0000-0100-00000B000000}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>.49 Central Heat Pump, of that .70 is air to air</t>
        </r>
      </text>
    </comment>
    <comment ref="M28" authorId="2" shapeId="0" xr:uid="{00000000-0006-0000-0100-00000C000000}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>.9 electric water heater</t>
        </r>
      </text>
    </comment>
    <comment ref="M29" authorId="2" shapeId="0" xr:uid="{00000000-0006-0000-0100-00000D000000}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>.62 dishwasher</t>
        </r>
      </text>
    </comment>
    <comment ref="M30" authorId="2" shapeId="0" xr:uid="{00000000-0006-0000-0100-00000E000000}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>.88 clothes washer</t>
        </r>
      </text>
    </comment>
    <comment ref="M31" authorId="2" shapeId="0" xr:uid="{00000000-0006-0000-0100-00000F000000}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>.62 dishwasher</t>
        </r>
      </text>
    </comment>
    <comment ref="M34" authorId="2" shapeId="0" xr:uid="{00000000-0006-0000-0100-000010000000}">
      <text>
        <r>
          <rPr>
            <b/>
            <sz val="8"/>
            <color indexed="81"/>
            <rFont val="Tahoma"/>
            <family val="2"/>
          </rPr>
          <t xml:space="preserve"> :email Parker?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M38" authorId="2" shapeId="0" xr:uid="{00000000-0006-0000-0100-000011000000}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>.02</t>
        </r>
      </text>
    </comment>
    <comment ref="M39" authorId="2" shapeId="0" xr:uid="{00000000-0006-0000-0100-000012000000}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.88 clothes washer
</t>
        </r>
      </text>
    </comment>
    <comment ref="O43" authorId="0" shapeId="0" xr:uid="{00000000-0006-0000-0100-000013000000}">
      <text>
        <r>
          <rPr>
            <b/>
            <sz val="8"/>
            <color indexed="81"/>
            <rFont val="Tahoma"/>
            <family val="2"/>
          </rPr>
          <t>roger hill:</t>
        </r>
        <r>
          <rPr>
            <sz val="8"/>
            <color indexed="81"/>
            <rFont val="Tahoma"/>
            <family val="2"/>
          </rPr>
          <t xml:space="preserve">
simulation of no night setback with morning 2F setback</t>
        </r>
      </text>
    </comment>
    <comment ref="M49" authorId="2" shapeId="0" xr:uid="{00000000-0006-0000-0100-000014000000}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>.84 clothes dryer (electric or gas?)</t>
        </r>
      </text>
    </comment>
    <comment ref="M50" authorId="2" shapeId="0" xr:uid="{00000000-0006-0000-0100-000015000000}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>.46 have a freezer
.04 have 2 or more
avg: .54</t>
        </r>
      </text>
    </comment>
    <comment ref="M51" authorId="2" shapeId="0" xr:uid="{00000000-0006-0000-0100-000016000000}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>.96 have a refrigerator
.13 have two or more avg: 1.2</t>
        </r>
      </text>
    </comment>
    <comment ref="M52" authorId="2" shapeId="0" xr:uid="{00000000-0006-0000-0100-000017000000}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>.13 second refrig</t>
        </r>
      </text>
    </comment>
    <comment ref="M54" authorId="2" shapeId="0" xr:uid="{00000000-0006-0000-0100-000018000000}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>.57 point of use surge protection</t>
        </r>
      </text>
    </comment>
    <comment ref="M58" authorId="2" shapeId="0" xr:uid="{00000000-0006-0000-0100-000019000000}">
      <text>
        <r>
          <rPr>
            <b/>
            <sz val="8"/>
            <color indexed="81"/>
            <rFont val="Tahoma"/>
            <family val="2"/>
          </rPr>
          <t xml:space="preserve"> :source for these comments unless noted otherwise:
JEA 2005 Residential Customer Survey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73" authorId="0" shapeId="0" xr:uid="{00000000-0006-0000-0100-00001A000000}">
      <text>
        <r>
          <rPr>
            <b/>
            <sz val="8"/>
            <color indexed="81"/>
            <rFont val="Tahoma"/>
            <family val="2"/>
          </rPr>
          <t>roger hill:</t>
        </r>
        <r>
          <rPr>
            <sz val="8"/>
            <color indexed="81"/>
            <rFont val="Tahoma"/>
            <family val="2"/>
          </rPr>
          <t xml:space="preserve">
delete this measure</t>
        </r>
      </text>
    </comment>
    <comment ref="C97" authorId="0" shapeId="0" xr:uid="{00000000-0006-0000-0100-00001B000000}">
      <text>
        <r>
          <rPr>
            <b/>
            <sz val="8"/>
            <color indexed="81"/>
            <rFont val="Tahoma"/>
            <family val="2"/>
          </rPr>
          <t>roger hill:</t>
        </r>
        <r>
          <rPr>
            <sz val="8"/>
            <color indexed="81"/>
            <rFont val="Tahoma"/>
            <family val="2"/>
          </rPr>
          <t xml:space="preserve">
delete per clients comments</t>
        </r>
      </text>
    </comment>
    <comment ref="C104" authorId="0" shapeId="0" xr:uid="{00000000-0006-0000-0100-00001C000000}">
      <text>
        <r>
          <rPr>
            <b/>
            <sz val="8"/>
            <color indexed="81"/>
            <rFont val="Tahoma"/>
            <family val="2"/>
          </rPr>
          <t>roger hill:</t>
        </r>
        <r>
          <rPr>
            <sz val="8"/>
            <color indexed="81"/>
            <rFont val="Tahoma"/>
            <family val="2"/>
          </rPr>
          <t xml:space="preserve">
delete per clients comments</t>
        </r>
      </text>
    </comment>
    <comment ref="E107" authorId="0" shapeId="0" xr:uid="{00000000-0006-0000-0100-00001D000000}">
      <text>
        <r>
          <rPr>
            <b/>
            <sz val="8"/>
            <color indexed="81"/>
            <rFont val="Tahoma"/>
            <family val="2"/>
          </rPr>
          <t>roger hill:</t>
        </r>
        <r>
          <rPr>
            <sz val="8"/>
            <color indexed="81"/>
            <rFont val="Tahoma"/>
            <family val="2"/>
          </rPr>
          <t xml:space="preserve">
simulation of no night setback with morning 2F setback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Brent Barkett</author>
  </authors>
  <commentList>
    <comment ref="G7" authorId="0" shapeId="0" xr:uid="{00000000-0006-0000-0300-000001000000}">
      <text>
        <r>
          <rPr>
            <b/>
            <sz val="8"/>
            <color indexed="81"/>
            <rFont val="Tahoma"/>
            <family val="2"/>
          </rPr>
          <t>Brent Barkett:</t>
        </r>
        <r>
          <rPr>
            <sz val="8"/>
            <color indexed="81"/>
            <rFont val="Tahoma"/>
            <family val="2"/>
          </rPr>
          <t xml:space="preserve">
Red columns need to be updated if used - not relevant except for market description
</t>
        </r>
      </text>
    </comment>
    <comment ref="N7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Summit Blue:</t>
        </r>
        <r>
          <rPr>
            <sz val="9"/>
            <color indexed="81"/>
            <rFont val="Tahoma"/>
            <family val="2"/>
          </rPr>
          <t xml:space="preserve">
These equations originally assumed 500 sq ft per ton (column F/500) -
This assumption has been removed in this version of the spreadsheet</t>
        </r>
      </text>
    </comment>
    <comment ref="C8" authorId="0" shapeId="0" xr:uid="{00000000-0006-0000-0300-000003000000}">
      <text>
        <r>
          <rPr>
            <b/>
            <sz val="8"/>
            <color indexed="81"/>
            <rFont val="Tahoma"/>
            <family val="2"/>
          </rPr>
          <t>Brent Barkett:</t>
        </r>
        <r>
          <rPr>
            <sz val="8"/>
            <color indexed="81"/>
            <rFont val="Tahoma"/>
            <family val="2"/>
          </rPr>
          <t xml:space="preserve">
Source: DSM Info &amp; Customer Forecast.xls</t>
        </r>
      </text>
    </comment>
    <comment ref="E8" authorId="0" shapeId="0" xr:uid="{00000000-0006-0000-0300-000004000000}">
      <text>
        <r>
          <rPr>
            <b/>
            <sz val="8"/>
            <color indexed="81"/>
            <rFont val="Tahoma"/>
            <family val="2"/>
          </rPr>
          <t>Brent Barkett:</t>
        </r>
        <r>
          <rPr>
            <sz val="8"/>
            <color indexed="81"/>
            <rFont val="Tahoma"/>
            <family val="2"/>
          </rPr>
          <t xml:space="preserve">
Source: DSM Info &amp; Customer Forecast.xls</t>
        </r>
      </text>
    </comment>
    <comment ref="F8" authorId="0" shapeId="0" xr:uid="{00000000-0006-0000-0300-000005000000}">
      <text>
        <r>
          <rPr>
            <b/>
            <sz val="8"/>
            <color indexed="81"/>
            <rFont val="Tahoma"/>
            <family val="2"/>
          </rPr>
          <t>Brent Barkett:</t>
        </r>
        <r>
          <rPr>
            <sz val="8"/>
            <color indexed="81"/>
            <rFont val="Tahoma"/>
            <family val="2"/>
          </rPr>
          <t xml:space="preserve">
Source: Randy's 2/1 email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tgalvin</author>
    <author>T</author>
  </authors>
  <commentList>
    <comment ref="L5" authorId="0" shapeId="0" xr:uid="{00000000-0006-0000-0400-000001000000}">
      <text>
        <r>
          <rPr>
            <b/>
            <sz val="8"/>
            <color indexed="81"/>
            <rFont val="Tahoma"/>
            <family val="2"/>
          </rPr>
          <t>tgalvin:</t>
        </r>
        <r>
          <rPr>
            <sz val="8"/>
            <color indexed="81"/>
            <rFont val="Tahoma"/>
            <family val="2"/>
          </rPr>
          <t xml:space="preserve">
Adjusted for net to gross and line loss</t>
        </r>
      </text>
    </comment>
    <comment ref="B7" authorId="0" shapeId="0" xr:uid="{00000000-0006-0000-0400-000002000000}">
      <text>
        <r>
          <rPr>
            <b/>
            <sz val="8"/>
            <color indexed="81"/>
            <rFont val="Tahoma"/>
            <family val="2"/>
          </rPr>
          <t>tgalvin:</t>
        </r>
        <r>
          <rPr>
            <sz val="8"/>
            <color indexed="81"/>
            <rFont val="Tahoma"/>
            <family val="2"/>
          </rPr>
          <t xml:space="preserve">
Average
</t>
        </r>
      </text>
    </comment>
    <comment ref="J8" authorId="0" shapeId="0" xr:uid="{00000000-0006-0000-0400-000003000000}">
      <text>
        <r>
          <rPr>
            <b/>
            <sz val="8"/>
            <color indexed="81"/>
            <rFont val="Tahoma"/>
            <family val="2"/>
          </rPr>
          <t>tgalvin:</t>
        </r>
        <r>
          <rPr>
            <sz val="8"/>
            <color indexed="81"/>
            <rFont val="Tahoma"/>
            <family val="2"/>
          </rPr>
          <t xml:space="preserve">
average
</t>
        </r>
      </text>
    </comment>
    <comment ref="J13" authorId="0" shapeId="0" xr:uid="{00000000-0006-0000-0400-000004000000}">
      <text>
        <r>
          <rPr>
            <b/>
            <sz val="8"/>
            <color indexed="81"/>
            <rFont val="Tahoma"/>
            <family val="2"/>
          </rPr>
          <t>tgalvin:</t>
        </r>
        <r>
          <rPr>
            <sz val="8"/>
            <color indexed="81"/>
            <rFont val="Tahoma"/>
            <family val="2"/>
          </rPr>
          <t xml:space="preserve">
avg
</t>
        </r>
      </text>
    </comment>
    <comment ref="B14" authorId="0" shapeId="0" xr:uid="{00000000-0006-0000-0400-000005000000}">
      <text>
        <r>
          <rPr>
            <b/>
            <sz val="8"/>
            <color indexed="81"/>
            <rFont val="Tahoma"/>
            <family val="2"/>
          </rPr>
          <t>tgalvin:</t>
        </r>
        <r>
          <rPr>
            <sz val="8"/>
            <color indexed="81"/>
            <rFont val="Tahoma"/>
            <family val="2"/>
          </rPr>
          <t xml:space="preserve">
Average
</t>
        </r>
      </text>
    </comment>
    <comment ref="H14" authorId="0" shapeId="0" xr:uid="{00000000-0006-0000-0400-000006000000}">
      <text>
        <r>
          <rPr>
            <b/>
            <sz val="8"/>
            <color indexed="81"/>
            <rFont val="Tahoma"/>
            <family val="2"/>
          </rPr>
          <t>tgalvin:</t>
        </r>
        <r>
          <rPr>
            <sz val="8"/>
            <color indexed="81"/>
            <rFont val="Tahoma"/>
            <family val="2"/>
          </rPr>
          <t xml:space="preserve">
avg</t>
        </r>
      </text>
    </comment>
    <comment ref="B20" authorId="0" shapeId="0" xr:uid="{00000000-0006-0000-0400-000007000000}">
      <text>
        <r>
          <rPr>
            <b/>
            <sz val="8"/>
            <color indexed="81"/>
            <rFont val="Tahoma"/>
            <family val="2"/>
          </rPr>
          <t>tgalvin:</t>
        </r>
        <r>
          <rPr>
            <sz val="8"/>
            <color indexed="81"/>
            <rFont val="Tahoma"/>
            <family val="2"/>
          </rPr>
          <t xml:space="preserve">
Maine
</t>
        </r>
      </text>
    </comment>
    <comment ref="C20" authorId="0" shapeId="0" xr:uid="{00000000-0006-0000-0400-000008000000}">
      <text>
        <r>
          <rPr>
            <b/>
            <sz val="8"/>
            <color indexed="81"/>
            <rFont val="Tahoma"/>
            <family val="2"/>
          </rPr>
          <t>tgalvin:</t>
        </r>
        <r>
          <rPr>
            <sz val="8"/>
            <color indexed="81"/>
            <rFont val="Tahoma"/>
            <family val="2"/>
          </rPr>
          <t xml:space="preserve">
E-Trust Oregon</t>
        </r>
      </text>
    </comment>
    <comment ref="D20" authorId="0" shapeId="0" xr:uid="{00000000-0006-0000-0400-000009000000}">
      <text>
        <r>
          <rPr>
            <b/>
            <sz val="8"/>
            <color indexed="81"/>
            <rFont val="Tahoma"/>
            <family val="2"/>
          </rPr>
          <t>tgalvin:</t>
        </r>
        <r>
          <rPr>
            <sz val="8"/>
            <color indexed="81"/>
            <rFont val="Tahoma"/>
            <family val="2"/>
          </rPr>
          <t xml:space="preserve">
EVT</t>
        </r>
      </text>
    </comment>
    <comment ref="E20" authorId="0" shapeId="0" xr:uid="{00000000-0006-0000-0400-00000A000000}">
      <text>
        <r>
          <rPr>
            <b/>
            <sz val="8"/>
            <color indexed="81"/>
            <rFont val="Tahoma"/>
            <family val="2"/>
          </rPr>
          <t>tgalvin:</t>
        </r>
        <r>
          <rPr>
            <sz val="8"/>
            <color indexed="81"/>
            <rFont val="Tahoma"/>
            <family val="2"/>
          </rPr>
          <t xml:space="preserve">
Maine</t>
        </r>
      </text>
    </comment>
    <comment ref="F20" authorId="0" shapeId="0" xr:uid="{00000000-0006-0000-0400-00000B000000}">
      <text>
        <r>
          <rPr>
            <b/>
            <sz val="8"/>
            <color indexed="81"/>
            <rFont val="Tahoma"/>
            <family val="2"/>
          </rPr>
          <t>tgalvin:</t>
        </r>
        <r>
          <rPr>
            <sz val="8"/>
            <color indexed="81"/>
            <rFont val="Tahoma"/>
            <family val="2"/>
          </rPr>
          <t xml:space="preserve">
Maine</t>
        </r>
      </text>
    </comment>
    <comment ref="G20" authorId="0" shapeId="0" xr:uid="{00000000-0006-0000-0400-00000C000000}">
      <text>
        <r>
          <rPr>
            <b/>
            <sz val="8"/>
            <color indexed="81"/>
            <rFont val="Tahoma"/>
            <family val="2"/>
          </rPr>
          <t>tgalvin:</t>
        </r>
        <r>
          <rPr>
            <sz val="8"/>
            <color indexed="81"/>
            <rFont val="Tahoma"/>
            <family val="2"/>
          </rPr>
          <t xml:space="preserve">
ME
</t>
        </r>
      </text>
    </comment>
    <comment ref="I20" authorId="0" shapeId="0" xr:uid="{00000000-0006-0000-0400-00000D000000}">
      <text>
        <r>
          <rPr>
            <b/>
            <sz val="8"/>
            <color indexed="81"/>
            <rFont val="Tahoma"/>
            <family val="2"/>
          </rPr>
          <t>tgalvin:</t>
        </r>
        <r>
          <rPr>
            <sz val="8"/>
            <color indexed="81"/>
            <rFont val="Tahoma"/>
            <family val="2"/>
          </rPr>
          <t xml:space="preserve">
EVT
</t>
        </r>
      </text>
    </comment>
    <comment ref="J20" authorId="0" shapeId="0" xr:uid="{00000000-0006-0000-0400-00000E000000}">
      <text>
        <r>
          <rPr>
            <b/>
            <sz val="8"/>
            <color indexed="81"/>
            <rFont val="Tahoma"/>
            <family val="2"/>
          </rPr>
          <t>tgalvin:</t>
        </r>
        <r>
          <rPr>
            <sz val="8"/>
            <color indexed="81"/>
            <rFont val="Tahoma"/>
            <family val="2"/>
          </rPr>
          <t xml:space="preserve">
SB Estimate</t>
        </r>
      </text>
    </comment>
    <comment ref="K20" authorId="0" shapeId="0" xr:uid="{00000000-0006-0000-0400-00000F000000}">
      <text>
        <r>
          <rPr>
            <b/>
            <sz val="8"/>
            <color indexed="81"/>
            <rFont val="Tahoma"/>
            <family val="2"/>
          </rPr>
          <t>tgalvin:</t>
        </r>
        <r>
          <rPr>
            <sz val="8"/>
            <color indexed="81"/>
            <rFont val="Tahoma"/>
            <family val="2"/>
          </rPr>
          <t xml:space="preserve">
EVT</t>
        </r>
      </text>
    </comment>
    <comment ref="B21" authorId="1" shapeId="0" xr:uid="{00000000-0006-0000-0400-000010000000}">
      <text>
        <r>
          <rPr>
            <b/>
            <sz val="9"/>
            <color indexed="81"/>
            <rFont val="Tahoma"/>
            <family val="2"/>
          </rPr>
          <t>T:</t>
        </r>
        <r>
          <rPr>
            <sz val="9"/>
            <color indexed="81"/>
            <rFont val="Tahoma"/>
            <family val="2"/>
          </rPr>
          <t xml:space="preserve">
Average, see calculation in the notes section.</t>
        </r>
      </text>
    </comment>
    <comment ref="H23" authorId="0" shapeId="0" xr:uid="{00000000-0006-0000-0400-000011000000}">
      <text>
        <r>
          <rPr>
            <b/>
            <sz val="8"/>
            <color indexed="81"/>
            <rFont val="Tahoma"/>
            <family val="2"/>
          </rPr>
          <t>tgalvin:</t>
        </r>
        <r>
          <rPr>
            <sz val="8"/>
            <color indexed="81"/>
            <rFont val="Tahoma"/>
            <family val="2"/>
          </rPr>
          <t xml:space="preserve">
Simple average- non weighted of APT's estimated kW reduction for 60,90, and 70 watt incandenscent replacements
</t>
        </r>
      </text>
    </comment>
    <comment ref="J23" authorId="0" shapeId="0" xr:uid="{00000000-0006-0000-0400-000012000000}">
      <text>
        <r>
          <rPr>
            <b/>
            <sz val="8"/>
            <color indexed="81"/>
            <rFont val="Tahoma"/>
            <family val="2"/>
          </rPr>
          <t>tgalvin:</t>
        </r>
        <r>
          <rPr>
            <sz val="8"/>
            <color indexed="81"/>
            <rFont val="Tahoma"/>
            <family val="2"/>
          </rPr>
          <t xml:space="preserve">
8,000 hrs
</t>
        </r>
      </text>
    </comment>
  </commentList>
</comments>
</file>

<file path=xl/sharedStrings.xml><?xml version="1.0" encoding="utf-8"?>
<sst xmlns="http://schemas.openxmlformats.org/spreadsheetml/2006/main" count="718" uniqueCount="445">
  <si>
    <t>TOTAL</t>
  </si>
  <si>
    <t>Max No. of Measures /House</t>
  </si>
  <si>
    <t>kWH Savings /Measure</t>
  </si>
  <si>
    <t>% of Homes with Measure Installed</t>
  </si>
  <si>
    <t>kWH Savings /Home</t>
  </si>
  <si>
    <t>kW Savings /Home</t>
  </si>
  <si>
    <t>LED night lights</t>
  </si>
  <si>
    <t>Lower DHW temperature</t>
  </si>
  <si>
    <t>Wrap DHW heater</t>
  </si>
  <si>
    <t>Wrap up to 5 feet of cold and hot water pipes</t>
  </si>
  <si>
    <t>Kitchen Aerator with on/off lever</t>
  </si>
  <si>
    <t>Bathroom faucet aerators</t>
  </si>
  <si>
    <t>Low flow showerhead</t>
  </si>
  <si>
    <t>25 feet of duct repair and mastic sealing</t>
  </si>
  <si>
    <t>Air Sealing</t>
  </si>
  <si>
    <t>Refrigerator coil brush (clean coils &amp; leave brush)</t>
  </si>
  <si>
    <t>toilet tank flappers installed</t>
  </si>
  <si>
    <t>1 roll clear tape used on cracked glass panes</t>
  </si>
  <si>
    <t>3 tubes clear caulk for air sealing</t>
  </si>
  <si>
    <t>1 can foam for sealing larger leaks</t>
  </si>
  <si>
    <t>1 roll V-Seal weatherstripping</t>
  </si>
  <si>
    <t>Q-lon weatherstripping on 3 doors</t>
  </si>
  <si>
    <t>3 door sweeps</t>
  </si>
  <si>
    <t>1 package foam insulated weatherstripping for attic hatch</t>
  </si>
  <si>
    <t>4 CFLs (2 @ 15watt-885 lumens and 2 @ 25 watt-1100 lumens, 10,000 life hours)</t>
  </si>
  <si>
    <t>2 LED night lights</t>
  </si>
  <si>
    <t>1 “Earth” Low Flow Showerhead @ maximum 1.5 gpm</t>
  </si>
  <si>
    <t>1 Kitchen faucet aerator (1.5 gpm) with on/off lever</t>
  </si>
  <si>
    <t>2 Bathroom faucet aerators (1.0 gpm)</t>
  </si>
  <si>
    <t>1 Shower timer</t>
  </si>
  <si>
    <t>1 Packet toilet leak indicator dye tablets</t>
  </si>
  <si>
    <t>1 Toilet tank bank</t>
  </si>
  <si>
    <t>1 Plastic shower measuring bag</t>
  </si>
  <si>
    <t>1 Water wheel of conservation information</t>
  </si>
  <si>
    <t>2 Tubes clear silicone acrylic caulk – minimum 25 year warranty</t>
  </si>
  <si>
    <t>1 Package 30 feet of rope caulk</t>
  </si>
  <si>
    <t>2 Plastic storm window kits (3-M)</t>
  </si>
  <si>
    <t>1 package insulated adhesive foam tape</t>
  </si>
  <si>
    <t>1 Package switch and outlet foam gaskets and safety plugs (8 each)</t>
  </si>
  <si>
    <t>1 Energy Conservation Wheel</t>
  </si>
  <si>
    <t>1 Earth Saver Wheel</t>
  </si>
  <si>
    <t>hours/yr</t>
  </si>
  <si>
    <t>1 Caulk gun; 2 Tubes clear silicone acrylic caulk – minimum 25 year warranty; 1 Package 30 feet of rope caulk; 2 Plastic storm window kits (3-M); 1 package insulated adhesive foam tape; 1 Package switch and outlet foam gaskets and safety plugs (8 each); 1 Energy Conservation Wheel; 1 Earth Saver Wheel</t>
  </si>
  <si>
    <t>Retail</t>
  </si>
  <si>
    <t>Warehouse</t>
  </si>
  <si>
    <t>Refrigerator thermometers</t>
  </si>
  <si>
    <t>Air infiltration</t>
  </si>
  <si>
    <t>Weighted Average</t>
  </si>
  <si>
    <t>DRAFT</t>
  </si>
  <si>
    <t>Comparative Analysis of CFL Deemed Savings Estimates</t>
  </si>
  <si>
    <t>Jurisdiction</t>
  </si>
  <si>
    <t>CFL     (kWh) Savings (at the meter)</t>
  </si>
  <si>
    <t xml:space="preserve">CFL Daily Hours of Use (HRS)
</t>
  </si>
  <si>
    <t>CFL 
in- service rate 
(%)</t>
  </si>
  <si>
    <t>CFL Free ridership (%)</t>
  </si>
  <si>
    <t>CFL Lamps spillover (%)</t>
  </si>
  <si>
    <t>Net to Gross Ratio</t>
  </si>
  <si>
    <t>Connected Load (kW)</t>
  </si>
  <si>
    <t>Coincident peak demand savings 
(kW)</t>
  </si>
  <si>
    <t xml:space="preserve">Effective Useful Life (YRS) </t>
  </si>
  <si>
    <t>persistence (%)</t>
  </si>
  <si>
    <t>Fully Adjusted kWH Savings</t>
  </si>
  <si>
    <t>Data Source</t>
  </si>
  <si>
    <t>California (KEMA)</t>
  </si>
  <si>
    <t>n/a</t>
  </si>
  <si>
    <t>KEMA 2005 CFL Metering study</t>
  </si>
  <si>
    <t>Connecticut</t>
  </si>
  <si>
    <t>2005 CT Energy Efficiency Fund</t>
  </si>
  <si>
    <t>Efficiency Maine</t>
  </si>
  <si>
    <t>Process and Impact Evaluation of the Efficiency Maine Lighting Program, Nexus Market Research, Inc., RLW Analytics, Inc., 4/10/07</t>
  </si>
  <si>
    <t>National Grid (MA)</t>
  </si>
  <si>
    <t>National Grid 2008 EEP</t>
  </si>
  <si>
    <t>NYSERDA</t>
  </si>
  <si>
    <t>NYSERDA Smart Energy Report 2007</t>
  </si>
  <si>
    <t>Energy Trust of Oregon</t>
  </si>
  <si>
    <t>Energy Trust of Oregon Savings; EHP 2008</t>
  </si>
  <si>
    <t>Wisconsin FOE</t>
  </si>
  <si>
    <t>WECC's 2006 Deemed Savings</t>
  </si>
  <si>
    <t>Efficiency Vermont</t>
  </si>
  <si>
    <t>TRM User Manual No. 2006-43 April 2007</t>
  </si>
  <si>
    <t>Texas</t>
  </si>
  <si>
    <t>Texas Deemed Savings Report 2003; prepared by Frontier Associates for the Texas PUC</t>
  </si>
  <si>
    <t>2004 MA/RI/VT Study</t>
  </si>
  <si>
    <t>Impact Evaluation of the Massachusetts, Rhode Island, and Vermont 2003 Residential Lighting Programs</t>
  </si>
  <si>
    <t>2002-2003 NH RLP Study</t>
  </si>
  <si>
    <t xml:space="preserve">The 2002-03 Process and Impact Evaluation of the New Hampshire RLP </t>
  </si>
  <si>
    <t>2000-2001 NU SLC/RL Study</t>
  </si>
  <si>
    <t xml:space="preserve">2000-2001 Northeast Utilities SLC and POP Impact Evaluation </t>
  </si>
  <si>
    <t>Average</t>
  </si>
  <si>
    <t>JEA -CFL Residential</t>
  </si>
  <si>
    <t>Still TBD</t>
  </si>
  <si>
    <t>STU- Let's use these inputs</t>
  </si>
  <si>
    <t>JEA CFL- Com TBD</t>
  </si>
  <si>
    <t>APT Estimate for JEA</t>
  </si>
  <si>
    <t>kWh Line Loss Factor</t>
  </si>
  <si>
    <t>need value</t>
  </si>
  <si>
    <t>KW Line Loss Factor</t>
  </si>
  <si>
    <t>Notes:</t>
  </si>
  <si>
    <t>CFL Savings</t>
  </si>
  <si>
    <t>Coincident Peak Demand Savings</t>
  </si>
  <si>
    <t>Effective Useful Life (YRS)  6,000 / 8,000 / 10,000 hours</t>
  </si>
  <si>
    <t>7W → 16 kWh</t>
  </si>
  <si>
    <t>18W → 41 kWh</t>
  </si>
  <si>
    <t>0.003 summer / 0.017 winter</t>
  </si>
  <si>
    <t>5.0 / 7.0 / 8.0</t>
  </si>
  <si>
    <t>8W → 18 kWh</t>
  </si>
  <si>
    <t>19W → 43 kWh</t>
  </si>
  <si>
    <t xml:space="preserve">Average: </t>
  </si>
  <si>
    <t>9W → 20 kWh</t>
  </si>
  <si>
    <t>20W → 46 kWh</t>
  </si>
  <si>
    <t>10W → 23 kWh</t>
  </si>
  <si>
    <t>21W → 48 kWh</t>
  </si>
  <si>
    <t>11W → 25 kWh</t>
  </si>
  <si>
    <t>22W → 50 kWh</t>
  </si>
  <si>
    <t>12W → 27 kWh</t>
  </si>
  <si>
    <t>23W → 52 kWh</t>
  </si>
  <si>
    <t>13W → 30 kWh</t>
  </si>
  <si>
    <t>24W → 55 kWh</t>
  </si>
  <si>
    <t>14W → 32 kWh</t>
  </si>
  <si>
    <t>25W → 57 kWh</t>
  </si>
  <si>
    <t>15W → 34 kWh</t>
  </si>
  <si>
    <t>26W → 59 kWh</t>
  </si>
  <si>
    <t>16W → 36 kWh</t>
  </si>
  <si>
    <t>27W → 61 kWh</t>
  </si>
  <si>
    <t>17W → 39 kWh</t>
  </si>
  <si>
    <t>Maine</t>
  </si>
  <si>
    <t>CFL daily Hours of Use</t>
  </si>
  <si>
    <t>CFL in Service Rate</t>
  </si>
  <si>
    <t>CFL Freeriership</t>
  </si>
  <si>
    <t>CFL Lamps Spillover</t>
  </si>
  <si>
    <t>4.8 Markdown</t>
  </si>
  <si>
    <t>60% Markdown</t>
  </si>
  <si>
    <t>29% Markdown</t>
  </si>
  <si>
    <t>23% Markdown</t>
  </si>
  <si>
    <t>5.1 / 6.8 / 8.6</t>
  </si>
  <si>
    <t>2.3 Past Coupon</t>
  </si>
  <si>
    <t>72% Past Coupon</t>
  </si>
  <si>
    <t>average:</t>
  </si>
  <si>
    <t>Effective Useful Life</t>
  </si>
  <si>
    <t>5000 hrs → 6.85 yrs</t>
  </si>
  <si>
    <t>6.6 / 6.3  / 4.6</t>
  </si>
  <si>
    <t>7000 hrs → 6.39 yrs</t>
  </si>
  <si>
    <t>9000 hrs → 6.16 yrs</t>
  </si>
  <si>
    <t>10000 hrs → 4.57 yrs</t>
  </si>
  <si>
    <t xml:space="preserve">Texas </t>
  </si>
  <si>
    <t>Coincident Peak Demand savings</t>
  </si>
  <si>
    <t>15W→36.5 kWh</t>
  </si>
  <si>
    <t>15W→.006kW</t>
  </si>
  <si>
    <t>20W →58.3kWh</t>
  </si>
  <si>
    <t>20W→.009kW</t>
  </si>
  <si>
    <t>23W→75.8kWh</t>
  </si>
  <si>
    <t>23W→.012kW</t>
  </si>
  <si>
    <t>27W→106.5kWh</t>
  </si>
  <si>
    <t>27W→.016kW</t>
  </si>
  <si>
    <t xml:space="preserve">CA DEER </t>
  </si>
  <si>
    <t>15W→34.6 kWh</t>
  </si>
  <si>
    <t>15W→.00328kW</t>
  </si>
  <si>
    <t>20W →42.3kWh</t>
  </si>
  <si>
    <t>20W→.00401kW</t>
  </si>
  <si>
    <t>23W→59.2kWh</t>
  </si>
  <si>
    <t>23W→.00401kW</t>
  </si>
  <si>
    <t xml:space="preserve">JEA </t>
  </si>
  <si>
    <t>12W→27.9 kWh</t>
  </si>
  <si>
    <t>12W→0.028 kW</t>
  </si>
  <si>
    <t>17W →42.2 kWh</t>
  </si>
  <si>
    <t>17W →0.043 kW</t>
  </si>
  <si>
    <t>22W→52.2 kWh</t>
  </si>
  <si>
    <t>22W→0.053 kW</t>
  </si>
  <si>
    <t>26W→72.9 kWh</t>
  </si>
  <si>
    <t>26W→0.074 kW</t>
  </si>
  <si>
    <t>Average:</t>
  </si>
  <si>
    <t>JEA Commercial</t>
  </si>
  <si>
    <t>Freeridership</t>
  </si>
  <si>
    <t>5% Act 250 NC; 11% Cust Equip Replace and C&amp;I Retro; 0% Non-Act 250; 10% Pres Equip Replace</t>
  </si>
  <si>
    <t>Spillover</t>
  </si>
  <si>
    <t>0% Act 250 NC and Non Act 250 NC; 5% Cust Equip Replace, Pres Equip Replace, C&amp;I Retro, Farm</t>
  </si>
  <si>
    <t>HOURS</t>
  </si>
  <si>
    <t>ISR</t>
  </si>
  <si>
    <t>WHFe</t>
  </si>
  <si>
    <t>Effective Useful Life:</t>
  </si>
  <si>
    <t>CFL daily hours of use:</t>
  </si>
  <si>
    <t>Low range hrs/yr</t>
  </si>
  <si>
    <t>High range hrs/yr</t>
  </si>
  <si>
    <t>lamp lifetime hrs</t>
  </si>
  <si>
    <t>yearly average</t>
  </si>
  <si>
    <t>low-high average</t>
  </si>
  <si>
    <t>lamp lifetime/ average</t>
  </si>
  <si>
    <t>yearly average/8760 (hours/yr)</t>
  </si>
  <si>
    <t>WHFd</t>
  </si>
  <si>
    <t>Lighting Operating Hours by Building Type</t>
  </si>
  <si>
    <t>Building Type</t>
  </si>
  <si>
    <t xml:space="preserve">Annual Hours </t>
  </si>
  <si>
    <t>average</t>
  </si>
  <si>
    <t>average/8760</t>
  </si>
  <si>
    <t>Office</t>
  </si>
  <si>
    <t>Restaurant</t>
  </si>
  <si>
    <t>Grocery/Supermarket</t>
  </si>
  <si>
    <t>Elemen./Second. School</t>
  </si>
  <si>
    <t>College</t>
  </si>
  <si>
    <t>Health</t>
  </si>
  <si>
    <t>Hospital</t>
  </si>
  <si>
    <t>Hotel/Motel</t>
  </si>
  <si>
    <t>Manufacturing</t>
  </si>
  <si>
    <t>Other/Misc.</t>
  </si>
  <si>
    <t>Exterior Lighting</t>
  </si>
  <si>
    <r>
      <t>9W</t>
    </r>
    <r>
      <rPr>
        <sz val="7"/>
        <rFont val="Calibri"/>
        <family val="2"/>
      </rPr>
      <t>→ 25 kWh</t>
    </r>
  </si>
  <si>
    <r>
      <t>15W</t>
    </r>
    <r>
      <rPr>
        <sz val="7"/>
        <rFont val="Calibri"/>
        <family val="2"/>
      </rPr>
      <t>→ 36kWh</t>
    </r>
  </si>
  <si>
    <r>
      <t>22W</t>
    </r>
    <r>
      <rPr>
        <sz val="7"/>
        <rFont val="Calibri"/>
        <family val="2"/>
      </rPr>
      <t>→ 42 kWh</t>
    </r>
  </si>
  <si>
    <r>
      <t>29W</t>
    </r>
    <r>
      <rPr>
        <sz val="7"/>
        <rFont val="Calibri"/>
        <family val="2"/>
      </rPr>
      <t>→ 56kWh</t>
    </r>
  </si>
  <si>
    <r>
      <t>11W</t>
    </r>
    <r>
      <rPr>
        <sz val="7"/>
        <rFont val="Calibri"/>
        <family val="2"/>
      </rPr>
      <t>→ 23kWh</t>
    </r>
  </si>
  <si>
    <r>
      <t>16W</t>
    </r>
    <r>
      <rPr>
        <sz val="7"/>
        <rFont val="Calibri"/>
        <family val="2"/>
      </rPr>
      <t>→ 35 kWh</t>
    </r>
  </si>
  <si>
    <r>
      <t>23W</t>
    </r>
    <r>
      <rPr>
        <sz val="7"/>
        <rFont val="Calibri"/>
        <family val="2"/>
      </rPr>
      <t>→ 53kWh</t>
    </r>
  </si>
  <si>
    <r>
      <t>30W</t>
    </r>
    <r>
      <rPr>
        <sz val="7"/>
        <rFont val="Calibri"/>
        <family val="2"/>
      </rPr>
      <t>→ 56kWh</t>
    </r>
  </si>
  <si>
    <r>
      <t>12W</t>
    </r>
    <r>
      <rPr>
        <sz val="7"/>
        <rFont val="Calibri"/>
        <family val="2"/>
      </rPr>
      <t>→ 22kWh</t>
    </r>
  </si>
  <si>
    <r>
      <t>17W</t>
    </r>
    <r>
      <rPr>
        <sz val="7"/>
        <rFont val="Calibri"/>
        <family val="2"/>
      </rPr>
      <t>→ 34kWh</t>
    </r>
  </si>
  <si>
    <r>
      <t>24W</t>
    </r>
    <r>
      <rPr>
        <sz val="7"/>
        <rFont val="Calibri"/>
        <family val="2"/>
      </rPr>
      <t>→ 52 kWh</t>
    </r>
  </si>
  <si>
    <r>
      <t>42W</t>
    </r>
    <r>
      <rPr>
        <sz val="7"/>
        <rFont val="Calibri"/>
        <family val="2"/>
      </rPr>
      <t>→ 86kWh</t>
    </r>
  </si>
  <si>
    <r>
      <t>12W</t>
    </r>
    <r>
      <rPr>
        <sz val="7"/>
        <rFont val="Calibri"/>
        <family val="2"/>
      </rPr>
      <t>→ 21 kWh</t>
    </r>
  </si>
  <si>
    <r>
      <t>18W</t>
    </r>
    <r>
      <rPr>
        <sz val="7"/>
        <rFont val="Calibri"/>
        <family val="2"/>
      </rPr>
      <t>→ 45 kWh</t>
    </r>
  </si>
  <si>
    <r>
      <t>25W</t>
    </r>
    <r>
      <rPr>
        <sz val="7"/>
        <rFont val="Calibri"/>
        <family val="2"/>
      </rPr>
      <t>→ 52kWh</t>
    </r>
  </si>
  <si>
    <r>
      <t>14W</t>
    </r>
    <r>
      <rPr>
        <sz val="7"/>
        <rFont val="Calibri"/>
        <family val="2"/>
      </rPr>
      <t>→ 37 kWh</t>
    </r>
  </si>
  <si>
    <r>
      <t>19W</t>
    </r>
    <r>
      <rPr>
        <sz val="7"/>
        <rFont val="Calibri"/>
        <family val="2"/>
      </rPr>
      <t>→ 44kWh</t>
    </r>
  </si>
  <si>
    <r>
      <t>26W</t>
    </r>
    <r>
      <rPr>
        <sz val="7"/>
        <rFont val="Calibri"/>
        <family val="2"/>
      </rPr>
      <t>→ 51 kWh</t>
    </r>
  </si>
  <si>
    <r>
      <t>20W</t>
    </r>
    <r>
      <rPr>
        <sz val="7"/>
        <rFont val="Calibri"/>
        <family val="2"/>
      </rPr>
      <t>→ 44 kWh</t>
    </r>
  </si>
  <si>
    <r>
      <t>27W</t>
    </r>
    <r>
      <rPr>
        <sz val="7"/>
        <rFont val="Calibri"/>
        <family val="2"/>
      </rPr>
      <t>→ 58kWh</t>
    </r>
  </si>
  <si>
    <r>
      <t>21W</t>
    </r>
    <r>
      <rPr>
        <sz val="7"/>
        <rFont val="Calibri"/>
        <family val="2"/>
      </rPr>
      <t>→ 43kWh</t>
    </r>
  </si>
  <si>
    <r>
      <t>28W</t>
    </r>
    <r>
      <rPr>
        <sz val="7"/>
        <rFont val="Calibri"/>
        <family val="2"/>
      </rPr>
      <t>→ 57 kWh</t>
    </r>
  </si>
  <si>
    <r>
      <t>D</t>
    </r>
    <r>
      <rPr>
        <sz val="10"/>
        <rFont val="Times New Roman"/>
        <family val="1"/>
      </rPr>
      <t>kWh</t>
    </r>
    <r>
      <rPr>
        <i/>
        <vertAlign val="subscript"/>
        <sz val="10"/>
        <rFont val="Times New Roman"/>
        <family val="1"/>
      </rPr>
      <t xml:space="preserve"> </t>
    </r>
    <r>
      <rPr>
        <i/>
        <sz val="10"/>
        <rFont val="Times New Roman"/>
        <family val="1"/>
      </rPr>
      <t xml:space="preserve">= </t>
    </r>
    <r>
      <rPr>
        <sz val="10"/>
        <rFont val="Times New Roman"/>
        <family val="1"/>
      </rPr>
      <t xml:space="preserve">0.0586 </t>
    </r>
    <r>
      <rPr>
        <sz val="10"/>
        <rFont val="Symbol"/>
        <family val="1"/>
        <charset val="2"/>
      </rPr>
      <t>´</t>
    </r>
    <r>
      <rPr>
        <sz val="10"/>
        <rFont val="Times New Roman"/>
        <family val="1"/>
      </rPr>
      <t xml:space="preserve"> HOURS </t>
    </r>
    <r>
      <rPr>
        <sz val="10"/>
        <rFont val="Symbol"/>
        <family val="1"/>
        <charset val="2"/>
      </rPr>
      <t>´</t>
    </r>
    <r>
      <rPr>
        <sz val="10"/>
        <rFont val="Times New Roman"/>
        <family val="1"/>
      </rPr>
      <t xml:space="preserve"> ISR </t>
    </r>
    <r>
      <rPr>
        <sz val="10"/>
        <rFont val="Symbol"/>
        <family val="1"/>
        <charset val="2"/>
      </rPr>
      <t>´</t>
    </r>
    <r>
      <rPr>
        <sz val="10"/>
        <rFont val="Times New Roman"/>
        <family val="1"/>
      </rPr>
      <t xml:space="preserve"> WHF</t>
    </r>
    <r>
      <rPr>
        <vertAlign val="subscript"/>
        <sz val="10"/>
        <rFont val="Times New Roman"/>
        <family val="1"/>
      </rPr>
      <t>e</t>
    </r>
  </si>
  <si>
    <r>
      <t>D</t>
    </r>
    <r>
      <rPr>
        <sz val="10"/>
        <rFont val="Times New Roman"/>
        <family val="1"/>
      </rPr>
      <t>kW</t>
    </r>
    <r>
      <rPr>
        <i/>
        <vertAlign val="subscript"/>
        <sz val="10"/>
        <rFont val="Times New Roman"/>
        <family val="1"/>
      </rPr>
      <t xml:space="preserve"> </t>
    </r>
    <r>
      <rPr>
        <i/>
        <sz val="10"/>
        <rFont val="Times New Roman"/>
        <family val="1"/>
      </rPr>
      <t xml:space="preserve">= </t>
    </r>
    <r>
      <rPr>
        <sz val="10"/>
        <rFont val="Times New Roman"/>
        <family val="1"/>
      </rPr>
      <t xml:space="preserve">0.0586 </t>
    </r>
    <r>
      <rPr>
        <sz val="10"/>
        <rFont val="Symbol"/>
        <family val="1"/>
        <charset val="2"/>
      </rPr>
      <t>´</t>
    </r>
    <r>
      <rPr>
        <sz val="10"/>
        <rFont val="Times New Roman"/>
        <family val="1"/>
      </rPr>
      <t xml:space="preserve"> ISR </t>
    </r>
    <r>
      <rPr>
        <sz val="10"/>
        <rFont val="Symbol"/>
        <family val="1"/>
        <charset val="2"/>
      </rPr>
      <t>´</t>
    </r>
    <r>
      <rPr>
        <sz val="10"/>
        <rFont val="Times New Roman"/>
        <family val="1"/>
      </rPr>
      <t xml:space="preserve"> WHF</t>
    </r>
    <r>
      <rPr>
        <vertAlign val="subscript"/>
        <sz val="10"/>
        <rFont val="Times New Roman"/>
        <family val="1"/>
      </rPr>
      <t>d</t>
    </r>
  </si>
  <si>
    <t>2005 Market Description</t>
  </si>
  <si>
    <t>Total</t>
  </si>
  <si>
    <t>Energy Efficiency Measures (EEM)</t>
  </si>
  <si>
    <t>EEM Number</t>
  </si>
  <si>
    <t>Description</t>
  </si>
  <si>
    <t>Current Penetration Rate
%</t>
  </si>
  <si>
    <t>Achievable Potential
%</t>
  </si>
  <si>
    <t>Technical Potential
(1-Current Penetration)
%</t>
  </si>
  <si>
    <r>
      <t>Annual EUI
(kWh/ft</t>
    </r>
    <r>
      <rPr>
        <b/>
        <vertAlign val="superscript"/>
        <sz val="10"/>
        <rFont val="Arial"/>
        <family val="2"/>
      </rPr>
      <t>2</t>
    </r>
    <r>
      <rPr>
        <b/>
        <sz val="10"/>
        <rFont val="Arial"/>
        <family val="2"/>
      </rPr>
      <t>)</t>
    </r>
  </si>
  <si>
    <r>
      <t>Peak Coincident Demand
(W/ft</t>
    </r>
    <r>
      <rPr>
        <b/>
        <vertAlign val="superscript"/>
        <sz val="10"/>
        <rFont val="Arial"/>
        <family val="2"/>
      </rPr>
      <t>2</t>
    </r>
    <r>
      <rPr>
        <b/>
        <sz val="10"/>
        <rFont val="Arial"/>
        <family val="2"/>
      </rPr>
      <t>)</t>
    </r>
  </si>
  <si>
    <t>1995 Market Data, EUI estimates, and Peak Coincident Demand estimates obtained from End-Use Data Acquisition Project Final Report, November 1997</t>
  </si>
  <si>
    <t>Number of Units Per Average Size Facility</t>
  </si>
  <si>
    <t>Demand</t>
  </si>
  <si>
    <t>Savings</t>
  </si>
  <si>
    <t>(KW)</t>
  </si>
  <si>
    <t>(KWh)</t>
  </si>
  <si>
    <t>EEM</t>
  </si>
  <si>
    <t>Average Demand Savings Per Unit
(kW)</t>
  </si>
  <si>
    <t>Average Off-Peak Energy Savings Per Unit
(kWh)</t>
  </si>
  <si>
    <t>Technical Potential Demand Savings
(kW)</t>
  </si>
  <si>
    <t>Technical Potential Off-Peak Energy Savings
(kWh)</t>
  </si>
  <si>
    <t>Technical Potential</t>
  </si>
  <si>
    <t>Subtotal</t>
  </si>
  <si>
    <t>Achievable Potential</t>
  </si>
  <si>
    <t>Achievable Potential Demand Savings
(kW)</t>
  </si>
  <si>
    <t>Achievable Potential Off-Peak Energy Savings
(kWh)</t>
  </si>
  <si>
    <t>Per Unit</t>
  </si>
  <si>
    <t>Measure Life
(Years)</t>
  </si>
  <si>
    <t>Measure</t>
  </si>
  <si>
    <t>Life</t>
  </si>
  <si>
    <t>Years</t>
  </si>
  <si>
    <t>Achievable Potential Demand Savings (kW)</t>
  </si>
  <si>
    <t>Program Induced Conservation Rate (in addition to equipment replacment)
(%)</t>
  </si>
  <si>
    <t>Equations</t>
  </si>
  <si>
    <t>Name</t>
  </si>
  <si>
    <r>
      <t>2006 Size
(Million ft</t>
    </r>
    <r>
      <rPr>
        <b/>
        <vertAlign val="superscript"/>
        <sz val="10"/>
        <rFont val="Arial"/>
        <family val="2"/>
      </rPr>
      <t>2</t>
    </r>
    <r>
      <rPr>
        <b/>
        <sz val="10"/>
        <rFont val="Arial"/>
        <family val="2"/>
      </rPr>
      <t>)</t>
    </r>
  </si>
  <si>
    <t>2006 Number of Facilities</t>
  </si>
  <si>
    <r>
      <t>2020 Size
(Million ft</t>
    </r>
    <r>
      <rPr>
        <b/>
        <vertAlign val="superscript"/>
        <sz val="10"/>
        <rFont val="Arial"/>
        <family val="2"/>
      </rPr>
      <t>2</t>
    </r>
    <r>
      <rPr>
        <b/>
        <sz val="10"/>
        <rFont val="Arial"/>
        <family val="2"/>
      </rPr>
      <t>)</t>
    </r>
  </si>
  <si>
    <t>2020 Number of Facilities</t>
  </si>
  <si>
    <r>
      <t>2020 Average ft</t>
    </r>
    <r>
      <rPr>
        <b/>
        <vertAlign val="superscript"/>
        <sz val="10"/>
        <rFont val="Arial"/>
        <family val="2"/>
      </rPr>
      <t>2</t>
    </r>
    <r>
      <rPr>
        <b/>
        <sz val="10"/>
        <rFont val="Arial"/>
        <family val="2"/>
      </rPr>
      <t xml:space="preserve"> Per Facility</t>
    </r>
  </si>
  <si>
    <t>Total 2020 Annual Energy Use
(kWh)</t>
  </si>
  <si>
    <t>Total 2020 Peak Coincident Demand (kW)</t>
  </si>
  <si>
    <t>Miscellaneous - Technical and Achievable Potential Estimates</t>
  </si>
  <si>
    <t>Key Inputs</t>
  </si>
  <si>
    <t>15 Year Total</t>
  </si>
  <si>
    <t>BB Check</t>
  </si>
  <si>
    <t>Measure Category</t>
  </si>
  <si>
    <t>Lighting</t>
  </si>
  <si>
    <t>Cooling/Heat Pumps</t>
  </si>
  <si>
    <t>Refrigeration</t>
  </si>
  <si>
    <t>Water Heating</t>
  </si>
  <si>
    <t>Clothes/Dish Washers</t>
  </si>
  <si>
    <t>Envelope/Miscellaneous</t>
  </si>
  <si>
    <t>Estimated 2006 - 2020 annual growth rate</t>
  </si>
  <si>
    <t>Source: MR Measures Characterization.xls (from RH)</t>
  </si>
  <si>
    <t>Technical Potential Energy Savings
(kWh)</t>
  </si>
  <si>
    <t>Achievable Potential Energy Savings
(kWh)</t>
  </si>
  <si>
    <t>Average Energy Savings Per Unit
(kWh)</t>
  </si>
  <si>
    <t>Energy</t>
  </si>
  <si>
    <t>Achievable Potential Energy Savings (kWh)</t>
  </si>
  <si>
    <t>End</t>
  </si>
  <si>
    <t>Use</t>
  </si>
  <si>
    <t>Category</t>
  </si>
  <si>
    <t>Saturation</t>
  </si>
  <si>
    <t>Rate</t>
  </si>
  <si>
    <t>Cost ($/kW)</t>
  </si>
  <si>
    <t>DLC</t>
  </si>
  <si>
    <t>Cool roofs</t>
  </si>
  <si>
    <t>$/kW</t>
  </si>
  <si>
    <t>Load Management/DLC</t>
  </si>
  <si>
    <t>Cooling/Heat pumps</t>
  </si>
  <si>
    <t>High Efficiency Windows, Low-e; U=0.35</t>
  </si>
  <si>
    <t>ENERGY STAR or better Air Source Heat Pump, SEER=18; HSPF=9.4</t>
  </si>
  <si>
    <t>ENERGY STAR or better Air Source Heat Pump, SEER=14; HSPF=8.5</t>
  </si>
  <si>
    <t>Dryer</t>
  </si>
  <si>
    <t>High Efficiency Dryer With Moisture Sensor</t>
  </si>
  <si>
    <t>Freezer</t>
  </si>
  <si>
    <t>ENERGY STAR or better Freezer</t>
  </si>
  <si>
    <t>Heat_Pump</t>
  </si>
  <si>
    <t>Geothermal Heat Pump (4 Ton, w/ water heating)</t>
  </si>
  <si>
    <t>Lighting_Bulbs</t>
  </si>
  <si>
    <t>CFL, 6.0 hr/day</t>
  </si>
  <si>
    <t>CFL, 0.5 hr/day</t>
  </si>
  <si>
    <t>CFL, 2.5 hr/day</t>
  </si>
  <si>
    <t>Lighting_Fixtures</t>
  </si>
  <si>
    <t>CFL Fixtures, 0.5 hr/day</t>
  </si>
  <si>
    <t>CFL Fixtures, 2.5 hr/day</t>
  </si>
  <si>
    <t>CFL Fixtures, 6.0 hr/day</t>
  </si>
  <si>
    <t>Refrigerator</t>
  </si>
  <si>
    <t>ENERGY STAR or better Refrigerator</t>
  </si>
  <si>
    <t>Room_AC</t>
  </si>
  <si>
    <t>ENERGY STAR or better Room AC, &lt; 20 kBtu, EER 10.7</t>
  </si>
  <si>
    <t>Water_Heat</t>
  </si>
  <si>
    <t>HE Water Heater (EF=0.95)</t>
  </si>
  <si>
    <t>Energy Star Dish Washer (EF=0.58)</t>
  </si>
  <si>
    <t>Heat Pump Water Heater (EF=2.9)</t>
  </si>
  <si>
    <t>Tankless Water Heater (EF=0.98)</t>
  </si>
  <si>
    <t>Horizontal-Axis Clothes Washer: Energy Star CW (EF=2.5)</t>
  </si>
  <si>
    <t>Energy Star Vertical-Axis Clothes Washer: SEHA CW Tier 2 (EF=3.25)</t>
  </si>
  <si>
    <t>Faucet Aerators</t>
  </si>
  <si>
    <t>Direct Load Control</t>
  </si>
  <si>
    <t>WH Cycling Switch</t>
  </si>
  <si>
    <t>Program Costs -   Incentive</t>
  </si>
  <si>
    <t>Program Costs - Admin</t>
  </si>
  <si>
    <t>Achievable Potential Energy Savings (MWh)</t>
  </si>
  <si>
    <t>Cooling/Heat Pumps-Low</t>
  </si>
  <si>
    <t>AirCompressor-High</t>
  </si>
  <si>
    <t>AirCompressor-Low</t>
  </si>
  <si>
    <t>Water Heater - High</t>
  </si>
  <si>
    <t>Water Heater - Low</t>
  </si>
  <si>
    <t>Envelope</t>
  </si>
  <si>
    <t>Participant Cost</t>
  </si>
  <si>
    <t>Diagnostic repair, testing, maintenance</t>
  </si>
  <si>
    <t>LED nightlights</t>
  </si>
  <si>
    <t>LED holiday lights</t>
  </si>
  <si>
    <t>Comprehensive air shell sealing</t>
  </si>
  <si>
    <t>Remove secondary refigerator/freezer</t>
  </si>
  <si>
    <t>Oven</t>
  </si>
  <si>
    <t>Convection oven</t>
  </si>
  <si>
    <t>Power strips with occupancy sensors</t>
  </si>
  <si>
    <t>Power_Strips</t>
  </si>
  <si>
    <t>Low flow showerheads</t>
  </si>
  <si>
    <t>Hot water pipe insulation</t>
  </si>
  <si>
    <t>Hot water set-back thermostat</t>
  </si>
  <si>
    <t>Drain water heat recovery</t>
  </si>
  <si>
    <t>Ceiling insulation (R-20 improved to R-40)</t>
  </si>
  <si>
    <t>Ceiling insulation (R-0 improved to R-20)</t>
  </si>
  <si>
    <t>Floor insulation (R-0 to R-20)</t>
  </si>
  <si>
    <t>Wall insulation (R-0 to R-20)</t>
  </si>
  <si>
    <t>delete</t>
  </si>
  <si>
    <t>Program Cost Data (Source: RH Analysis)</t>
  </si>
  <si>
    <t>Solar Assisted Water Heating</t>
  </si>
  <si>
    <t>HVAC_Control</t>
  </si>
  <si>
    <t>Duct Insulation and Sealing</t>
  </si>
  <si>
    <t>Programmable thermostat</t>
  </si>
  <si>
    <t>Incremental</t>
  </si>
  <si>
    <t>Cost</t>
  </si>
  <si>
    <t>Full</t>
  </si>
  <si>
    <t>Refrigeration and Miscellaneous</t>
  </si>
  <si>
    <t>Heating/HVAC</t>
  </si>
  <si>
    <t>Line Loss Factor</t>
  </si>
  <si>
    <t>Wint. Demand</t>
  </si>
  <si>
    <t>Summ. Demand</t>
  </si>
  <si>
    <t>AC</t>
  </si>
  <si>
    <t>Central AC SEER 14.0</t>
  </si>
  <si>
    <t>DHW insulation blanket</t>
  </si>
  <si>
    <t>2008 Number of Accounts</t>
  </si>
  <si>
    <r>
      <t>2008 Size
(Million ft</t>
    </r>
    <r>
      <rPr>
        <b/>
        <vertAlign val="superscript"/>
        <sz val="10"/>
        <rFont val="Arial"/>
        <family val="2"/>
      </rPr>
      <t>2</t>
    </r>
    <r>
      <rPr>
        <b/>
        <sz val="10"/>
        <rFont val="Arial"/>
        <family val="2"/>
      </rPr>
      <t>)</t>
    </r>
  </si>
  <si>
    <t>Total 2008 Annual Energy Use
(kWh)</t>
  </si>
  <si>
    <t>Total 2008 Peak Coincident Demand (kW)</t>
  </si>
  <si>
    <r>
      <t>2017 Size
(Million ft</t>
    </r>
    <r>
      <rPr>
        <b/>
        <vertAlign val="superscript"/>
        <sz val="10"/>
        <rFont val="Arial"/>
        <family val="2"/>
      </rPr>
      <t>2</t>
    </r>
    <r>
      <rPr>
        <b/>
        <sz val="10"/>
        <rFont val="Arial"/>
        <family val="2"/>
      </rPr>
      <t>)</t>
    </r>
  </si>
  <si>
    <t>2017 Number of Accounts</t>
  </si>
  <si>
    <r>
      <t>2017 Average ft</t>
    </r>
    <r>
      <rPr>
        <b/>
        <vertAlign val="superscript"/>
        <sz val="10"/>
        <rFont val="Arial"/>
        <family val="2"/>
      </rPr>
      <t>2</t>
    </r>
    <r>
      <rPr>
        <b/>
        <sz val="10"/>
        <rFont val="Arial"/>
        <family val="2"/>
      </rPr>
      <t xml:space="preserve"> Per Facility</t>
    </r>
  </si>
  <si>
    <t xml:space="preserve">AC/HP cycling switch/thermostat </t>
  </si>
  <si>
    <t>CPP</t>
  </si>
  <si>
    <r>
      <t xml:space="preserve">Average </t>
    </r>
    <r>
      <rPr>
        <b/>
        <sz val="10"/>
        <color indexed="10"/>
        <rFont val="Arial"/>
        <family val="2"/>
      </rPr>
      <t>Winter</t>
    </r>
    <r>
      <rPr>
        <b/>
        <sz val="10"/>
        <rFont val="Arial"/>
        <family val="2"/>
      </rPr>
      <t xml:space="preserve"> Demand Savings Per Unit
(kW)</t>
    </r>
  </si>
  <si>
    <r>
      <t xml:space="preserve">Average </t>
    </r>
    <r>
      <rPr>
        <b/>
        <sz val="10"/>
        <color indexed="10"/>
        <rFont val="Arial"/>
        <family val="2"/>
      </rPr>
      <t>Summer</t>
    </r>
    <r>
      <rPr>
        <b/>
        <sz val="10"/>
        <rFont val="Arial"/>
        <family val="2"/>
      </rPr>
      <t xml:space="preserve"> Demand Savings Per Unit
(kW)</t>
    </r>
  </si>
  <si>
    <t xml:space="preserve"> </t>
  </si>
  <si>
    <t>Measures for Door to Door Approach</t>
  </si>
  <si>
    <t>Annual target homes selected in cooperation with the City of Jacksonville's (COJ) Department of Housing and Neighborhoods</t>
  </si>
  <si>
    <t>kW Savings/Measure
(Connected load)</t>
  </si>
  <si>
    <t>HVAC filters</t>
  </si>
  <si>
    <t>Peak (kW)</t>
  </si>
  <si>
    <t>Blitz</t>
  </si>
  <si>
    <t>NHO Kits</t>
  </si>
  <si>
    <t>Measures in New Home Owner Kits</t>
  </si>
  <si>
    <t>Percent</t>
  </si>
  <si>
    <t>Summary</t>
  </si>
  <si>
    <t>Savings estimates performed by Summit Blue Consulting now known as Navigant Consulting</t>
  </si>
  <si>
    <t>Area in gray represent measures that contribute to other previously listed measures or their savings cannot be definitively quantified.</t>
  </si>
  <si>
    <t>Energy (kWh)</t>
  </si>
  <si>
    <t>% kWh</t>
  </si>
  <si>
    <t>Weighted kWh</t>
  </si>
  <si>
    <t>CFL</t>
  </si>
  <si>
    <t>LED NL</t>
  </si>
  <si>
    <t>Shwr Head</t>
  </si>
  <si>
    <t>Kitchn Aer</t>
  </si>
  <si>
    <t>Bath Aer</t>
  </si>
  <si>
    <t>Air Sealng</t>
  </si>
  <si>
    <t>WH Temp</t>
  </si>
  <si>
    <t>Wrap WH</t>
  </si>
  <si>
    <t>Wrap Pipe</t>
  </si>
  <si>
    <t>Duct Seal</t>
  </si>
  <si>
    <t>kWh</t>
  </si>
  <si>
    <t>% kW</t>
  </si>
  <si>
    <t>Weighted kW</t>
  </si>
  <si>
    <t>Quantities</t>
  </si>
  <si>
    <t>Kits</t>
  </si>
  <si>
    <t>CFL/LED's</t>
  </si>
  <si>
    <t>Phase 1 - Door to Door Approach (Blitz)</t>
  </si>
  <si>
    <t>Phase 2 - New Home Owner Kit (NHO)</t>
  </si>
  <si>
    <t>2 Tubes clear silicone acrylic caulk</t>
  </si>
  <si>
    <t>1 Caulk gun &amp; 2 Tubes clear silicone acrylic caulk</t>
  </si>
  <si>
    <t>2 Bathroom faucet aerators</t>
  </si>
  <si>
    <t>1 Kitchen faucet aerator with on/off lever</t>
  </si>
  <si>
    <t>1 “Earth” Low Flow Showerhead</t>
  </si>
  <si>
    <t>4 CFL/LED's</t>
  </si>
  <si>
    <t>Note 2. Kits Measures include:</t>
  </si>
  <si>
    <t>2 toilet tank flappers installed</t>
  </si>
  <si>
    <t>2 Refrigerator thermometers</t>
  </si>
  <si>
    <t>6 HVAC filters</t>
  </si>
  <si>
    <t>2 Low flow showerhead</t>
  </si>
  <si>
    <t>1 Kitchen Aerator with on/off lever</t>
  </si>
  <si>
    <t>6 CFL/LED's</t>
  </si>
  <si>
    <t>Note 1. Blitz Measures include:</t>
  </si>
  <si>
    <t>C/I</t>
  </si>
  <si>
    <t>Solar Net Metering</t>
  </si>
  <si>
    <t>Audits</t>
  </si>
  <si>
    <r>
      <t>Kits</t>
    </r>
    <r>
      <rPr>
        <vertAlign val="superscript"/>
        <sz val="11"/>
        <color theme="1"/>
        <rFont val="Calibri"/>
        <family val="2"/>
        <scheme val="minor"/>
      </rPr>
      <t>2</t>
    </r>
  </si>
  <si>
    <r>
      <t>Blitz</t>
    </r>
    <r>
      <rPr>
        <vertAlign val="superscript"/>
        <sz val="11"/>
        <color theme="1"/>
        <rFont val="Calibri"/>
        <family val="2"/>
        <scheme val="minor"/>
      </rPr>
      <t>1</t>
    </r>
  </si>
  <si>
    <t>RES</t>
  </si>
  <si>
    <t>Neighborhood Energy Efficiency</t>
  </si>
  <si>
    <t>Solar Water Heating</t>
  </si>
  <si>
    <t>Res. or C/I</t>
  </si>
  <si>
    <t>JEA FEECA Program</t>
  </si>
  <si>
    <t>Annual Number of Participants/Measures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</si>
</sst>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4">
    <numFmt numFmtId="6" formatCode="&quot;$&quot;#,##0_);[Red]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"/>
    <numFmt numFmtId="165" formatCode="0.0%"/>
    <numFmt numFmtId="166" formatCode="_(* #,##0_);_(* \(#,##0\);_(* &quot;-&quot;??_);_(@_)"/>
    <numFmt numFmtId="167" formatCode="#,##0.0"/>
    <numFmt numFmtId="168" formatCode="0.000"/>
    <numFmt numFmtId="169" formatCode="0.0000"/>
    <numFmt numFmtId="170" formatCode="&quot;$&quot;#,##0"/>
    <numFmt numFmtId="171" formatCode="&quot;$&quot;#,##0.0"/>
    <numFmt numFmtId="172" formatCode="&quot;$&quot;#,##0.00"/>
    <numFmt numFmtId="173" formatCode="#,##0.000"/>
    <numFmt numFmtId="174" formatCode="&quot;$&quot;#,##0.0000"/>
    <numFmt numFmtId="175" formatCode="_(* #,##0.000_);_(* \(#,##0.000\);_(* &quot;-&quot;??_);_(@_)"/>
    <numFmt numFmtId="176" formatCode="#,##0.00\ &quot;Pts&quot;;\-#,##0.00\ &quot;Pts&quot;"/>
    <numFmt numFmtId="177" formatCode="_-* #,##0.0_-;\-* #,##0.0_-;_-* &quot;-&quot;??_-;_-@_-"/>
    <numFmt numFmtId="178" formatCode="#,##0.00&quot; $&quot;;\-#,##0.00&quot; $&quot;"/>
    <numFmt numFmtId="179" formatCode="____@"/>
    <numFmt numFmtId="180" formatCode="________@"/>
    <numFmt numFmtId="181" formatCode="____________@"/>
    <numFmt numFmtId="182" formatCode="________________@"/>
    <numFmt numFmtId="183" formatCode="_-* #,##0\ &quot;Pts&quot;_-;\-* #,##0\ &quot;Pts&quot;_-;_-* &quot;-&quot;\ &quot;Pts&quot;_-;_-@_-"/>
  </numFmts>
  <fonts count="52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sz val="10"/>
      <name val="Arial"/>
      <family val="2"/>
    </font>
    <font>
      <sz val="10"/>
      <color indexed="9"/>
      <name val="Arial"/>
      <family val="2"/>
    </font>
    <font>
      <sz val="24"/>
      <color indexed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color indexed="10"/>
      <name val="Arial"/>
      <family val="2"/>
    </font>
    <font>
      <b/>
      <sz val="16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0"/>
      <color indexed="10"/>
      <name val="Arial"/>
      <family val="2"/>
    </font>
    <font>
      <sz val="10"/>
      <color indexed="17"/>
      <name val="Arial"/>
      <family val="2"/>
    </font>
    <font>
      <sz val="10"/>
      <color indexed="18"/>
      <name val="Arial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8"/>
      <name val="Arial"/>
      <family val="2"/>
    </font>
    <font>
      <sz val="11"/>
      <name val="??"/>
      <family val="3"/>
      <charset val="129"/>
    </font>
    <font>
      <sz val="8"/>
      <name val="Arial"/>
      <family val="2"/>
    </font>
    <font>
      <b/>
      <u/>
      <sz val="11"/>
      <color indexed="37"/>
      <name val="Arial"/>
      <family val="2"/>
    </font>
    <font>
      <b/>
      <sz val="12"/>
      <name val="Arial"/>
      <family val="2"/>
    </font>
    <font>
      <u/>
      <sz val="10"/>
      <name val="Times New Roman"/>
      <family val="1"/>
    </font>
    <font>
      <sz val="10"/>
      <color indexed="12"/>
      <name val="Arial"/>
      <family val="2"/>
    </font>
    <font>
      <sz val="10"/>
      <color indexed="8"/>
      <name val="Times New Roman"/>
      <family val="1"/>
    </font>
    <font>
      <sz val="7"/>
      <name val="Small Fonts"/>
      <family val="2"/>
    </font>
    <font>
      <sz val="10"/>
      <name val="Times New Roman"/>
      <family val="1"/>
    </font>
    <font>
      <sz val="8"/>
      <color indexed="12"/>
      <name val="Arial"/>
      <family val="2"/>
    </font>
    <font>
      <b/>
      <sz val="8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sz val="7"/>
      <color indexed="8"/>
      <name val="Arial"/>
      <family val="2"/>
    </font>
    <font>
      <sz val="7"/>
      <name val="Calibri"/>
      <family val="2"/>
    </font>
    <font>
      <i/>
      <vertAlign val="subscript"/>
      <sz val="10"/>
      <name val="Times New Roman"/>
      <family val="1"/>
    </font>
    <font>
      <i/>
      <sz val="10"/>
      <name val="Times New Roman"/>
      <family val="1"/>
    </font>
    <font>
      <sz val="10"/>
      <name val="Symbol"/>
      <family val="1"/>
      <charset val="2"/>
    </font>
    <font>
      <vertAlign val="subscript"/>
      <sz val="10"/>
      <name val="Times New Roman"/>
      <family val="1"/>
    </font>
    <font>
      <sz val="11"/>
      <color indexed="8"/>
      <name val="Times New Roman"/>
      <family val="1"/>
    </font>
    <font>
      <b/>
      <sz val="8"/>
      <color indexed="8"/>
      <name val="Arial"/>
      <family val="2"/>
    </font>
    <font>
      <b/>
      <sz val="8"/>
      <name val="Times New Roman"/>
      <family val="1"/>
    </font>
    <font>
      <sz val="8"/>
      <name val="Times New Roman"/>
      <family val="1"/>
    </font>
    <font>
      <sz val="10"/>
      <color indexed="81"/>
      <name val="Tahoma"/>
      <family val="2"/>
    </font>
    <font>
      <b/>
      <sz val="10"/>
      <color indexed="81"/>
      <name val="Tahoma"/>
      <family val="2"/>
    </font>
    <font>
      <sz val="12"/>
      <name val="Times New Roman"/>
      <family val="1"/>
    </font>
    <font>
      <b/>
      <sz val="12"/>
      <color indexed="8"/>
      <name val="Arial"/>
      <family val="2"/>
    </font>
    <font>
      <strike/>
      <sz val="11"/>
      <color indexed="8"/>
      <name val="Calibri"/>
      <family val="2"/>
    </font>
    <font>
      <sz val="11"/>
      <name val="Calibri"/>
      <family val="2"/>
    </font>
    <font>
      <sz val="11"/>
      <color theme="1"/>
      <name val="Calibri"/>
      <family val="2"/>
    </font>
    <font>
      <sz val="12"/>
      <color theme="1"/>
      <name val="Times New Roman"/>
      <family val="1"/>
    </font>
    <font>
      <vertAlign val="superscript"/>
      <sz val="11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0" tint="-0.249977111117893"/>
        <bgColor indexed="64"/>
      </patternFill>
    </fill>
  </fills>
  <borders count="51">
    <border>
      <left/>
      <right/>
      <top/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8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5">
    <xf numFmtId="0" fontId="0" fillId="0" borderId="0"/>
    <xf numFmtId="176" fontId="2" fillId="2" borderId="1">
      <alignment horizontal="center" vertical="center"/>
    </xf>
    <xf numFmtId="4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6" fontId="20" fillId="0" borderId="0">
      <protection locked="0"/>
    </xf>
    <xf numFmtId="177" fontId="2" fillId="0" borderId="0">
      <protection locked="0"/>
    </xf>
    <xf numFmtId="38" fontId="21" fillId="3" borderId="0" applyNumberFormat="0" applyBorder="0" applyAlignment="0" applyProtection="0"/>
    <xf numFmtId="0" fontId="22" fillId="0" borderId="0" applyNumberFormat="0" applyFill="0" applyBorder="0" applyAlignment="0" applyProtection="0"/>
    <xf numFmtId="0" fontId="23" fillId="0" borderId="2" applyNumberFormat="0" applyAlignment="0" applyProtection="0">
      <alignment horizontal="left" vertical="center"/>
    </xf>
    <xf numFmtId="0" fontId="23" fillId="0" borderId="3">
      <alignment horizontal="left" vertical="center"/>
    </xf>
    <xf numFmtId="17" fontId="24" fillId="0" borderId="0">
      <alignment horizontal="center"/>
    </xf>
    <xf numFmtId="178" fontId="2" fillId="0" borderId="0">
      <protection locked="0"/>
    </xf>
    <xf numFmtId="178" fontId="2" fillId="0" borderId="0">
      <protection locked="0"/>
    </xf>
    <xf numFmtId="0" fontId="25" fillId="0" borderId="4" applyNumberFormat="0" applyFill="0" applyAlignment="0" applyProtection="0"/>
    <xf numFmtId="179" fontId="26" fillId="0" borderId="0"/>
    <xf numFmtId="180" fontId="26" fillId="0" borderId="0"/>
    <xf numFmtId="181" fontId="26" fillId="0" borderId="0"/>
    <xf numFmtId="182" fontId="26" fillId="0" borderId="0"/>
    <xf numFmtId="10" fontId="21" fillId="4" borderId="5" applyNumberFormat="0" applyBorder="0" applyAlignment="0" applyProtection="0"/>
    <xf numFmtId="37" fontId="27" fillId="0" borderId="0"/>
    <xf numFmtId="183" fontId="2" fillId="0" borderId="0"/>
    <xf numFmtId="0" fontId="2" fillId="0" borderId="0"/>
    <xf numFmtId="0" fontId="5" fillId="0" borderId="0"/>
    <xf numFmtId="0" fontId="17" fillId="0" borderId="0"/>
    <xf numFmtId="0" fontId="17" fillId="0" borderId="0"/>
    <xf numFmtId="9" fontId="2" fillId="0" borderId="0" applyFont="0" applyFill="0" applyBorder="0" applyAlignment="0" applyProtection="0"/>
    <xf numFmtId="165" fontId="28" fillId="0" borderId="0"/>
    <xf numFmtId="10" fontId="2" fillId="0" borderId="0" applyFont="0" applyFill="0" applyBorder="0" applyAlignment="0" applyProtection="0"/>
    <xf numFmtId="37" fontId="21" fillId="5" borderId="0" applyNumberFormat="0" applyBorder="0" applyAlignment="0" applyProtection="0"/>
    <xf numFmtId="37" fontId="19" fillId="0" borderId="0"/>
    <xf numFmtId="3" fontId="29" fillId="0" borderId="4" applyProtection="0"/>
    <xf numFmtId="0" fontId="1" fillId="0" borderId="0"/>
    <xf numFmtId="43" fontId="1" fillId="0" borderId="0" applyFont="0" applyFill="0" applyBorder="0" applyAlignment="0" applyProtection="0"/>
  </cellStyleXfs>
  <cellXfs count="502">
    <xf numFmtId="0" fontId="0" fillId="0" borderId="0" xfId="0"/>
    <xf numFmtId="0" fontId="3" fillId="3" borderId="6" xfId="0" quotePrefix="1" applyFont="1" applyFill="1" applyBorder="1" applyAlignment="1">
      <alignment horizontal="center" wrapText="1"/>
    </xf>
    <xf numFmtId="0" fontId="3" fillId="3" borderId="7" xfId="0" quotePrefix="1" applyFont="1" applyFill="1" applyBorder="1" applyAlignment="1">
      <alignment horizontal="center" wrapText="1"/>
    </xf>
    <xf numFmtId="0" fontId="3" fillId="3" borderId="7" xfId="0" applyFont="1" applyFill="1" applyBorder="1" applyAlignment="1">
      <alignment horizontal="center" wrapText="1"/>
    </xf>
    <xf numFmtId="0" fontId="3" fillId="3" borderId="8" xfId="0" quotePrefix="1" applyFont="1" applyFill="1" applyBorder="1" applyAlignment="1">
      <alignment horizontal="center" wrapText="1"/>
    </xf>
    <xf numFmtId="164" fontId="0" fillId="0" borderId="9" xfId="0" applyNumberFormat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3" fontId="0" fillId="0" borderId="0" xfId="0" applyNumberFormat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3" fontId="0" fillId="0" borderId="10" xfId="0" applyNumberFormat="1" applyBorder="1" applyAlignment="1">
      <alignment horizontal="center"/>
    </xf>
    <xf numFmtId="0" fontId="3" fillId="3" borderId="6" xfId="0" applyFont="1" applyFill="1" applyBorder="1" applyAlignment="1">
      <alignment horizontal="center" wrapText="1"/>
    </xf>
    <xf numFmtId="0" fontId="0" fillId="0" borderId="0" xfId="0" applyBorder="1"/>
    <xf numFmtId="0" fontId="0" fillId="0" borderId="0" xfId="0" quotePrefix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3" fillId="3" borderId="8" xfId="0" applyFont="1" applyFill="1" applyBorder="1" applyAlignment="1">
      <alignment horizontal="center" wrapText="1"/>
    </xf>
    <xf numFmtId="0" fontId="5" fillId="0" borderId="9" xfId="0" applyFont="1" applyBorder="1" applyAlignment="1">
      <alignment horizontal="center"/>
    </xf>
    <xf numFmtId="0" fontId="3" fillId="3" borderId="11" xfId="0" applyFont="1" applyFill="1" applyBorder="1" applyAlignment="1"/>
    <xf numFmtId="0" fontId="3" fillId="3" borderId="12" xfId="0" quotePrefix="1" applyFont="1" applyFill="1" applyBorder="1" applyAlignment="1">
      <alignment horizontal="center" wrapText="1"/>
    </xf>
    <xf numFmtId="0" fontId="5" fillId="0" borderId="0" xfId="0" applyFont="1" applyBorder="1"/>
    <xf numFmtId="167" fontId="5" fillId="0" borderId="10" xfId="0" applyNumberFormat="1" applyFont="1" applyBorder="1" applyAlignment="1">
      <alignment horizontal="center"/>
    </xf>
    <xf numFmtId="167" fontId="5" fillId="0" borderId="0" xfId="0" applyNumberFormat="1" applyFont="1" applyBorder="1" applyAlignment="1">
      <alignment horizontal="center"/>
    </xf>
    <xf numFmtId="167" fontId="0" fillId="0" borderId="0" xfId="0" applyNumberFormat="1" applyBorder="1" applyAlignment="1">
      <alignment horizontal="center"/>
    </xf>
    <xf numFmtId="0" fontId="0" fillId="5" borderId="0" xfId="0" applyFill="1" applyBorder="1"/>
    <xf numFmtId="0" fontId="0" fillId="5" borderId="0" xfId="0" applyFill="1" applyBorder="1" applyAlignment="1">
      <alignment horizontal="center"/>
    </xf>
    <xf numFmtId="164" fontId="0" fillId="5" borderId="0" xfId="0" applyNumberFormat="1" applyFill="1" applyBorder="1" applyAlignment="1">
      <alignment horizontal="center"/>
    </xf>
    <xf numFmtId="167" fontId="0" fillId="5" borderId="0" xfId="0" applyNumberFormat="1" applyFill="1" applyBorder="1" applyAlignment="1">
      <alignment horizontal="center"/>
    </xf>
    <xf numFmtId="9" fontId="0" fillId="0" borderId="9" xfId="0" applyNumberFormat="1" applyBorder="1" applyAlignment="1">
      <alignment horizontal="center"/>
    </xf>
    <xf numFmtId="167" fontId="0" fillId="0" borderId="10" xfId="0" applyNumberFormat="1" applyBorder="1" applyAlignment="1">
      <alignment horizontal="center"/>
    </xf>
    <xf numFmtId="3" fontId="6" fillId="0" borderId="0" xfId="0" applyNumberFormat="1" applyFont="1" applyBorder="1" applyAlignment="1">
      <alignment horizontal="center"/>
    </xf>
    <xf numFmtId="0" fontId="0" fillId="3" borderId="13" xfId="0" applyFill="1" applyBorder="1" applyAlignment="1">
      <alignment horizontal="right"/>
    </xf>
    <xf numFmtId="164" fontId="0" fillId="3" borderId="14" xfId="0" applyNumberFormat="1" applyFill="1" applyBorder="1" applyAlignment="1">
      <alignment horizontal="center"/>
    </xf>
    <xf numFmtId="3" fontId="0" fillId="3" borderId="13" xfId="0" applyNumberFormat="1" applyFill="1" applyBorder="1" applyAlignment="1">
      <alignment horizontal="center"/>
    </xf>
    <xf numFmtId="164" fontId="0" fillId="3" borderId="13" xfId="0" applyNumberFormat="1" applyFill="1" applyBorder="1" applyAlignment="1">
      <alignment horizontal="center"/>
    </xf>
    <xf numFmtId="3" fontId="6" fillId="3" borderId="13" xfId="0" applyNumberFormat="1" applyFont="1" applyFill="1" applyBorder="1" applyAlignment="1">
      <alignment horizontal="center"/>
    </xf>
    <xf numFmtId="0" fontId="0" fillId="3" borderId="13" xfId="0" applyFill="1" applyBorder="1" applyAlignment="1">
      <alignment horizontal="center"/>
    </xf>
    <xf numFmtId="2" fontId="0" fillId="3" borderId="13" xfId="0" applyNumberFormat="1" applyFill="1" applyBorder="1" applyAlignment="1">
      <alignment horizontal="center"/>
    </xf>
    <xf numFmtId="3" fontId="0" fillId="3" borderId="15" xfId="0" applyNumberFormat="1" applyFill="1" applyBorder="1" applyAlignment="1">
      <alignment horizontal="center"/>
    </xf>
    <xf numFmtId="0" fontId="5" fillId="3" borderId="14" xfId="0" applyFont="1" applyFill="1" applyBorder="1" applyAlignment="1">
      <alignment horizontal="center"/>
    </xf>
    <xf numFmtId="0" fontId="5" fillId="3" borderId="13" xfId="0" applyFont="1" applyFill="1" applyBorder="1"/>
    <xf numFmtId="167" fontId="5" fillId="3" borderId="13" xfId="0" applyNumberFormat="1" applyFont="1" applyFill="1" applyBorder="1" applyAlignment="1">
      <alignment horizontal="center"/>
    </xf>
    <xf numFmtId="167" fontId="5" fillId="3" borderId="15" xfId="0" applyNumberFormat="1" applyFont="1" applyFill="1" applyBorder="1" applyAlignment="1">
      <alignment horizontal="center"/>
    </xf>
    <xf numFmtId="9" fontId="0" fillId="3" borderId="14" xfId="0" applyNumberFormat="1" applyFill="1" applyBorder="1" applyAlignment="1">
      <alignment horizontal="center"/>
    </xf>
    <xf numFmtId="167" fontId="0" fillId="3" borderId="13" xfId="0" applyNumberFormat="1" applyFill="1" applyBorder="1" applyAlignment="1">
      <alignment horizontal="center"/>
    </xf>
    <xf numFmtId="167" fontId="0" fillId="3" borderId="15" xfId="0" applyNumberFormat="1" applyFill="1" applyBorder="1" applyAlignment="1">
      <alignment horizontal="center"/>
    </xf>
    <xf numFmtId="0" fontId="0" fillId="0" borderId="10" xfId="0" applyBorder="1"/>
    <xf numFmtId="0" fontId="3" fillId="0" borderId="0" xfId="0" applyFont="1" applyBorder="1" applyAlignment="1">
      <alignment horizontal="right"/>
    </xf>
    <xf numFmtId="164" fontId="3" fillId="0" borderId="0" xfId="0" applyNumberFormat="1" applyFont="1" applyBorder="1" applyAlignment="1">
      <alignment horizontal="center"/>
    </xf>
    <xf numFmtId="3" fontId="3" fillId="0" borderId="0" xfId="0" applyNumberFormat="1" applyFont="1" applyBorder="1" applyAlignment="1">
      <alignment horizontal="center"/>
    </xf>
    <xf numFmtId="0" fontId="3" fillId="0" borderId="0" xfId="0" applyFont="1" applyBorder="1"/>
    <xf numFmtId="0" fontId="3" fillId="0" borderId="0" xfId="0" applyFont="1"/>
    <xf numFmtId="0" fontId="7" fillId="0" borderId="0" xfId="0" quotePrefix="1" applyFont="1" applyBorder="1" applyAlignment="1">
      <alignment horizontal="left"/>
    </xf>
    <xf numFmtId="9" fontId="0" fillId="3" borderId="13" xfId="0" applyNumberFormat="1" applyFill="1" applyBorder="1" applyAlignment="1">
      <alignment horizontal="center"/>
    </xf>
    <xf numFmtId="9" fontId="0" fillId="3" borderId="16" xfId="0" applyNumberFormat="1" applyFill="1" applyBorder="1" applyAlignment="1">
      <alignment horizontal="center"/>
    </xf>
    <xf numFmtId="9" fontId="0" fillId="0" borderId="0" xfId="0" applyNumberFormat="1" applyBorder="1"/>
    <xf numFmtId="9" fontId="3" fillId="3" borderId="7" xfId="0" quotePrefix="1" applyNumberFormat="1" applyFont="1" applyFill="1" applyBorder="1" applyAlignment="1">
      <alignment horizontal="center" wrapText="1"/>
    </xf>
    <xf numFmtId="9" fontId="0" fillId="0" borderId="0" xfId="0" applyNumberFormat="1" applyBorder="1" applyAlignment="1">
      <alignment horizontal="center"/>
    </xf>
    <xf numFmtId="9" fontId="3" fillId="0" borderId="0" xfId="0" applyNumberFormat="1" applyFont="1" applyBorder="1" applyAlignment="1">
      <alignment horizontal="center"/>
    </xf>
    <xf numFmtId="0" fontId="0" fillId="0" borderId="9" xfId="0" quotePrefix="1" applyBorder="1" applyAlignment="1">
      <alignment horizontal="right"/>
    </xf>
    <xf numFmtId="167" fontId="0" fillId="0" borderId="7" xfId="0" applyNumberFormat="1" applyBorder="1" applyAlignment="1">
      <alignment horizontal="center"/>
    </xf>
    <xf numFmtId="167" fontId="0" fillId="0" borderId="8" xfId="0" applyNumberFormat="1" applyBorder="1" applyAlignment="1">
      <alignment horizontal="center"/>
    </xf>
    <xf numFmtId="167" fontId="5" fillId="0" borderId="0" xfId="0" applyNumberFormat="1" applyFont="1" applyFill="1" applyBorder="1" applyAlignment="1">
      <alignment horizontal="center"/>
    </xf>
    <xf numFmtId="9" fontId="0" fillId="0" borderId="17" xfId="0" applyNumberFormat="1" applyFill="1" applyBorder="1" applyAlignment="1">
      <alignment horizontal="center"/>
    </xf>
    <xf numFmtId="9" fontId="0" fillId="0" borderId="0" xfId="0" applyNumberFormat="1" applyFill="1" applyBorder="1" applyAlignment="1">
      <alignment horizontal="center"/>
    </xf>
    <xf numFmtId="164" fontId="0" fillId="5" borderId="18" xfId="0" applyNumberFormat="1" applyFill="1" applyBorder="1" applyAlignment="1">
      <alignment horizontal="center"/>
    </xf>
    <xf numFmtId="0" fontId="10" fillId="5" borderId="0" xfId="0" applyFont="1" applyFill="1" applyBorder="1" applyAlignment="1">
      <alignment horizontal="center"/>
    </xf>
    <xf numFmtId="3" fontId="0" fillId="5" borderId="18" xfId="0" applyNumberFormat="1" applyFill="1" applyBorder="1" applyAlignment="1">
      <alignment horizontal="center"/>
    </xf>
    <xf numFmtId="3" fontId="0" fillId="5" borderId="19" xfId="0" applyNumberFormat="1" applyFill="1" applyBorder="1" applyAlignment="1">
      <alignment horizontal="center"/>
    </xf>
    <xf numFmtId="0" fontId="5" fillId="5" borderId="0" xfId="0" applyFont="1" applyFill="1" applyBorder="1"/>
    <xf numFmtId="167" fontId="5" fillId="5" borderId="0" xfId="0" applyNumberFormat="1" applyFont="1" applyFill="1" applyBorder="1" applyAlignment="1">
      <alignment horizontal="center"/>
    </xf>
    <xf numFmtId="167" fontId="5" fillId="5" borderId="10" xfId="0" applyNumberFormat="1" applyFont="1" applyFill="1" applyBorder="1" applyAlignment="1">
      <alignment horizontal="center"/>
    </xf>
    <xf numFmtId="9" fontId="0" fillId="5" borderId="20" xfId="0" applyNumberFormat="1" applyFill="1" applyBorder="1" applyAlignment="1">
      <alignment horizontal="center"/>
    </xf>
    <xf numFmtId="9" fontId="0" fillId="5" borderId="9" xfId="0" applyNumberFormat="1" applyFill="1" applyBorder="1" applyAlignment="1">
      <alignment horizontal="center"/>
    </xf>
    <xf numFmtId="167" fontId="0" fillId="5" borderId="10" xfId="0" applyNumberFormat="1" applyFill="1" applyBorder="1" applyAlignment="1">
      <alignment horizontal="center"/>
    </xf>
    <xf numFmtId="9" fontId="0" fillId="5" borderId="0" xfId="0" applyNumberFormat="1" applyFill="1" applyBorder="1" applyAlignment="1">
      <alignment horizontal="center"/>
    </xf>
    <xf numFmtId="167" fontId="0" fillId="5" borderId="19" xfId="0" applyNumberFormat="1" applyFill="1" applyBorder="1" applyAlignment="1">
      <alignment horizontal="center"/>
    </xf>
    <xf numFmtId="0" fontId="3" fillId="6" borderId="0" xfId="0" quotePrefix="1" applyFont="1" applyFill="1" applyBorder="1" applyAlignment="1">
      <alignment horizontal="center"/>
    </xf>
    <xf numFmtId="3" fontId="0" fillId="6" borderId="18" xfId="0" applyNumberFormat="1" applyFill="1" applyBorder="1" applyAlignment="1">
      <alignment horizontal="center"/>
    </xf>
    <xf numFmtId="0" fontId="0" fillId="6" borderId="18" xfId="0" applyFill="1" applyBorder="1" applyAlignment="1">
      <alignment horizontal="center"/>
    </xf>
    <xf numFmtId="2" fontId="0" fillId="6" borderId="18" xfId="0" applyNumberFormat="1" applyFill="1" applyBorder="1" applyAlignment="1">
      <alignment horizontal="center"/>
    </xf>
    <xf numFmtId="165" fontId="3" fillId="6" borderId="21" xfId="0" applyNumberFormat="1" applyFont="1" applyFill="1" applyBorder="1" applyAlignment="1">
      <alignment horizontal="center"/>
    </xf>
    <xf numFmtId="0" fontId="3" fillId="6" borderId="2" xfId="0" quotePrefix="1" applyFont="1" applyFill="1" applyBorder="1" applyAlignment="1">
      <alignment horizontal="left"/>
    </xf>
    <xf numFmtId="0" fontId="0" fillId="6" borderId="22" xfId="0" applyFill="1" applyBorder="1"/>
    <xf numFmtId="0" fontId="3" fillId="0" borderId="9" xfId="0" quotePrefix="1" applyFont="1" applyBorder="1" applyAlignment="1">
      <alignment horizontal="left"/>
    </xf>
    <xf numFmtId="0" fontId="3" fillId="0" borderId="0" xfId="0" quotePrefix="1" applyFont="1" applyBorder="1" applyAlignment="1">
      <alignment horizontal="left"/>
    </xf>
    <xf numFmtId="167" fontId="0" fillId="0" borderId="0" xfId="0" quotePrefix="1" applyNumberFormat="1" applyBorder="1" applyAlignment="1">
      <alignment horizontal="center"/>
    </xf>
    <xf numFmtId="9" fontId="14" fillId="0" borderId="0" xfId="27" applyFont="1" applyFill="1" applyBorder="1" applyAlignment="1">
      <alignment horizontal="center"/>
    </xf>
    <xf numFmtId="0" fontId="0" fillId="0" borderId="0" xfId="0" applyBorder="1" applyAlignment="1">
      <alignment horizontal="left"/>
    </xf>
    <xf numFmtId="164" fontId="0" fillId="5" borderId="20" xfId="0" applyNumberFormat="1" applyFill="1" applyBorder="1" applyAlignment="1">
      <alignment horizontal="center"/>
    </xf>
    <xf numFmtId="0" fontId="3" fillId="7" borderId="7" xfId="0" quotePrefix="1" applyFont="1" applyFill="1" applyBorder="1" applyAlignment="1">
      <alignment horizontal="center" wrapText="1"/>
    </xf>
    <xf numFmtId="167" fontId="5" fillId="5" borderId="9" xfId="0" applyNumberFormat="1" applyFont="1" applyFill="1" applyBorder="1" applyAlignment="1">
      <alignment horizontal="center"/>
    </xf>
    <xf numFmtId="167" fontId="0" fillId="3" borderId="14" xfId="0" applyNumberFormat="1" applyFill="1" applyBorder="1" applyAlignment="1">
      <alignment horizontal="center"/>
    </xf>
    <xf numFmtId="167" fontId="0" fillId="0" borderId="9" xfId="0" applyNumberFormat="1" applyBorder="1" applyAlignment="1">
      <alignment horizontal="center"/>
    </xf>
    <xf numFmtId="0" fontId="0" fillId="0" borderId="9" xfId="0" applyBorder="1"/>
    <xf numFmtId="0" fontId="5" fillId="5" borderId="0" xfId="0" applyFont="1" applyFill="1" applyBorder="1" applyAlignment="1">
      <alignment horizontal="center"/>
    </xf>
    <xf numFmtId="0" fontId="5" fillId="5" borderId="0" xfId="0" quotePrefix="1" applyFont="1" applyFill="1" applyBorder="1" applyAlignment="1">
      <alignment horizontal="center"/>
    </xf>
    <xf numFmtId="0" fontId="5" fillId="5" borderId="0" xfId="0" applyFont="1" applyFill="1" applyBorder="1" applyAlignment="1" applyProtection="1">
      <alignment horizontal="center"/>
    </xf>
    <xf numFmtId="0" fontId="5" fillId="5" borderId="0" xfId="0" quotePrefix="1" applyFont="1" applyFill="1" applyBorder="1" applyAlignment="1" applyProtection="1">
      <alignment horizontal="center"/>
    </xf>
    <xf numFmtId="0" fontId="5" fillId="5" borderId="23" xfId="0" applyFont="1" applyFill="1" applyBorder="1" applyAlignment="1" applyProtection="1">
      <alignment horizontal="center"/>
    </xf>
    <xf numFmtId="0" fontId="5" fillId="5" borderId="24" xfId="0" applyFont="1" applyFill="1" applyBorder="1" applyAlignment="1" applyProtection="1">
      <alignment horizontal="center"/>
    </xf>
    <xf numFmtId="0" fontId="5" fillId="5" borderId="23" xfId="0" quotePrefix="1" applyFont="1" applyFill="1" applyBorder="1" applyAlignment="1" applyProtection="1">
      <alignment horizontal="center"/>
    </xf>
    <xf numFmtId="0" fontId="5" fillId="5" borderId="24" xfId="0" quotePrefix="1" applyFont="1" applyFill="1" applyBorder="1" applyAlignment="1" applyProtection="1">
      <alignment horizontal="center"/>
    </xf>
    <xf numFmtId="9" fontId="0" fillId="5" borderId="0" xfId="27" applyFont="1" applyFill="1" applyBorder="1" applyAlignment="1">
      <alignment horizontal="center"/>
    </xf>
    <xf numFmtId="9" fontId="5" fillId="5" borderId="0" xfId="27" applyFont="1" applyFill="1" applyBorder="1" applyAlignment="1">
      <alignment horizontal="center"/>
    </xf>
    <xf numFmtId="9" fontId="0" fillId="5" borderId="17" xfId="0" applyNumberFormat="1" applyFill="1" applyBorder="1" applyAlignment="1">
      <alignment horizontal="center"/>
    </xf>
    <xf numFmtId="2" fontId="5" fillId="3" borderId="13" xfId="0" applyNumberFormat="1" applyFont="1" applyFill="1" applyBorder="1" applyAlignment="1">
      <alignment horizontal="center"/>
    </xf>
    <xf numFmtId="2" fontId="3" fillId="0" borderId="0" xfId="0" applyNumberFormat="1" applyFont="1" applyBorder="1" applyAlignment="1">
      <alignment horizontal="center"/>
    </xf>
    <xf numFmtId="2" fontId="0" fillId="0" borderId="0" xfId="0" applyNumberFormat="1" applyBorder="1"/>
    <xf numFmtId="167" fontId="0" fillId="0" borderId="0" xfId="0" applyNumberFormat="1" applyFill="1" applyBorder="1" applyAlignment="1">
      <alignment horizontal="center"/>
    </xf>
    <xf numFmtId="0" fontId="0" fillId="0" borderId="0" xfId="0" applyFill="1" applyBorder="1"/>
    <xf numFmtId="0" fontId="5" fillId="0" borderId="0" xfId="0" applyFont="1" applyFill="1" applyBorder="1"/>
    <xf numFmtId="2" fontId="5" fillId="0" borderId="0" xfId="0" applyNumberFormat="1" applyFont="1" applyFill="1" applyBorder="1" applyAlignment="1">
      <alignment horizontal="center"/>
    </xf>
    <xf numFmtId="167" fontId="0" fillId="0" borderId="10" xfId="0" applyNumberFormat="1" applyFill="1" applyBorder="1" applyAlignment="1">
      <alignment horizontal="center"/>
    </xf>
    <xf numFmtId="164" fontId="0" fillId="0" borderId="9" xfId="0" applyNumberFormat="1" applyFill="1" applyBorder="1" applyAlignment="1">
      <alignment horizontal="center"/>
    </xf>
    <xf numFmtId="3" fontId="0" fillId="0" borderId="0" xfId="0" applyNumberFormat="1" applyFill="1" applyBorder="1" applyAlignment="1">
      <alignment horizontal="center"/>
    </xf>
    <xf numFmtId="164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2" fontId="0" fillId="0" borderId="0" xfId="0" applyNumberFormat="1" applyFill="1" applyBorder="1" applyAlignment="1">
      <alignment horizontal="center"/>
    </xf>
    <xf numFmtId="3" fontId="0" fillId="0" borderId="10" xfId="0" applyNumberFormat="1" applyFill="1" applyBorder="1" applyAlignment="1">
      <alignment horizontal="center"/>
    </xf>
    <xf numFmtId="0" fontId="0" fillId="3" borderId="11" xfId="0" applyFill="1" applyBorder="1"/>
    <xf numFmtId="0" fontId="3" fillId="3" borderId="12" xfId="0" applyFont="1" applyFill="1" applyBorder="1" applyAlignment="1">
      <alignment horizontal="center"/>
    </xf>
    <xf numFmtId="0" fontId="0" fillId="0" borderId="9" xfId="0" applyBorder="1" applyAlignment="1">
      <alignment horizontal="right"/>
    </xf>
    <xf numFmtId="170" fontId="0" fillId="0" borderId="0" xfId="0" quotePrefix="1" applyNumberFormat="1" applyBorder="1" applyAlignment="1">
      <alignment horizontal="center"/>
    </xf>
    <xf numFmtId="170" fontId="0" fillId="0" borderId="0" xfId="0" applyNumberFormat="1" applyBorder="1" applyAlignment="1">
      <alignment horizontal="center"/>
    </xf>
    <xf numFmtId="0" fontId="0" fillId="0" borderId="6" xfId="0" applyBorder="1" applyAlignment="1">
      <alignment horizontal="right"/>
    </xf>
    <xf numFmtId="171" fontId="0" fillId="0" borderId="0" xfId="0" applyNumberFormat="1" applyBorder="1"/>
    <xf numFmtId="0" fontId="5" fillId="0" borderId="9" xfId="0" applyFont="1" applyFill="1" applyBorder="1" applyAlignment="1">
      <alignment horizontal="center"/>
    </xf>
    <xf numFmtId="171" fontId="0" fillId="0" borderId="0" xfId="0" applyNumberFormat="1" applyFill="1" applyBorder="1"/>
    <xf numFmtId="0" fontId="0" fillId="0" borderId="0" xfId="0" quotePrefix="1" applyFill="1" applyBorder="1" applyAlignment="1">
      <alignment horizontal="left"/>
    </xf>
    <xf numFmtId="0" fontId="3" fillId="3" borderId="18" xfId="0" applyFont="1" applyFill="1" applyBorder="1" applyAlignment="1">
      <alignment horizontal="center"/>
    </xf>
    <xf numFmtId="0" fontId="3" fillId="3" borderId="19" xfId="0" applyFont="1" applyFill="1" applyBorder="1" applyAlignment="1">
      <alignment horizontal="center"/>
    </xf>
    <xf numFmtId="0" fontId="3" fillId="3" borderId="18" xfId="0" quotePrefix="1" applyFont="1" applyFill="1" applyBorder="1" applyAlignment="1">
      <alignment horizontal="center"/>
    </xf>
    <xf numFmtId="43" fontId="0" fillId="0" borderId="7" xfId="2" quotePrefix="1" applyFont="1" applyFill="1" applyBorder="1" applyAlignment="1">
      <alignment horizontal="center"/>
    </xf>
    <xf numFmtId="0" fontId="0" fillId="0" borderId="10" xfId="0" applyFill="1" applyBorder="1"/>
    <xf numFmtId="43" fontId="0" fillId="0" borderId="0" xfId="0" applyNumberFormat="1" applyFill="1" applyBorder="1"/>
    <xf numFmtId="167" fontId="0" fillId="8" borderId="0" xfId="0" applyNumberFormat="1" applyFill="1" applyBorder="1" applyAlignment="1">
      <alignment horizontal="center"/>
    </xf>
    <xf numFmtId="167" fontId="0" fillId="8" borderId="10" xfId="0" applyNumberFormat="1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174" fontId="0" fillId="0" borderId="0" xfId="0" applyNumberFormat="1" applyFill="1" applyBorder="1"/>
    <xf numFmtId="172" fontId="0" fillId="0" borderId="0" xfId="0" applyNumberFormat="1" applyBorder="1"/>
    <xf numFmtId="172" fontId="0" fillId="0" borderId="0" xfId="0" applyNumberFormat="1" applyFill="1" applyBorder="1"/>
    <xf numFmtId="170" fontId="0" fillId="0" borderId="0" xfId="0" applyNumberFormat="1" applyFill="1" applyBorder="1" applyAlignment="1">
      <alignment horizontal="center"/>
    </xf>
    <xf numFmtId="0" fontId="0" fillId="8" borderId="9" xfId="0" quotePrefix="1" applyFill="1" applyBorder="1" applyAlignment="1">
      <alignment horizontal="right"/>
    </xf>
    <xf numFmtId="167" fontId="0" fillId="8" borderId="0" xfId="0" quotePrefix="1" applyNumberFormat="1" applyFill="1" applyBorder="1" applyAlignment="1">
      <alignment horizontal="center"/>
    </xf>
    <xf numFmtId="0" fontId="0" fillId="0" borderId="9" xfId="0" quotePrefix="1" applyFill="1" applyBorder="1" applyAlignment="1">
      <alignment horizontal="right"/>
    </xf>
    <xf numFmtId="0" fontId="0" fillId="0" borderId="6" xfId="0" applyFill="1" applyBorder="1" applyAlignment="1">
      <alignment horizontal="right"/>
    </xf>
    <xf numFmtId="172" fontId="0" fillId="0" borderId="0" xfId="0" applyNumberFormat="1" applyAlignment="1">
      <alignment horizontal="center"/>
    </xf>
    <xf numFmtId="0" fontId="14" fillId="0" borderId="0" xfId="0" applyFont="1" applyBorder="1"/>
    <xf numFmtId="0" fontId="3" fillId="0" borderId="9" xfId="0" applyFont="1" applyBorder="1" applyAlignment="1">
      <alignment horizontal="left"/>
    </xf>
    <xf numFmtId="43" fontId="0" fillId="0" borderId="0" xfId="2" quotePrefix="1" applyFont="1" applyBorder="1" applyAlignment="1">
      <alignment horizontal="center"/>
    </xf>
    <xf numFmtId="167" fontId="0" fillId="0" borderId="0" xfId="0" applyNumberFormat="1" applyBorder="1"/>
    <xf numFmtId="43" fontId="3" fillId="0" borderId="0" xfId="2" quotePrefix="1" applyFont="1" applyBorder="1" applyAlignment="1">
      <alignment horizontal="left"/>
    </xf>
    <xf numFmtId="0" fontId="11" fillId="3" borderId="20" xfId="0" applyFont="1" applyFill="1" applyBorder="1" applyAlignment="1">
      <alignment horizontal="center"/>
    </xf>
    <xf numFmtId="43" fontId="0" fillId="0" borderId="0" xfId="2" quotePrefix="1" applyFont="1" applyFill="1" applyBorder="1" applyAlignment="1">
      <alignment horizontal="center"/>
    </xf>
    <xf numFmtId="0" fontId="0" fillId="0" borderId="9" xfId="0" applyFill="1" applyBorder="1" applyAlignment="1">
      <alignment horizontal="right"/>
    </xf>
    <xf numFmtId="43" fontId="3" fillId="0" borderId="0" xfId="2" quotePrefix="1" applyFont="1" applyFill="1" applyBorder="1" applyAlignment="1">
      <alignment horizontal="left"/>
    </xf>
    <xf numFmtId="0" fontId="14" fillId="0" borderId="0" xfId="0" applyFont="1" applyFill="1" applyBorder="1"/>
    <xf numFmtId="0" fontId="3" fillId="0" borderId="9" xfId="0" applyFont="1" applyFill="1" applyBorder="1" applyAlignment="1">
      <alignment horizontal="left"/>
    </xf>
    <xf numFmtId="43" fontId="0" fillId="0" borderId="0" xfId="0" applyNumberFormat="1" applyBorder="1"/>
    <xf numFmtId="0" fontId="3" fillId="3" borderId="20" xfId="0" applyFont="1" applyFill="1" applyBorder="1" applyAlignment="1">
      <alignment horizontal="center"/>
    </xf>
    <xf numFmtId="9" fontId="0" fillId="0" borderId="0" xfId="27" applyFont="1" applyFill="1" applyBorder="1" applyAlignment="1">
      <alignment horizontal="center"/>
    </xf>
    <xf numFmtId="173" fontId="5" fillId="0" borderId="0" xfId="0" applyNumberFormat="1" applyFont="1" applyBorder="1" applyAlignment="1">
      <alignment horizontal="center"/>
    </xf>
    <xf numFmtId="164" fontId="0" fillId="0" borderId="20" xfId="0" applyNumberFormat="1" applyFill="1" applyBorder="1" applyAlignment="1">
      <alignment horizontal="center"/>
    </xf>
    <xf numFmtId="3" fontId="0" fillId="0" borderId="18" xfId="0" applyNumberFormat="1" applyFill="1" applyBorder="1" applyAlignment="1">
      <alignment horizontal="center"/>
    </xf>
    <xf numFmtId="164" fontId="0" fillId="0" borderId="18" xfId="0" applyNumberFormat="1" applyFill="1" applyBorder="1" applyAlignment="1">
      <alignment horizontal="center"/>
    </xf>
    <xf numFmtId="3" fontId="0" fillId="0" borderId="19" xfId="0" applyNumberFormat="1" applyFill="1" applyBorder="1" applyAlignment="1">
      <alignment horizontal="center"/>
    </xf>
    <xf numFmtId="170" fontId="0" fillId="0" borderId="0" xfId="4" applyNumberFormat="1" applyFont="1" applyFill="1" applyBorder="1" applyAlignment="1">
      <alignment horizontal="center"/>
    </xf>
    <xf numFmtId="0" fontId="0" fillId="0" borderId="0" xfId="0" applyFill="1" applyBorder="1" applyAlignment="1"/>
    <xf numFmtId="0" fontId="3" fillId="3" borderId="0" xfId="0" applyFont="1" applyFill="1" applyBorder="1" applyAlignment="1" applyProtection="1">
      <alignment horizontal="center"/>
    </xf>
    <xf numFmtId="0" fontId="3" fillId="3" borderId="0" xfId="0" applyFont="1" applyFill="1" applyBorder="1" applyAlignment="1">
      <alignment horizontal="center"/>
    </xf>
    <xf numFmtId="0" fontId="3" fillId="3" borderId="0" xfId="0" quotePrefix="1" applyFont="1" applyFill="1" applyBorder="1" applyAlignment="1">
      <alignment horizontal="center"/>
    </xf>
    <xf numFmtId="0" fontId="3" fillId="3" borderId="0" xfId="0" quotePrefix="1" applyFont="1" applyFill="1" applyBorder="1" applyAlignment="1" applyProtection="1">
      <alignment horizontal="center"/>
    </xf>
    <xf numFmtId="0" fontId="3" fillId="3" borderId="23" xfId="0" applyFont="1" applyFill="1" applyBorder="1" applyAlignment="1" applyProtection="1">
      <alignment horizontal="center"/>
    </xf>
    <xf numFmtId="0" fontId="3" fillId="3" borderId="18" xfId="0" applyFont="1" applyFill="1" applyBorder="1" applyAlignment="1" applyProtection="1">
      <alignment horizontal="center"/>
    </xf>
    <xf numFmtId="0" fontId="3" fillId="3" borderId="9" xfId="0" applyFont="1" applyFill="1" applyBorder="1" applyAlignment="1">
      <alignment horizontal="center"/>
    </xf>
    <xf numFmtId="0" fontId="3" fillId="3" borderId="10" xfId="0" applyFont="1" applyFill="1" applyBorder="1" applyAlignment="1">
      <alignment horizontal="center"/>
    </xf>
    <xf numFmtId="0" fontId="3" fillId="3" borderId="25" xfId="0" applyFont="1" applyFill="1" applyBorder="1" applyAlignment="1" applyProtection="1">
      <alignment horizontal="center"/>
    </xf>
    <xf numFmtId="0" fontId="0" fillId="0" borderId="9" xfId="0" applyFill="1" applyBorder="1"/>
    <xf numFmtId="0" fontId="3" fillId="0" borderId="20" xfId="0" quotePrefix="1" applyFont="1" applyBorder="1" applyAlignment="1">
      <alignment horizontal="right"/>
    </xf>
    <xf numFmtId="0" fontId="3" fillId="0" borderId="19" xfId="0" applyFont="1" applyBorder="1" applyAlignment="1">
      <alignment horizontal="center"/>
    </xf>
    <xf numFmtId="170" fontId="5" fillId="0" borderId="10" xfId="0" applyNumberFormat="1" applyFont="1" applyBorder="1" applyAlignment="1">
      <alignment horizontal="center"/>
    </xf>
    <xf numFmtId="170" fontId="5" fillId="0" borderId="8" xfId="0" applyNumberFormat="1" applyFont="1" applyBorder="1" applyAlignment="1">
      <alignment horizontal="center"/>
    </xf>
    <xf numFmtId="0" fontId="0" fillId="3" borderId="0" xfId="0" applyFill="1" applyBorder="1" applyAlignment="1">
      <alignment horizontal="right"/>
    </xf>
    <xf numFmtId="164" fontId="0" fillId="3" borderId="9" xfId="0" applyNumberFormat="1" applyFill="1" applyBorder="1" applyAlignment="1">
      <alignment horizontal="center"/>
    </xf>
    <xf numFmtId="3" fontId="0" fillId="3" borderId="0" xfId="0" applyNumberFormat="1" applyFill="1" applyBorder="1" applyAlignment="1">
      <alignment horizontal="center"/>
    </xf>
    <xf numFmtId="164" fontId="0" fillId="3" borderId="0" xfId="0" applyNumberFormat="1" applyFill="1" applyBorder="1" applyAlignment="1">
      <alignment horizontal="center"/>
    </xf>
    <xf numFmtId="3" fontId="6" fillId="3" borderId="0" xfId="0" applyNumberFormat="1" applyFont="1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2" fontId="0" fillId="3" borderId="0" xfId="0" applyNumberFormat="1" applyFill="1" applyBorder="1" applyAlignment="1">
      <alignment horizontal="center"/>
    </xf>
    <xf numFmtId="3" fontId="0" fillId="3" borderId="10" xfId="0" applyNumberFormat="1" applyFill="1" applyBorder="1" applyAlignment="1">
      <alignment horizontal="center"/>
    </xf>
    <xf numFmtId="0" fontId="5" fillId="3" borderId="9" xfId="0" applyFont="1" applyFill="1" applyBorder="1" applyAlignment="1">
      <alignment horizontal="center"/>
    </xf>
    <xf numFmtId="0" fontId="5" fillId="3" borderId="0" xfId="0" applyFont="1" applyFill="1" applyBorder="1"/>
    <xf numFmtId="167" fontId="5" fillId="3" borderId="0" xfId="0" applyNumberFormat="1" applyFont="1" applyFill="1" applyBorder="1" applyAlignment="1">
      <alignment horizontal="center"/>
    </xf>
    <xf numFmtId="0" fontId="5" fillId="3" borderId="0" xfId="0" applyFont="1" applyFill="1" applyBorder="1" applyAlignment="1">
      <alignment horizontal="center"/>
    </xf>
    <xf numFmtId="164" fontId="0" fillId="3" borderId="7" xfId="0" applyNumberFormat="1" applyFill="1" applyBorder="1" applyAlignment="1">
      <alignment horizontal="center"/>
    </xf>
    <xf numFmtId="3" fontId="0" fillId="3" borderId="7" xfId="0" applyNumberFormat="1" applyFill="1" applyBorder="1" applyAlignment="1">
      <alignment horizontal="center"/>
    </xf>
    <xf numFmtId="3" fontId="6" fillId="3" borderId="7" xfId="0" applyNumberFormat="1" applyFont="1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2" fontId="0" fillId="3" borderId="7" xfId="0" applyNumberFormat="1" applyFill="1" applyBorder="1" applyAlignment="1">
      <alignment horizontal="center"/>
    </xf>
    <xf numFmtId="0" fontId="5" fillId="3" borderId="7" xfId="0" applyFont="1" applyFill="1" applyBorder="1" applyAlignment="1">
      <alignment horizontal="center"/>
    </xf>
    <xf numFmtId="0" fontId="5" fillId="3" borderId="7" xfId="0" applyFont="1" applyFill="1" applyBorder="1"/>
    <xf numFmtId="167" fontId="5" fillId="3" borderId="7" xfId="0" applyNumberFormat="1" applyFont="1" applyFill="1" applyBorder="1" applyAlignment="1">
      <alignment horizontal="center"/>
    </xf>
    <xf numFmtId="3" fontId="0" fillId="3" borderId="8" xfId="0" applyNumberFormat="1" applyFill="1" applyBorder="1" applyAlignment="1">
      <alignment horizontal="center"/>
    </xf>
    <xf numFmtId="0" fontId="0" fillId="3" borderId="10" xfId="0" applyFill="1" applyBorder="1" applyAlignment="1">
      <alignment horizontal="right"/>
    </xf>
    <xf numFmtId="0" fontId="0" fillId="3" borderId="8" xfId="0" applyFill="1" applyBorder="1" applyAlignment="1">
      <alignment horizontal="right"/>
    </xf>
    <xf numFmtId="2" fontId="5" fillId="3" borderId="0" xfId="0" applyNumberFormat="1" applyFont="1" applyFill="1" applyBorder="1" applyAlignment="1">
      <alignment horizontal="center"/>
    </xf>
    <xf numFmtId="2" fontId="5" fillId="3" borderId="7" xfId="0" applyNumberFormat="1" applyFont="1" applyFill="1" applyBorder="1" applyAlignment="1">
      <alignment horizontal="center"/>
    </xf>
    <xf numFmtId="164" fontId="0" fillId="5" borderId="9" xfId="0" applyNumberFormat="1" applyFill="1" applyBorder="1" applyAlignment="1">
      <alignment horizontal="center"/>
    </xf>
    <xf numFmtId="3" fontId="0" fillId="5" borderId="0" xfId="0" applyNumberFormat="1" applyFill="1" applyBorder="1" applyAlignment="1">
      <alignment horizontal="center"/>
    </xf>
    <xf numFmtId="2" fontId="0" fillId="5" borderId="0" xfId="0" applyNumberFormat="1" applyFill="1" applyBorder="1" applyAlignment="1">
      <alignment horizontal="center"/>
    </xf>
    <xf numFmtId="3" fontId="0" fillId="5" borderId="10" xfId="0" applyNumberFormat="1" applyFill="1" applyBorder="1" applyAlignment="1">
      <alignment horizontal="center"/>
    </xf>
    <xf numFmtId="0" fontId="5" fillId="5" borderId="9" xfId="0" applyFont="1" applyFill="1" applyBorder="1" applyAlignment="1">
      <alignment horizontal="center"/>
    </xf>
    <xf numFmtId="2" fontId="5" fillId="5" borderId="0" xfId="0" applyNumberFormat="1" applyFont="1" applyFill="1" applyBorder="1" applyAlignment="1">
      <alignment horizontal="center"/>
    </xf>
    <xf numFmtId="171" fontId="0" fillId="5" borderId="0" xfId="0" applyNumberFormat="1" applyFill="1" applyBorder="1"/>
    <xf numFmtId="172" fontId="0" fillId="5" borderId="0" xfId="0" applyNumberFormat="1" applyFill="1" applyBorder="1"/>
    <xf numFmtId="0" fontId="0" fillId="0" borderId="26" xfId="0" quotePrefix="1" applyFill="1" applyBorder="1" applyAlignment="1">
      <alignment horizontal="right"/>
    </xf>
    <xf numFmtId="165" fontId="5" fillId="0" borderId="22" xfId="0" applyNumberFormat="1" applyFont="1" applyFill="1" applyBorder="1" applyAlignment="1">
      <alignment horizontal="center"/>
    </xf>
    <xf numFmtId="167" fontId="5" fillId="9" borderId="0" xfId="0" applyNumberFormat="1" applyFont="1" applyFill="1" applyBorder="1" applyAlignment="1">
      <alignment horizontal="center"/>
    </xf>
    <xf numFmtId="167" fontId="5" fillId="9" borderId="13" xfId="0" applyNumberFormat="1" applyFont="1" applyFill="1" applyBorder="1" applyAlignment="1">
      <alignment horizontal="center"/>
    </xf>
    <xf numFmtId="167" fontId="5" fillId="9" borderId="7" xfId="0" applyNumberFormat="1" applyFont="1" applyFill="1" applyBorder="1" applyAlignment="1">
      <alignment horizontal="center"/>
    </xf>
    <xf numFmtId="3" fontId="3" fillId="9" borderId="0" xfId="0" applyNumberFormat="1" applyFont="1" applyFill="1" applyBorder="1" applyAlignment="1">
      <alignment horizontal="center"/>
    </xf>
    <xf numFmtId="0" fontId="0" fillId="9" borderId="0" xfId="0" applyFill="1" applyBorder="1" applyAlignment="1">
      <alignment horizontal="center"/>
    </xf>
    <xf numFmtId="0" fontId="0" fillId="9" borderId="0" xfId="0" applyFill="1" applyBorder="1"/>
    <xf numFmtId="0" fontId="0" fillId="9" borderId="0" xfId="0" quotePrefix="1" applyFill="1" applyBorder="1" applyAlignment="1">
      <alignment horizontal="left"/>
    </xf>
    <xf numFmtId="170" fontId="0" fillId="0" borderId="27" xfId="4" applyNumberFormat="1" applyFont="1" applyFill="1" applyBorder="1" applyAlignment="1">
      <alignment horizontal="center"/>
    </xf>
    <xf numFmtId="168" fontId="0" fillId="0" borderId="28" xfId="0" applyNumberFormat="1" applyFill="1" applyBorder="1" applyAlignment="1">
      <alignment horizontal="center"/>
    </xf>
    <xf numFmtId="0" fontId="3" fillId="3" borderId="10" xfId="0" applyFont="1" applyFill="1" applyBorder="1" applyAlignment="1" applyProtection="1">
      <alignment horizontal="center"/>
    </xf>
    <xf numFmtId="168" fontId="0" fillId="0" borderId="29" xfId="0" applyNumberFormat="1" applyFill="1" applyBorder="1" applyAlignment="1">
      <alignment horizontal="center"/>
    </xf>
    <xf numFmtId="164" fontId="0" fillId="0" borderId="30" xfId="0" applyNumberFormat="1" applyFill="1" applyBorder="1" applyAlignment="1">
      <alignment horizontal="center"/>
    </xf>
    <xf numFmtId="170" fontId="0" fillId="0" borderId="30" xfId="4" applyNumberFormat="1" applyFont="1" applyFill="1" applyBorder="1" applyAlignment="1">
      <alignment horizontal="center"/>
    </xf>
    <xf numFmtId="9" fontId="0" fillId="0" borderId="30" xfId="27" applyFont="1" applyFill="1" applyBorder="1" applyAlignment="1">
      <alignment horizontal="center"/>
    </xf>
    <xf numFmtId="170" fontId="0" fillId="0" borderId="31" xfId="4" applyNumberFormat="1" applyFont="1" applyFill="1" applyBorder="1" applyAlignment="1">
      <alignment horizontal="center"/>
    </xf>
    <xf numFmtId="168" fontId="0" fillId="0" borderId="32" xfId="0" applyNumberFormat="1" applyFill="1" applyBorder="1" applyAlignment="1">
      <alignment horizontal="center"/>
    </xf>
    <xf numFmtId="164" fontId="0" fillId="0" borderId="13" xfId="0" applyNumberFormat="1" applyFill="1" applyBorder="1" applyAlignment="1">
      <alignment horizontal="center"/>
    </xf>
    <xf numFmtId="9" fontId="0" fillId="0" borderId="13" xfId="27" applyFont="1" applyFill="1" applyBorder="1" applyAlignment="1">
      <alignment horizontal="center"/>
    </xf>
    <xf numFmtId="164" fontId="0" fillId="0" borderId="33" xfId="0" applyNumberFormat="1" applyFill="1" applyBorder="1" applyAlignment="1">
      <alignment horizontal="center"/>
    </xf>
    <xf numFmtId="3" fontId="15" fillId="0" borderId="18" xfId="0" applyNumberFormat="1" applyFont="1" applyFill="1" applyBorder="1" applyAlignment="1">
      <alignment horizontal="center"/>
    </xf>
    <xf numFmtId="0" fontId="0" fillId="0" borderId="21" xfId="0" applyFill="1" applyBorder="1"/>
    <xf numFmtId="0" fontId="16" fillId="0" borderId="0" xfId="0" applyFont="1"/>
    <xf numFmtId="168" fontId="5" fillId="0" borderId="0" xfId="0" applyNumberFormat="1" applyFont="1" applyFill="1" applyBorder="1" applyAlignment="1">
      <alignment horizontal="center"/>
    </xf>
    <xf numFmtId="0" fontId="3" fillId="10" borderId="7" xfId="0" quotePrefix="1" applyFont="1" applyFill="1" applyBorder="1" applyAlignment="1">
      <alignment horizontal="center" wrapText="1"/>
    </xf>
    <xf numFmtId="0" fontId="3" fillId="10" borderId="7" xfId="0" applyFont="1" applyFill="1" applyBorder="1" applyAlignment="1">
      <alignment horizontal="center" wrapText="1"/>
    </xf>
    <xf numFmtId="0" fontId="41" fillId="0" borderId="0" xfId="0" applyFont="1" applyBorder="1" applyAlignment="1">
      <alignment horizontal="left" wrapText="1"/>
    </xf>
    <xf numFmtId="164" fontId="32" fillId="0" borderId="30" xfId="0" applyNumberFormat="1" applyFont="1" applyBorder="1" applyAlignment="1">
      <alignment horizontal="left" vertical="center"/>
    </xf>
    <xf numFmtId="0" fontId="32" fillId="0" borderId="30" xfId="0" applyFont="1" applyBorder="1" applyAlignment="1">
      <alignment horizontal="left" vertical="center"/>
    </xf>
    <xf numFmtId="0" fontId="32" fillId="0" borderId="0" xfId="0" applyFont="1" applyBorder="1" applyAlignment="1">
      <alignment horizontal="left" vertical="center" wrapText="1"/>
    </xf>
    <xf numFmtId="0" fontId="32" fillId="0" borderId="0" xfId="0" applyFont="1" applyFill="1" applyBorder="1" applyAlignment="1">
      <alignment horizontal="left" vertical="center" wrapText="1"/>
    </xf>
    <xf numFmtId="0" fontId="32" fillId="0" borderId="30" xfId="0" applyFont="1" applyBorder="1" applyAlignment="1">
      <alignment horizontal="left" vertical="center" wrapText="1"/>
    </xf>
    <xf numFmtId="14" fontId="3" fillId="0" borderId="0" xfId="0" applyNumberFormat="1" applyFont="1" applyAlignment="1">
      <alignment horizontal="left" vertical="center" wrapText="1"/>
    </xf>
    <xf numFmtId="16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21" fillId="0" borderId="0" xfId="0" applyFont="1" applyAlignment="1">
      <alignment wrapText="1"/>
    </xf>
    <xf numFmtId="0" fontId="0" fillId="0" borderId="0" xfId="0" applyAlignment="1">
      <alignment horizontal="left"/>
    </xf>
    <xf numFmtId="0" fontId="3" fillId="0" borderId="0" xfId="0" applyFont="1" applyAlignment="1">
      <alignment vertical="center"/>
    </xf>
    <xf numFmtId="0" fontId="30" fillId="11" borderId="5" xfId="0" applyFont="1" applyFill="1" applyBorder="1" applyAlignment="1">
      <alignment horizontal="center" vertical="center" wrapText="1"/>
    </xf>
    <xf numFmtId="164" fontId="30" fillId="11" borderId="5" xfId="0" applyNumberFormat="1" applyFont="1" applyFill="1" applyBorder="1" applyAlignment="1">
      <alignment horizontal="center" vertical="center" wrapText="1"/>
    </xf>
    <xf numFmtId="0" fontId="31" fillId="11" borderId="5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left"/>
    </xf>
    <xf numFmtId="0" fontId="21" fillId="0" borderId="0" xfId="0" applyFont="1"/>
    <xf numFmtId="0" fontId="21" fillId="0" borderId="5" xfId="0" applyFont="1" applyBorder="1" applyAlignment="1">
      <alignment vertical="center" wrapText="1"/>
    </xf>
    <xf numFmtId="164" fontId="21" fillId="0" borderId="5" xfId="27" applyNumberFormat="1" applyFont="1" applyBorder="1" applyAlignment="1">
      <alignment horizontal="center" vertical="center"/>
    </xf>
    <xf numFmtId="164" fontId="21" fillId="0" borderId="5" xfId="0" applyNumberFormat="1" applyFont="1" applyBorder="1" applyAlignment="1">
      <alignment horizontal="center" vertical="center"/>
    </xf>
    <xf numFmtId="9" fontId="21" fillId="0" borderId="5" xfId="27" applyNumberFormat="1" applyFont="1" applyBorder="1" applyAlignment="1">
      <alignment horizontal="center" vertical="center"/>
    </xf>
    <xf numFmtId="9" fontId="21" fillId="0" borderId="5" xfId="27" applyNumberFormat="1" applyFont="1" applyBorder="1" applyAlignment="1">
      <alignment horizontal="center" vertical="center" wrapText="1"/>
    </xf>
    <xf numFmtId="0" fontId="32" fillId="0" borderId="5" xfId="0" applyFont="1" applyBorder="1" applyAlignment="1">
      <alignment wrapText="1"/>
    </xf>
    <xf numFmtId="0" fontId="32" fillId="0" borderId="5" xfId="0" applyFont="1" applyBorder="1" applyAlignment="1">
      <alignment horizontal="center" vertical="center" wrapText="1"/>
    </xf>
    <xf numFmtId="0" fontId="21" fillId="0" borderId="5" xfId="0" applyFont="1" applyBorder="1" applyAlignment="1">
      <alignment horizontal="center" vertical="center" wrapText="1"/>
    </xf>
    <xf numFmtId="9" fontId="21" fillId="0" borderId="5" xfId="0" applyNumberFormat="1" applyFont="1" applyBorder="1" applyAlignment="1">
      <alignment horizontal="center" vertical="center"/>
    </xf>
    <xf numFmtId="2" fontId="21" fillId="0" borderId="5" xfId="0" applyNumberFormat="1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9" fontId="21" fillId="0" borderId="5" xfId="0" applyNumberFormat="1" applyFont="1" applyFill="1" applyBorder="1" applyAlignment="1">
      <alignment horizontal="center" vertical="center"/>
    </xf>
    <xf numFmtId="2" fontId="21" fillId="0" borderId="5" xfId="0" applyNumberFormat="1" applyFont="1" applyFill="1" applyBorder="1" applyAlignment="1">
      <alignment horizontal="center" vertical="center"/>
    </xf>
    <xf numFmtId="0" fontId="33" fillId="0" borderId="5" xfId="0" applyFont="1" applyBorder="1" applyAlignment="1">
      <alignment wrapText="1"/>
    </xf>
    <xf numFmtId="0" fontId="21" fillId="0" borderId="5" xfId="0" applyFont="1" applyBorder="1" applyAlignment="1">
      <alignment horizontal="left" vertical="center" wrapText="1"/>
    </xf>
    <xf numFmtId="164" fontId="21" fillId="0" borderId="5" xfId="0" applyNumberFormat="1" applyFont="1" applyFill="1" applyBorder="1" applyAlignment="1">
      <alignment horizontal="center" vertical="center" wrapText="1"/>
    </xf>
    <xf numFmtId="0" fontId="32" fillId="0" borderId="5" xfId="0" applyFont="1" applyBorder="1" applyAlignment="1">
      <alignment horizontal="left" vertical="center" wrapText="1"/>
    </xf>
    <xf numFmtId="0" fontId="5" fillId="0" borderId="0" xfId="0" applyFont="1" applyFill="1" applyAlignment="1">
      <alignment horizontal="left" vertical="center"/>
    </xf>
    <xf numFmtId="2" fontId="21" fillId="0" borderId="5" xfId="27" applyNumberFormat="1" applyFont="1" applyBorder="1" applyAlignment="1">
      <alignment horizontal="center" vertical="center"/>
    </xf>
    <xf numFmtId="9" fontId="21" fillId="0" borderId="5" xfId="27" applyFont="1" applyBorder="1" applyAlignment="1">
      <alignment horizontal="center" vertical="center"/>
    </xf>
    <xf numFmtId="0" fontId="30" fillId="11" borderId="5" xfId="0" applyFont="1" applyFill="1" applyBorder="1" applyAlignment="1">
      <alignment vertical="center" wrapText="1"/>
    </xf>
    <xf numFmtId="164" fontId="30" fillId="11" borderId="5" xfId="0" applyNumberFormat="1" applyFont="1" applyFill="1" applyBorder="1" applyAlignment="1">
      <alignment horizontal="center" vertical="center"/>
    </xf>
    <xf numFmtId="9" fontId="30" fillId="11" borderId="5" xfId="27" applyFont="1" applyFill="1" applyBorder="1" applyAlignment="1">
      <alignment horizontal="center" vertical="center"/>
    </xf>
    <xf numFmtId="2" fontId="30" fillId="11" borderId="5" xfId="27" applyNumberFormat="1" applyFont="1" applyFill="1" applyBorder="1" applyAlignment="1">
      <alignment horizontal="center" vertical="center"/>
    </xf>
    <xf numFmtId="169" fontId="30" fillId="11" borderId="5" xfId="0" applyNumberFormat="1" applyFont="1" applyFill="1" applyBorder="1" applyAlignment="1">
      <alignment horizontal="center" vertical="center"/>
    </xf>
    <xf numFmtId="0" fontId="31" fillId="11" borderId="5" xfId="0" applyFont="1" applyFill="1" applyBorder="1" applyAlignment="1">
      <alignment wrapText="1"/>
    </xf>
    <xf numFmtId="9" fontId="0" fillId="0" borderId="0" xfId="0" applyNumberFormat="1"/>
    <xf numFmtId="0" fontId="0" fillId="0" borderId="0" xfId="0" applyAlignment="1">
      <alignment vertical="center" wrapText="1"/>
    </xf>
    <xf numFmtId="2" fontId="0" fillId="0" borderId="0" xfId="0" applyNumberFormat="1" applyAlignment="1">
      <alignment horizontal="center" vertical="center"/>
    </xf>
    <xf numFmtId="0" fontId="30" fillId="5" borderId="5" xfId="0" applyFont="1" applyFill="1" applyBorder="1" applyAlignment="1">
      <alignment horizontal="left" vertical="center" wrapText="1"/>
    </xf>
    <xf numFmtId="164" fontId="21" fillId="5" borderId="5" xfId="0" applyNumberFormat="1" applyFont="1" applyFill="1" applyBorder="1" applyAlignment="1">
      <alignment horizontal="center" vertical="center" wrapText="1"/>
    </xf>
    <xf numFmtId="0" fontId="21" fillId="5" borderId="5" xfId="0" applyFont="1" applyFill="1" applyBorder="1" applyAlignment="1">
      <alignment horizontal="center" vertical="center" wrapText="1"/>
    </xf>
    <xf numFmtId="9" fontId="21" fillId="5" borderId="5" xfId="27" applyFont="1" applyFill="1" applyBorder="1" applyAlignment="1">
      <alignment horizontal="center" vertical="center" wrapText="1"/>
    </xf>
    <xf numFmtId="9" fontId="21" fillId="5" borderId="5" xfId="0" applyNumberFormat="1" applyFont="1" applyFill="1" applyBorder="1" applyAlignment="1">
      <alignment horizontal="center" vertical="center" wrapText="1"/>
    </xf>
    <xf numFmtId="0" fontId="21" fillId="5" borderId="5" xfId="0" applyNumberFormat="1" applyFont="1" applyFill="1" applyBorder="1" applyAlignment="1">
      <alignment horizontal="center" vertical="center" wrapText="1"/>
    </xf>
    <xf numFmtId="169" fontId="21" fillId="5" borderId="5" xfId="0" applyNumberFormat="1" applyFont="1" applyFill="1" applyBorder="1" applyAlignment="1">
      <alignment horizontal="center" vertical="center" wrapText="1"/>
    </xf>
    <xf numFmtId="0" fontId="32" fillId="5" borderId="5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left"/>
    </xf>
    <xf numFmtId="0" fontId="5" fillId="0" borderId="0" xfId="0" applyFont="1"/>
    <xf numFmtId="0" fontId="5" fillId="0" borderId="0" xfId="0" applyFont="1" applyFill="1" applyAlignment="1">
      <alignment horizontal="left"/>
    </xf>
    <xf numFmtId="0" fontId="5" fillId="0" borderId="0" xfId="0" applyFont="1" applyFill="1"/>
    <xf numFmtId="0" fontId="21" fillId="0" borderId="0" xfId="0" applyFont="1" applyFill="1" applyBorder="1" applyAlignment="1">
      <alignment horizontal="left" vertical="center" wrapText="1"/>
    </xf>
    <xf numFmtId="164" fontId="21" fillId="0" borderId="0" xfId="0" applyNumberFormat="1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vertical="center" wrapText="1"/>
    </xf>
    <xf numFmtId="9" fontId="21" fillId="0" borderId="0" xfId="0" applyNumberFormat="1" applyFont="1" applyFill="1" applyBorder="1" applyAlignment="1">
      <alignment horizontal="center" vertical="center" wrapText="1"/>
    </xf>
    <xf numFmtId="0" fontId="30" fillId="12" borderId="5" xfId="0" applyFont="1" applyFill="1" applyBorder="1" applyAlignment="1">
      <alignment horizontal="left" vertical="center" wrapText="1"/>
    </xf>
    <xf numFmtId="164" fontId="30" fillId="12" borderId="5" xfId="0" applyNumberFormat="1" applyFont="1" applyFill="1" applyBorder="1" applyAlignment="1">
      <alignment horizontal="center" vertical="center" wrapText="1"/>
    </xf>
    <xf numFmtId="0" fontId="30" fillId="12" borderId="5" xfId="0" applyFont="1" applyFill="1" applyBorder="1" applyAlignment="1">
      <alignment horizontal="center" vertical="center" wrapText="1"/>
    </xf>
    <xf numFmtId="9" fontId="30" fillId="12" borderId="5" xfId="0" applyNumberFormat="1" applyFont="1" applyFill="1" applyBorder="1" applyAlignment="1">
      <alignment horizontal="center" vertical="center" wrapText="1"/>
    </xf>
    <xf numFmtId="164" fontId="30" fillId="12" borderId="5" xfId="0" applyNumberFormat="1" applyFont="1" applyFill="1" applyBorder="1" applyAlignment="1">
      <alignment horizontal="center" vertical="center"/>
    </xf>
    <xf numFmtId="168" fontId="30" fillId="12" borderId="5" xfId="0" applyNumberFormat="1" applyFont="1" applyFill="1" applyBorder="1" applyAlignment="1">
      <alignment horizontal="center" vertical="center" wrapText="1"/>
    </xf>
    <xf numFmtId="0" fontId="32" fillId="12" borderId="5" xfId="0" applyFont="1" applyFill="1" applyBorder="1" applyAlignment="1">
      <alignment horizontal="left" vertical="center" wrapText="1"/>
    </xf>
    <xf numFmtId="0" fontId="30" fillId="0" borderId="0" xfId="0" applyFont="1" applyFill="1" applyBorder="1" applyAlignment="1">
      <alignment horizontal="left" vertical="center" wrapText="1"/>
    </xf>
    <xf numFmtId="0" fontId="31" fillId="0" borderId="0" xfId="0" applyFont="1" applyAlignment="1">
      <alignment horizontal="left" vertical="center" wrapText="1"/>
    </xf>
    <xf numFmtId="164" fontId="32" fillId="0" borderId="0" xfId="0" applyNumberFormat="1" applyFont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32" fillId="0" borderId="0" xfId="0" applyFont="1" applyAlignment="1">
      <alignment wrapText="1"/>
    </xf>
    <xf numFmtId="0" fontId="32" fillId="0" borderId="29" xfId="0" applyFont="1" applyBorder="1" applyAlignment="1">
      <alignment horizontal="left" vertical="center" wrapText="1"/>
    </xf>
    <xf numFmtId="0" fontId="32" fillId="0" borderId="0" xfId="0" applyFont="1" applyBorder="1" applyAlignment="1">
      <alignment horizontal="left" vertical="center"/>
    </xf>
    <xf numFmtId="0" fontId="32" fillId="0" borderId="0" xfId="0" applyFont="1" applyBorder="1" applyAlignment="1">
      <alignment horizontal="left" wrapText="1"/>
    </xf>
    <xf numFmtId="0" fontId="32" fillId="0" borderId="28" xfId="0" applyFont="1" applyBorder="1" applyAlignment="1">
      <alignment horizontal="left"/>
    </xf>
    <xf numFmtId="164" fontId="32" fillId="0" borderId="0" xfId="0" applyNumberFormat="1" applyFont="1" applyBorder="1" applyAlignment="1">
      <alignment horizontal="left" vertical="center"/>
    </xf>
    <xf numFmtId="0" fontId="32" fillId="0" borderId="27" xfId="0" applyFont="1" applyBorder="1" applyAlignment="1">
      <alignment horizontal="left" vertical="center"/>
    </xf>
    <xf numFmtId="0" fontId="32" fillId="0" borderId="28" xfId="0" applyFont="1" applyBorder="1" applyAlignment="1">
      <alignment horizontal="left" vertical="center" wrapText="1"/>
    </xf>
    <xf numFmtId="0" fontId="32" fillId="0" borderId="27" xfId="0" applyFont="1" applyBorder="1" applyAlignment="1">
      <alignment horizontal="left" wrapText="1"/>
    </xf>
    <xf numFmtId="0" fontId="32" fillId="0" borderId="0" xfId="0" applyFont="1" applyBorder="1" applyAlignment="1">
      <alignment horizontal="left"/>
    </xf>
    <xf numFmtId="0" fontId="32" fillId="0" borderId="32" xfId="0" applyFont="1" applyBorder="1" applyAlignment="1">
      <alignment horizontal="left" vertical="center" wrapText="1"/>
    </xf>
    <xf numFmtId="164" fontId="32" fillId="0" borderId="13" xfId="0" applyNumberFormat="1" applyFont="1" applyBorder="1" applyAlignment="1">
      <alignment horizontal="left" vertical="center"/>
    </xf>
    <xf numFmtId="0" fontId="32" fillId="0" borderId="13" xfId="0" applyFont="1" applyBorder="1" applyAlignment="1">
      <alignment horizontal="left" vertical="center"/>
    </xf>
    <xf numFmtId="0" fontId="32" fillId="0" borderId="33" xfId="0" applyFont="1" applyBorder="1" applyAlignment="1">
      <alignment horizontal="left" wrapText="1"/>
    </xf>
    <xf numFmtId="0" fontId="32" fillId="0" borderId="0" xfId="0" applyFont="1" applyAlignment="1">
      <alignment horizontal="left" vertical="center" wrapText="1"/>
    </xf>
    <xf numFmtId="164" fontId="32" fillId="0" borderId="0" xfId="0" applyNumberFormat="1" applyFont="1" applyAlignment="1">
      <alignment horizontal="left" vertical="center"/>
    </xf>
    <xf numFmtId="0" fontId="32" fillId="0" borderId="0" xfId="0" applyFont="1" applyAlignment="1">
      <alignment horizontal="left" vertical="center"/>
    </xf>
    <xf numFmtId="0" fontId="32" fillId="0" borderId="0" xfId="0" applyFont="1" applyAlignment="1">
      <alignment horizontal="left" wrapText="1"/>
    </xf>
    <xf numFmtId="0" fontId="0" fillId="0" borderId="28" xfId="0" applyBorder="1" applyAlignment="1">
      <alignment horizontal="left"/>
    </xf>
    <xf numFmtId="0" fontId="32" fillId="0" borderId="27" xfId="0" applyFont="1" applyBorder="1" applyAlignment="1">
      <alignment horizontal="left"/>
    </xf>
    <xf numFmtId="0" fontId="32" fillId="0" borderId="13" xfId="0" applyFont="1" applyBorder="1" applyAlignment="1">
      <alignment horizontal="left"/>
    </xf>
    <xf numFmtId="0" fontId="32" fillId="0" borderId="33" xfId="0" applyFont="1" applyBorder="1" applyAlignment="1">
      <alignment horizontal="left"/>
    </xf>
    <xf numFmtId="0" fontId="32" fillId="0" borderId="31" xfId="0" applyFont="1" applyBorder="1" applyAlignment="1">
      <alignment horizontal="left" vertical="center"/>
    </xf>
    <xf numFmtId="0" fontId="32" fillId="0" borderId="27" xfId="0" applyFont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21" fillId="0" borderId="0" xfId="0" applyFont="1" applyAlignment="1">
      <alignment horizontal="left" wrapText="1"/>
    </xf>
    <xf numFmtId="0" fontId="32" fillId="0" borderId="32" xfId="0" applyFont="1" applyBorder="1" applyAlignment="1">
      <alignment horizontal="left"/>
    </xf>
    <xf numFmtId="0" fontId="32" fillId="0" borderId="13" xfId="0" applyFont="1" applyBorder="1" applyAlignment="1">
      <alignment horizontal="left" vertical="center" wrapText="1"/>
    </xf>
    <xf numFmtId="0" fontId="32" fillId="0" borderId="33" xfId="0" applyFont="1" applyBorder="1" applyAlignment="1">
      <alignment horizontal="left" vertical="center"/>
    </xf>
    <xf numFmtId="0" fontId="32" fillId="0" borderId="30" xfId="0" applyFont="1" applyFill="1" applyBorder="1" applyAlignment="1">
      <alignment horizontal="left" vertical="center"/>
    </xf>
    <xf numFmtId="0" fontId="0" fillId="0" borderId="0" xfId="0" applyAlignment="1">
      <alignment horizontal="left" vertical="center" wrapText="1"/>
    </xf>
    <xf numFmtId="164" fontId="0" fillId="0" borderId="0" xfId="0" applyNumberFormat="1" applyAlignment="1">
      <alignment horizontal="left" vertical="center"/>
    </xf>
    <xf numFmtId="0" fontId="0" fillId="0" borderId="31" xfId="0" applyBorder="1" applyAlignment="1">
      <alignment horizontal="left" vertical="center"/>
    </xf>
    <xf numFmtId="0" fontId="0" fillId="0" borderId="27" xfId="0" applyBorder="1" applyAlignment="1">
      <alignment horizontal="left" vertical="center"/>
    </xf>
    <xf numFmtId="0" fontId="32" fillId="0" borderId="28" xfId="0" applyFont="1" applyBorder="1" applyAlignment="1">
      <alignment horizontal="left" vertical="center"/>
    </xf>
    <xf numFmtId="0" fontId="32" fillId="0" borderId="32" xfId="0" applyFont="1" applyBorder="1" applyAlignment="1">
      <alignment horizontal="left" vertical="center"/>
    </xf>
    <xf numFmtId="0" fontId="32" fillId="0" borderId="13" xfId="0" applyFont="1" applyBorder="1" applyAlignment="1">
      <alignment horizontal="left" wrapText="1"/>
    </xf>
    <xf numFmtId="0" fontId="0" fillId="0" borderId="33" xfId="0" applyBorder="1" applyAlignment="1">
      <alignment horizontal="left" vertical="center"/>
    </xf>
    <xf numFmtId="0" fontId="0" fillId="0" borderId="29" xfId="0" applyBorder="1" applyAlignment="1">
      <alignment vertical="center" wrapText="1"/>
    </xf>
    <xf numFmtId="0" fontId="21" fillId="0" borderId="30" xfId="0" applyFont="1" applyBorder="1"/>
    <xf numFmtId="0" fontId="0" fillId="0" borderId="30" xfId="0" applyBorder="1" applyAlignment="1">
      <alignment horizontal="center" vertical="center"/>
    </xf>
    <xf numFmtId="0" fontId="21" fillId="0" borderId="31" xfId="0" applyFont="1" applyBorder="1" applyAlignment="1">
      <alignment wrapText="1"/>
    </xf>
    <xf numFmtId="0" fontId="0" fillId="0" borderId="28" xfId="0" applyBorder="1" applyAlignment="1">
      <alignment vertical="center" wrapText="1"/>
    </xf>
    <xf numFmtId="0" fontId="21" fillId="0" borderId="0" xfId="0" applyFont="1" applyBorder="1"/>
    <xf numFmtId="0" fontId="0" fillId="0" borderId="0" xfId="0" applyBorder="1" applyAlignment="1">
      <alignment horizontal="center" vertical="center"/>
    </xf>
    <xf numFmtId="0" fontId="21" fillId="0" borderId="27" xfId="0" applyFont="1" applyBorder="1" applyAlignment="1">
      <alignment wrapText="1"/>
    </xf>
    <xf numFmtId="0" fontId="30" fillId="0" borderId="0" xfId="0" applyFont="1" applyBorder="1"/>
    <xf numFmtId="164" fontId="0" fillId="0" borderId="0" xfId="0" applyNumberFormat="1" applyBorder="1" applyAlignment="1">
      <alignment horizontal="center" vertical="center"/>
    </xf>
    <xf numFmtId="0" fontId="0" fillId="0" borderId="28" xfId="0" applyBorder="1" applyAlignment="1">
      <alignment horizontal="left" vertical="center" wrapText="1"/>
    </xf>
    <xf numFmtId="0" fontId="37" fillId="0" borderId="0" xfId="0" applyFont="1" applyBorder="1"/>
    <xf numFmtId="0" fontId="0" fillId="0" borderId="0" xfId="0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21" fillId="0" borderId="27" xfId="0" applyFont="1" applyBorder="1" applyAlignment="1">
      <alignment horizontal="left" wrapText="1"/>
    </xf>
    <xf numFmtId="164" fontId="5" fillId="0" borderId="0" xfId="0" applyNumberFormat="1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wrapText="1"/>
    </xf>
    <xf numFmtId="0" fontId="21" fillId="0" borderId="0" xfId="0" applyFont="1" applyBorder="1" applyAlignment="1">
      <alignment horizontal="left" wrapText="1"/>
    </xf>
    <xf numFmtId="0" fontId="5" fillId="7" borderId="27" xfId="0" applyFont="1" applyFill="1" applyBorder="1" applyAlignment="1">
      <alignment horizontal="left"/>
    </xf>
    <xf numFmtId="1" fontId="39" fillId="0" borderId="0" xfId="0" applyNumberFormat="1" applyFont="1" applyBorder="1" applyAlignment="1">
      <alignment horizontal="right"/>
    </xf>
    <xf numFmtId="0" fontId="39" fillId="0" borderId="0" xfId="0" applyFont="1" applyBorder="1" applyAlignment="1">
      <alignment horizontal="right" vertical="top" wrapText="1"/>
    </xf>
    <xf numFmtId="164" fontId="0" fillId="0" borderId="0" xfId="0" applyNumberFormat="1" applyBorder="1" applyAlignment="1">
      <alignment horizontal="left" vertical="center"/>
    </xf>
    <xf numFmtId="1" fontId="0" fillId="0" borderId="0" xfId="0" applyNumberFormat="1" applyBorder="1" applyAlignment="1">
      <alignment horizontal="left" vertical="center"/>
    </xf>
    <xf numFmtId="0" fontId="0" fillId="7" borderId="27" xfId="0" applyFill="1" applyBorder="1" applyAlignment="1">
      <alignment horizontal="left" vertical="center"/>
    </xf>
    <xf numFmtId="0" fontId="0" fillId="0" borderId="27" xfId="0" applyBorder="1" applyAlignment="1">
      <alignment horizontal="center" vertical="center"/>
    </xf>
    <xf numFmtId="4" fontId="39" fillId="0" borderId="0" xfId="0" applyNumberFormat="1" applyFont="1" applyFill="1" applyBorder="1" applyAlignment="1">
      <alignment horizontal="right"/>
    </xf>
    <xf numFmtId="0" fontId="40" fillId="0" borderId="0" xfId="0" applyFont="1" applyBorder="1" applyAlignment="1">
      <alignment horizontal="left"/>
    </xf>
    <xf numFmtId="0" fontId="21" fillId="0" borderId="0" xfId="0" applyFont="1" applyBorder="1" applyAlignment="1">
      <alignment horizontal="left"/>
    </xf>
    <xf numFmtId="0" fontId="5" fillId="7" borderId="0" xfId="0" applyFont="1" applyFill="1" applyBorder="1" applyAlignment="1">
      <alignment horizontal="left" vertical="center" wrapText="1"/>
    </xf>
    <xf numFmtId="0" fontId="42" fillId="0" borderId="0" xfId="0" applyFont="1" applyBorder="1" applyAlignment="1">
      <alignment horizontal="left" wrapText="1"/>
    </xf>
    <xf numFmtId="0" fontId="42" fillId="0" borderId="0" xfId="0" applyFont="1" applyBorder="1" applyAlignment="1">
      <alignment horizontal="left" vertical="top" wrapText="1"/>
    </xf>
    <xf numFmtId="3" fontId="42" fillId="0" borderId="0" xfId="0" applyNumberFormat="1" applyFont="1" applyBorder="1" applyAlignment="1">
      <alignment horizontal="left" vertical="top" wrapText="1"/>
    </xf>
    <xf numFmtId="3" fontId="0" fillId="0" borderId="0" xfId="0" applyNumberFormat="1" applyBorder="1" applyAlignment="1">
      <alignment horizontal="left" vertical="center"/>
    </xf>
    <xf numFmtId="0" fontId="0" fillId="7" borderId="0" xfId="0" applyFill="1" applyBorder="1" applyAlignment="1">
      <alignment horizontal="left" vertical="center"/>
    </xf>
    <xf numFmtId="3" fontId="42" fillId="0" borderId="0" xfId="0" applyNumberFormat="1" applyFont="1" applyBorder="1" applyAlignment="1">
      <alignment horizontal="left" wrapText="1"/>
    </xf>
    <xf numFmtId="0" fontId="0" fillId="0" borderId="32" xfId="0" applyBorder="1" applyAlignment="1">
      <alignment horizontal="left" vertical="center" wrapText="1"/>
    </xf>
    <xf numFmtId="0" fontId="42" fillId="0" borderId="13" xfId="0" applyFont="1" applyBorder="1" applyAlignment="1">
      <alignment horizontal="left" wrapText="1"/>
    </xf>
    <xf numFmtId="3" fontId="42" fillId="0" borderId="13" xfId="0" applyNumberFormat="1" applyFont="1" applyBorder="1" applyAlignment="1">
      <alignment horizontal="left" wrapText="1"/>
    </xf>
    <xf numFmtId="0" fontId="0" fillId="0" borderId="13" xfId="0" applyBorder="1" applyAlignment="1">
      <alignment horizontal="left" vertical="center"/>
    </xf>
    <xf numFmtId="0" fontId="21" fillId="0" borderId="33" xfId="0" applyFont="1" applyBorder="1" applyAlignment="1">
      <alignment horizontal="left" wrapText="1"/>
    </xf>
    <xf numFmtId="0" fontId="17" fillId="0" borderId="0" xfId="26"/>
    <xf numFmtId="1" fontId="17" fillId="0" borderId="0" xfId="27" applyNumberFormat="1" applyFont="1"/>
    <xf numFmtId="43" fontId="17" fillId="0" borderId="0" xfId="2" applyFont="1"/>
    <xf numFmtId="1" fontId="17" fillId="0" borderId="0" xfId="26" applyNumberFormat="1"/>
    <xf numFmtId="0" fontId="45" fillId="0" borderId="0" xfId="0" applyFont="1"/>
    <xf numFmtId="0" fontId="17" fillId="0" borderId="34" xfId="26" applyBorder="1"/>
    <xf numFmtId="0" fontId="17" fillId="0" borderId="0" xfId="26" applyFill="1"/>
    <xf numFmtId="0" fontId="17" fillId="0" borderId="0" xfId="26" applyBorder="1"/>
    <xf numFmtId="0" fontId="17" fillId="0" borderId="0" xfId="26" applyFill="1" applyBorder="1"/>
    <xf numFmtId="0" fontId="17" fillId="0" borderId="0" xfId="26" applyFont="1" applyBorder="1"/>
    <xf numFmtId="0" fontId="17" fillId="0" borderId="0" xfId="26" applyFont="1" applyFill="1" applyBorder="1"/>
    <xf numFmtId="0" fontId="18" fillId="0" borderId="0" xfId="26" applyFont="1" applyFill="1" applyBorder="1" applyAlignment="1">
      <alignment horizontal="center" vertical="center" wrapText="1"/>
    </xf>
    <xf numFmtId="0" fontId="17" fillId="0" borderId="0" xfId="26" applyBorder="1" applyAlignment="1">
      <alignment horizontal="center"/>
    </xf>
    <xf numFmtId="0" fontId="17" fillId="0" borderId="0" xfId="26" applyFont="1" applyBorder="1" applyAlignment="1">
      <alignment horizontal="center"/>
    </xf>
    <xf numFmtId="7" fontId="17" fillId="0" borderId="0" xfId="26" applyNumberFormat="1" applyBorder="1" applyAlignment="1">
      <alignment horizontal="center"/>
    </xf>
    <xf numFmtId="0" fontId="17" fillId="0" borderId="0" xfId="26" applyAlignment="1">
      <alignment horizontal="center"/>
    </xf>
    <xf numFmtId="9" fontId="17" fillId="0" borderId="0" xfId="27" applyFont="1" applyFill="1" applyAlignment="1">
      <alignment horizontal="center"/>
    </xf>
    <xf numFmtId="9" fontId="17" fillId="0" borderId="0" xfId="27" applyFont="1" applyAlignment="1">
      <alignment horizontal="center"/>
    </xf>
    <xf numFmtId="0" fontId="17" fillId="0" borderId="0" xfId="26" applyFont="1" applyAlignment="1">
      <alignment horizontal="center"/>
    </xf>
    <xf numFmtId="43" fontId="17" fillId="0" borderId="0" xfId="26" applyNumberFormat="1" applyAlignment="1">
      <alignment horizontal="center"/>
    </xf>
    <xf numFmtId="43" fontId="17" fillId="0" borderId="0" xfId="2" applyFont="1" applyAlignment="1">
      <alignment horizontal="center"/>
    </xf>
    <xf numFmtId="0" fontId="46" fillId="0" borderId="0" xfId="26" applyFont="1" applyFill="1" applyBorder="1" applyAlignment="1">
      <alignment horizontal="center" vertical="center" wrapText="1"/>
    </xf>
    <xf numFmtId="0" fontId="18" fillId="0" borderId="0" xfId="26" applyFont="1" applyFill="1" applyAlignment="1">
      <alignment horizontal="center" wrapText="1"/>
    </xf>
    <xf numFmtId="0" fontId="17" fillId="0" borderId="36" xfId="26" applyBorder="1"/>
    <xf numFmtId="0" fontId="17" fillId="0" borderId="37" xfId="26" applyFill="1" applyBorder="1"/>
    <xf numFmtId="3" fontId="17" fillId="0" borderId="39" xfId="26" applyNumberFormat="1" applyBorder="1"/>
    <xf numFmtId="3" fontId="17" fillId="0" borderId="40" xfId="26" applyNumberFormat="1" applyBorder="1"/>
    <xf numFmtId="3" fontId="17" fillId="0" borderId="41" xfId="26" applyNumberFormat="1" applyBorder="1"/>
    <xf numFmtId="0" fontId="45" fillId="0" borderId="0" xfId="0" applyFont="1" applyFill="1" applyBorder="1" applyAlignment="1">
      <alignment horizontal="left"/>
    </xf>
    <xf numFmtId="0" fontId="45" fillId="0" borderId="0" xfId="0" applyFont="1" applyFill="1" applyBorder="1"/>
    <xf numFmtId="43" fontId="17" fillId="0" borderId="0" xfId="2" applyNumberFormat="1" applyFont="1" applyAlignment="1">
      <alignment horizontal="right"/>
    </xf>
    <xf numFmtId="43" fontId="17" fillId="0" borderId="0" xfId="26" applyNumberFormat="1" applyAlignment="1">
      <alignment horizontal="right"/>
    </xf>
    <xf numFmtId="175" fontId="17" fillId="0" borderId="0" xfId="26" applyNumberFormat="1" applyAlignment="1">
      <alignment horizontal="right"/>
    </xf>
    <xf numFmtId="0" fontId="17" fillId="0" borderId="35" xfId="26" applyBorder="1" applyAlignment="1">
      <alignment horizontal="center"/>
    </xf>
    <xf numFmtId="0" fontId="17" fillId="0" borderId="34" xfId="26" applyBorder="1" applyAlignment="1">
      <alignment horizontal="center"/>
    </xf>
    <xf numFmtId="0" fontId="17" fillId="0" borderId="37" xfId="26" applyBorder="1" applyAlignment="1">
      <alignment horizontal="center" vertical="center" wrapText="1"/>
    </xf>
    <xf numFmtId="0" fontId="17" fillId="0" borderId="42" xfId="26" applyBorder="1" applyAlignment="1">
      <alignment horizontal="center" vertical="center"/>
    </xf>
    <xf numFmtId="0" fontId="17" fillId="0" borderId="43" xfId="26" applyBorder="1" applyAlignment="1">
      <alignment horizontal="center" vertical="center"/>
    </xf>
    <xf numFmtId="0" fontId="17" fillId="0" borderId="44" xfId="26" applyBorder="1" applyAlignment="1">
      <alignment horizontal="center" vertical="center"/>
    </xf>
    <xf numFmtId="166" fontId="17" fillId="0" borderId="45" xfId="26" applyNumberFormat="1" applyBorder="1" applyAlignment="1">
      <alignment horizontal="center" vertical="center"/>
    </xf>
    <xf numFmtId="43" fontId="17" fillId="0" borderId="45" xfId="26" applyNumberFormat="1" applyBorder="1" applyAlignment="1">
      <alignment horizontal="center" vertical="center"/>
    </xf>
    <xf numFmtId="166" fontId="17" fillId="0" borderId="5" xfId="26" applyNumberFormat="1" applyBorder="1" applyAlignment="1">
      <alignment horizontal="center" vertical="center"/>
    </xf>
    <xf numFmtId="43" fontId="17" fillId="0" borderId="5" xfId="26" applyNumberFormat="1" applyBorder="1" applyAlignment="1">
      <alignment horizontal="center" vertical="center"/>
    </xf>
    <xf numFmtId="166" fontId="17" fillId="0" borderId="46" xfId="26" applyNumberFormat="1" applyBorder="1" applyAlignment="1">
      <alignment horizontal="center" vertical="center"/>
    </xf>
    <xf numFmtId="175" fontId="17" fillId="0" borderId="46" xfId="26" applyNumberFormat="1" applyBorder="1" applyAlignment="1">
      <alignment horizontal="center" vertical="center"/>
    </xf>
    <xf numFmtId="165" fontId="17" fillId="0" borderId="38" xfId="26" applyNumberFormat="1" applyBorder="1" applyAlignment="1">
      <alignment horizontal="center" vertical="center"/>
    </xf>
    <xf numFmtId="165" fontId="17" fillId="0" borderId="39" xfId="26" applyNumberFormat="1" applyBorder="1" applyAlignment="1">
      <alignment horizontal="center" vertical="center"/>
    </xf>
    <xf numFmtId="165" fontId="17" fillId="0" borderId="40" xfId="26" applyNumberFormat="1" applyBorder="1" applyAlignment="1">
      <alignment horizontal="center" vertical="center"/>
    </xf>
    <xf numFmtId="0" fontId="17" fillId="13" borderId="0" xfId="26" applyFont="1" applyFill="1" applyBorder="1" applyAlignment="1">
      <alignment wrapText="1"/>
    </xf>
    <xf numFmtId="0" fontId="17" fillId="13" borderId="0" xfId="26" applyFont="1" applyFill="1" applyBorder="1"/>
    <xf numFmtId="0" fontId="45" fillId="13" borderId="0" xfId="0" applyFont="1" applyFill="1" applyBorder="1"/>
    <xf numFmtId="0" fontId="17" fillId="0" borderId="0" xfId="26" applyAlignment="1">
      <alignment horizontal="center" vertical="center"/>
    </xf>
    <xf numFmtId="0" fontId="17" fillId="0" borderId="0" xfId="26" applyAlignment="1">
      <alignment horizontal="center" vertical="center" wrapText="1"/>
    </xf>
    <xf numFmtId="165" fontId="17" fillId="0" borderId="0" xfId="26" applyNumberFormat="1"/>
    <xf numFmtId="43" fontId="17" fillId="0" borderId="0" xfId="26" applyNumberFormat="1"/>
    <xf numFmtId="3" fontId="17" fillId="0" borderId="0" xfId="26" applyNumberFormat="1"/>
    <xf numFmtId="0" fontId="47" fillId="0" borderId="0" xfId="26" applyFont="1"/>
    <xf numFmtId="173" fontId="17" fillId="0" borderId="0" xfId="26" applyNumberFormat="1"/>
    <xf numFmtId="0" fontId="1" fillId="0" borderId="0" xfId="33"/>
    <xf numFmtId="0" fontId="48" fillId="0" borderId="0" xfId="33" applyFont="1" applyFill="1" applyBorder="1" applyAlignment="1">
      <alignment horizontal="left" indent="1"/>
    </xf>
    <xf numFmtId="0" fontId="49" fillId="0" borderId="0" xfId="33" applyFont="1" applyBorder="1" applyAlignment="1">
      <alignment horizontal="left" vertical="center" wrapText="1"/>
    </xf>
    <xf numFmtId="0" fontId="49" fillId="0" borderId="0" xfId="33" applyFont="1"/>
    <xf numFmtId="0" fontId="17" fillId="0" borderId="0" xfId="26" applyFont="1" applyFill="1" applyBorder="1" applyAlignment="1">
      <alignment horizontal="left" indent="1"/>
    </xf>
    <xf numFmtId="0" fontId="17" fillId="0" borderId="0" xfId="26" applyFont="1" applyFill="1" applyBorder="1" applyAlignment="1">
      <alignment horizontal="left" wrapText="1" indent="1"/>
    </xf>
    <xf numFmtId="0" fontId="17" fillId="0" borderId="0" xfId="26" applyFont="1" applyAlignment="1">
      <alignment horizontal="left" indent="1"/>
    </xf>
    <xf numFmtId="0" fontId="17" fillId="0" borderId="0" xfId="26" applyFont="1" applyFill="1" applyAlignment="1">
      <alignment horizontal="left" indent="1"/>
    </xf>
    <xf numFmtId="0" fontId="50" fillId="0" borderId="0" xfId="33" applyFont="1" applyBorder="1" applyAlignment="1">
      <alignment horizontal="center" vertical="center" wrapText="1"/>
    </xf>
    <xf numFmtId="166" fontId="50" fillId="0" borderId="40" xfId="34" applyNumberFormat="1" applyFont="1" applyBorder="1" applyAlignment="1"/>
    <xf numFmtId="166" fontId="50" fillId="0" borderId="46" xfId="34" applyNumberFormat="1" applyFont="1" applyBorder="1" applyAlignment="1"/>
    <xf numFmtId="0" fontId="50" fillId="0" borderId="46" xfId="33" applyFont="1" applyBorder="1" applyAlignment="1">
      <alignment horizontal="center" vertical="center" wrapText="1"/>
    </xf>
    <xf numFmtId="3" fontId="1" fillId="0" borderId="37" xfId="33" applyNumberFormat="1" applyBorder="1"/>
    <xf numFmtId="166" fontId="50" fillId="0" borderId="39" xfId="34" applyNumberFormat="1" applyFont="1" applyBorder="1" applyAlignment="1"/>
    <xf numFmtId="166" fontId="50" fillId="0" borderId="5" xfId="34" applyNumberFormat="1" applyFont="1" applyBorder="1" applyAlignment="1"/>
    <xf numFmtId="0" fontId="50" fillId="0" borderId="5" xfId="33" applyFont="1" applyBorder="1" applyAlignment="1">
      <alignment horizontal="center" vertical="center" wrapText="1"/>
    </xf>
    <xf numFmtId="0" fontId="1" fillId="0" borderId="34" xfId="33" applyBorder="1"/>
    <xf numFmtId="166" fontId="50" fillId="0" borderId="47" xfId="34" applyNumberFormat="1" applyFont="1" applyBorder="1" applyAlignment="1"/>
    <xf numFmtId="3" fontId="1" fillId="0" borderId="34" xfId="33" applyNumberFormat="1" applyBorder="1" applyAlignment="1">
      <alignment horizontal="left" indent="1"/>
    </xf>
    <xf numFmtId="3" fontId="1" fillId="0" borderId="34" xfId="33" applyNumberFormat="1" applyBorder="1"/>
    <xf numFmtId="166" fontId="50" fillId="0" borderId="39" xfId="34" applyNumberFormat="1" applyFont="1" applyBorder="1" applyAlignment="1">
      <alignment vertical="center"/>
    </xf>
    <xf numFmtId="166" fontId="50" fillId="0" borderId="5" xfId="34" applyNumberFormat="1" applyFont="1" applyBorder="1" applyAlignment="1">
      <alignment vertical="center"/>
    </xf>
    <xf numFmtId="166" fontId="50" fillId="0" borderId="48" xfId="34" applyNumberFormat="1" applyFont="1" applyBorder="1" applyAlignment="1">
      <alignment vertical="center"/>
    </xf>
    <xf numFmtId="166" fontId="50" fillId="0" borderId="49" xfId="34" applyNumberFormat="1" applyFont="1" applyBorder="1" applyAlignment="1">
      <alignment vertical="center"/>
    </xf>
    <xf numFmtId="0" fontId="50" fillId="0" borderId="49" xfId="33" applyFont="1" applyBorder="1" applyAlignment="1">
      <alignment horizontal="center" vertical="center" wrapText="1"/>
    </xf>
    <xf numFmtId="0" fontId="1" fillId="0" borderId="50" xfId="33" applyBorder="1"/>
    <xf numFmtId="0" fontId="1" fillId="0" borderId="0" xfId="33" applyAlignment="1">
      <alignment horizontal="center"/>
    </xf>
    <xf numFmtId="0" fontId="50" fillId="0" borderId="40" xfId="33" applyFont="1" applyBorder="1" applyAlignment="1">
      <alignment horizontal="center" vertical="center" wrapText="1"/>
    </xf>
    <xf numFmtId="0" fontId="50" fillId="0" borderId="42" xfId="33" applyFont="1" applyBorder="1" applyAlignment="1">
      <alignment horizontal="center" vertical="center" wrapText="1"/>
    </xf>
    <xf numFmtId="0" fontId="46" fillId="0" borderId="26" xfId="26" applyFont="1" applyBorder="1" applyAlignment="1">
      <alignment horizontal="center" vertical="center" wrapText="1"/>
    </xf>
    <xf numFmtId="0" fontId="46" fillId="0" borderId="22" xfId="26" applyFont="1" applyBorder="1" applyAlignment="1">
      <alignment horizontal="center" vertical="center" wrapText="1"/>
    </xf>
    <xf numFmtId="0" fontId="17" fillId="0" borderId="0" xfId="26" applyAlignment="1">
      <alignment horizontal="center"/>
    </xf>
    <xf numFmtId="0" fontId="50" fillId="0" borderId="26" xfId="33" applyFont="1" applyBorder="1" applyAlignment="1">
      <alignment horizontal="center" vertical="center" wrapText="1"/>
    </xf>
    <xf numFmtId="0" fontId="50" fillId="0" borderId="2" xfId="33" applyFont="1" applyBorder="1" applyAlignment="1">
      <alignment horizontal="center" vertical="center" wrapText="1"/>
    </xf>
    <xf numFmtId="0" fontId="50" fillId="0" borderId="22" xfId="33" applyFont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/>
    </xf>
    <xf numFmtId="0" fontId="3" fillId="3" borderId="18" xfId="0" applyFont="1" applyFill="1" applyBorder="1" applyAlignment="1">
      <alignment horizontal="center"/>
    </xf>
    <xf numFmtId="0" fontId="3" fillId="3" borderId="19" xfId="0" applyFont="1" applyFill="1" applyBorder="1" applyAlignment="1">
      <alignment horizontal="center"/>
    </xf>
    <xf numFmtId="0" fontId="3" fillId="3" borderId="20" xfId="0" quotePrefix="1" applyFont="1" applyFill="1" applyBorder="1" applyAlignment="1">
      <alignment horizontal="center"/>
    </xf>
    <xf numFmtId="0" fontId="3" fillId="3" borderId="18" xfId="0" quotePrefix="1" applyFont="1" applyFill="1" applyBorder="1" applyAlignment="1">
      <alignment horizontal="center"/>
    </xf>
    <xf numFmtId="0" fontId="3" fillId="3" borderId="19" xfId="0" quotePrefix="1" applyFont="1" applyFill="1" applyBorder="1" applyAlignment="1">
      <alignment horizontal="center"/>
    </xf>
    <xf numFmtId="0" fontId="41" fillId="0" borderId="0" xfId="0" applyFont="1" applyBorder="1" applyAlignment="1">
      <alignment horizontal="left" wrapText="1"/>
    </xf>
    <xf numFmtId="164" fontId="32" fillId="0" borderId="30" xfId="0" applyNumberFormat="1" applyFont="1" applyBorder="1" applyAlignment="1">
      <alignment horizontal="left" vertical="center"/>
    </xf>
    <xf numFmtId="0" fontId="32" fillId="0" borderId="30" xfId="0" applyFont="1" applyBorder="1" applyAlignment="1">
      <alignment horizontal="left" vertical="center"/>
    </xf>
    <xf numFmtId="0" fontId="32" fillId="0" borderId="30" xfId="0" applyFont="1" applyFill="1" applyBorder="1" applyAlignment="1">
      <alignment horizontal="left" vertical="center" wrapText="1"/>
    </xf>
    <xf numFmtId="0" fontId="32" fillId="0" borderId="31" xfId="0" applyFont="1" applyBorder="1" applyAlignment="1">
      <alignment horizontal="left" wrapText="1"/>
    </xf>
    <xf numFmtId="0" fontId="32" fillId="0" borderId="0" xfId="0" applyFont="1" applyFill="1" applyBorder="1" applyAlignment="1">
      <alignment horizontal="left" vertical="center" wrapText="1"/>
    </xf>
    <xf numFmtId="0" fontId="32" fillId="0" borderId="30" xfId="0" applyFont="1" applyBorder="1" applyAlignment="1">
      <alignment horizontal="left" vertical="center" wrapText="1"/>
    </xf>
    <xf numFmtId="0" fontId="32" fillId="0" borderId="31" xfId="0" applyFont="1" applyBorder="1" applyAlignment="1">
      <alignment horizontal="left" vertical="center" wrapText="1"/>
    </xf>
    <xf numFmtId="0" fontId="32" fillId="0" borderId="0" xfId="0" applyFont="1" applyBorder="1" applyAlignment="1">
      <alignment horizontal="left" vertical="center" wrapText="1"/>
    </xf>
  </cellXfs>
  <cellStyles count="35">
    <cellStyle name="Actual Date" xfId="1" xr:uid="{00000000-0005-0000-0000-000000000000}"/>
    <cellStyle name="Comma" xfId="2" builtinId="3"/>
    <cellStyle name="Comma 2" xfId="34" xr:uid="{4418B2AD-A393-46B2-8AF4-E247C5DEA9E7}"/>
    <cellStyle name="Comma0" xfId="3" xr:uid="{00000000-0005-0000-0000-000002000000}"/>
    <cellStyle name="Currency" xfId="4" builtinId="4"/>
    <cellStyle name="Currency0" xfId="5" xr:uid="{00000000-0005-0000-0000-000004000000}"/>
    <cellStyle name="Date" xfId="6" xr:uid="{00000000-0005-0000-0000-000005000000}"/>
    <cellStyle name="Fixed" xfId="7" xr:uid="{00000000-0005-0000-0000-000006000000}"/>
    <cellStyle name="Grey" xfId="8" xr:uid="{00000000-0005-0000-0000-000007000000}"/>
    <cellStyle name="HEADER" xfId="9" xr:uid="{00000000-0005-0000-0000-000008000000}"/>
    <cellStyle name="Header1" xfId="10" xr:uid="{00000000-0005-0000-0000-000009000000}"/>
    <cellStyle name="Header2" xfId="11" xr:uid="{00000000-0005-0000-0000-00000A000000}"/>
    <cellStyle name="Heading" xfId="12" xr:uid="{00000000-0005-0000-0000-00000B000000}"/>
    <cellStyle name="Heading1" xfId="13" xr:uid="{00000000-0005-0000-0000-00000C000000}"/>
    <cellStyle name="Heading2" xfId="14" xr:uid="{00000000-0005-0000-0000-00000D000000}"/>
    <cellStyle name="HIGHLIGHT" xfId="15" xr:uid="{00000000-0005-0000-0000-00000E000000}"/>
    <cellStyle name="Indent (1)" xfId="16" xr:uid="{00000000-0005-0000-0000-00000F000000}"/>
    <cellStyle name="Indent (2)" xfId="17" xr:uid="{00000000-0005-0000-0000-000010000000}"/>
    <cellStyle name="Indent (3)" xfId="18" xr:uid="{00000000-0005-0000-0000-000011000000}"/>
    <cellStyle name="Indent (4)" xfId="19" xr:uid="{00000000-0005-0000-0000-000012000000}"/>
    <cellStyle name="Input [yellow]" xfId="20" xr:uid="{00000000-0005-0000-0000-000013000000}"/>
    <cellStyle name="no dec" xfId="21" xr:uid="{00000000-0005-0000-0000-000014000000}"/>
    <cellStyle name="Normal" xfId="0" builtinId="0"/>
    <cellStyle name="Normal - Style1" xfId="22" xr:uid="{00000000-0005-0000-0000-000016000000}"/>
    <cellStyle name="Normal 2" xfId="33" xr:uid="{FEB70496-7670-4670-91CE-EACF4229A0B0}"/>
    <cellStyle name="Normal 6" xfId="23" xr:uid="{00000000-0005-0000-0000-000017000000}"/>
    <cellStyle name="Normal 7" xfId="24" xr:uid="{00000000-0005-0000-0000-000018000000}"/>
    <cellStyle name="Normal 8" xfId="25" xr:uid="{00000000-0005-0000-0000-000019000000}"/>
    <cellStyle name="Normal_Low Income Budget 6 26 08 (3)" xfId="26" xr:uid="{00000000-0005-0000-0000-00001A000000}"/>
    <cellStyle name="Percent" xfId="27" builtinId="5"/>
    <cellStyle name="Percent (1)" xfId="28" xr:uid="{00000000-0005-0000-0000-00001C000000}"/>
    <cellStyle name="Percent [2]" xfId="29" xr:uid="{00000000-0005-0000-0000-00001D000000}"/>
    <cellStyle name="Unprot" xfId="30" xr:uid="{00000000-0005-0000-0000-00001E000000}"/>
    <cellStyle name="Unprot$" xfId="31" xr:uid="{00000000-0005-0000-0000-00001F000000}"/>
    <cellStyle name="Unprotect" xfId="32" xr:uid="{00000000-0005-0000-0000-000020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TEMP\C.Home.RemoteAccess.tfr0qbi\Goals%20DSM\2003%20IRP\List%20of%20Measures%20200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orkhorse\webdrive\Common\DSM\DSM%20Incentive%20Analysis\SUMMIT%20BLUE%2006-01-05\Lighting%20100s\Incentive%20analysis%20-%20ligh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Project%20Comparison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2005"/>
      <sheetName val="Index"/>
      <sheetName val="unknown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"/>
      <sheetName val="old"/>
      <sheetName val="list"/>
    </sheetNames>
    <sheetDataSet>
      <sheetData sheetId="0" refreshError="1"/>
      <sheetData sheetId="1">
        <row r="5">
          <cell r="V5">
            <v>2</v>
          </cell>
        </row>
      </sheetData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s"/>
      <sheetName val="Project Comparison"/>
      <sheetName val="HELP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R72"/>
  <sheetViews>
    <sheetView zoomScale="90" zoomScaleNormal="90" workbookViewId="0">
      <selection activeCell="C66" sqref="C66"/>
    </sheetView>
  </sheetViews>
  <sheetFormatPr defaultColWidth="10.28515625" defaultRowHeight="15"/>
  <cols>
    <col min="1" max="1" width="58.28515625" style="394" customWidth="1"/>
    <col min="2" max="2" width="17.85546875" style="394" customWidth="1"/>
    <col min="3" max="3" width="10.5703125" style="394" customWidth="1"/>
    <col min="4" max="4" width="16.28515625" style="394" customWidth="1"/>
    <col min="5" max="5" width="13.85546875" style="409" customWidth="1"/>
    <col min="6" max="6" width="13.5703125" style="409" customWidth="1"/>
    <col min="7" max="7" width="12.85546875" style="409" customWidth="1"/>
    <col min="8" max="8" width="10.28515625" style="394" customWidth="1"/>
    <col min="9" max="9" width="12" style="394" bestFit="1" customWidth="1"/>
    <col min="10" max="10" width="13.140625" style="394" customWidth="1"/>
    <col min="11" max="16384" width="10.28515625" style="394"/>
  </cols>
  <sheetData>
    <row r="2" spans="1:18">
      <c r="A2" s="401" t="s">
        <v>397</v>
      </c>
      <c r="E2" s="406"/>
      <c r="F2" s="406"/>
      <c r="G2" s="406"/>
      <c r="H2" s="401"/>
      <c r="I2" s="401"/>
    </row>
    <row r="3" spans="1:18" ht="24" customHeight="1" thickBot="1">
      <c r="A3" s="401" t="s">
        <v>398</v>
      </c>
      <c r="E3" s="406"/>
      <c r="F3" s="406"/>
      <c r="G3" s="406"/>
      <c r="H3" s="401"/>
      <c r="I3" s="401"/>
    </row>
    <row r="4" spans="1:18" ht="36" customHeight="1" thickBot="1">
      <c r="A4" s="481" t="s">
        <v>388</v>
      </c>
      <c r="B4" s="482"/>
      <c r="E4" s="407"/>
      <c r="F4" s="406"/>
      <c r="G4" s="406"/>
      <c r="H4" s="401"/>
      <c r="I4" s="401"/>
    </row>
    <row r="5" spans="1:18">
      <c r="A5" s="399" t="s">
        <v>418</v>
      </c>
      <c r="B5" s="419">
        <v>1000</v>
      </c>
      <c r="D5" s="408"/>
      <c r="E5" s="406"/>
      <c r="F5" s="406"/>
      <c r="G5" s="406"/>
      <c r="H5" s="401"/>
    </row>
    <row r="6" spans="1:18" ht="15.75" thickBot="1">
      <c r="A6" s="418" t="s">
        <v>419</v>
      </c>
      <c r="B6" s="420">
        <v>500</v>
      </c>
      <c r="D6" s="407"/>
      <c r="E6" s="406"/>
      <c r="F6" s="406"/>
      <c r="G6" s="406"/>
      <c r="H6" s="401"/>
    </row>
    <row r="7" spans="1:18" ht="15.75" thickBot="1">
      <c r="A7" s="417" t="s">
        <v>0</v>
      </c>
      <c r="B7" s="421">
        <f>SUM(B5:B6)</f>
        <v>1500</v>
      </c>
      <c r="D7" s="406"/>
      <c r="E7" s="406"/>
      <c r="F7" s="406"/>
      <c r="G7" s="406"/>
      <c r="H7" s="401"/>
    </row>
    <row r="8" spans="1:18">
      <c r="E8" s="406"/>
      <c r="F8" s="406"/>
      <c r="G8" s="406"/>
      <c r="H8" s="401"/>
      <c r="I8" s="401"/>
    </row>
    <row r="9" spans="1:18">
      <c r="F9" s="413"/>
      <c r="P9" s="483" t="s">
        <v>415</v>
      </c>
      <c r="Q9" s="483"/>
    </row>
    <row r="10" spans="1:18" ht="41.25" customHeight="1">
      <c r="A10" s="415" t="s">
        <v>387</v>
      </c>
      <c r="B10" s="405" t="s">
        <v>1</v>
      </c>
      <c r="C10" s="405" t="s">
        <v>2</v>
      </c>
      <c r="D10" s="405" t="s">
        <v>389</v>
      </c>
      <c r="E10" s="405" t="s">
        <v>3</v>
      </c>
      <c r="F10" s="405" t="s">
        <v>4</v>
      </c>
      <c r="G10" s="405" t="s">
        <v>5</v>
      </c>
      <c r="I10" s="445" t="s">
        <v>400</v>
      </c>
      <c r="J10" s="446" t="s">
        <v>401</v>
      </c>
      <c r="L10" s="445" t="s">
        <v>413</v>
      </c>
      <c r="M10" s="446" t="s">
        <v>414</v>
      </c>
      <c r="P10" s="445" t="s">
        <v>392</v>
      </c>
      <c r="Q10" s="445" t="s">
        <v>416</v>
      </c>
    </row>
    <row r="11" spans="1:18">
      <c r="A11" s="394" t="s">
        <v>417</v>
      </c>
      <c r="B11" s="395">
        <v>6</v>
      </c>
      <c r="C11" s="394">
        <f>CFLs!$B$20</f>
        <v>44.2</v>
      </c>
      <c r="D11" s="424">
        <f>CFLs!$H$20</f>
        <v>2.64E-2</v>
      </c>
      <c r="E11" s="410">
        <v>1</v>
      </c>
      <c r="F11" s="414">
        <f>$B11*C11</f>
        <v>265.20000000000005</v>
      </c>
      <c r="G11" s="414">
        <f t="shared" ref="F11:G18" si="0">$B11*D11</f>
        <v>0.15839999999999999</v>
      </c>
      <c r="I11" s="447">
        <f>F11/F$32</f>
        <v>0.24013870237593163</v>
      </c>
      <c r="J11" s="447">
        <f>I11*H$57</f>
        <v>0.16009246825062107</v>
      </c>
      <c r="L11" s="447">
        <f>D11/D$32</f>
        <v>9.2722674908682204E-2</v>
      </c>
      <c r="M11" s="447">
        <f>L11*H$57</f>
        <v>6.1815116605788131E-2</v>
      </c>
      <c r="P11" s="394">
        <f>B11*B5</f>
        <v>6000</v>
      </c>
      <c r="Q11" s="394">
        <f>4*B6</f>
        <v>2000</v>
      </c>
      <c r="R11" s="449">
        <f>SUM(P11:Q11)*10</f>
        <v>80000</v>
      </c>
    </row>
    <row r="12" spans="1:18">
      <c r="A12" s="394" t="s">
        <v>6</v>
      </c>
      <c r="B12" s="394">
        <v>2</v>
      </c>
      <c r="C12" s="397">
        <f>'Single-Family Existing'!P6</f>
        <v>12.158879999999998</v>
      </c>
      <c r="D12" s="424">
        <f>'Single-Family Existing'!O6</f>
        <v>5.3E-3</v>
      </c>
      <c r="E12" s="410">
        <v>1</v>
      </c>
      <c r="F12" s="414">
        <f t="shared" si="0"/>
        <v>24.317759999999996</v>
      </c>
      <c r="G12" s="414">
        <f t="shared" si="0"/>
        <v>1.06E-2</v>
      </c>
      <c r="I12" s="447">
        <f t="shared" ref="I12:I20" si="1">F12/F$32</f>
        <v>2.2019741067456008E-2</v>
      </c>
      <c r="J12" s="447">
        <f t="shared" ref="J12:J20" si="2">I12*H$57</f>
        <v>1.4679827378304006E-2</v>
      </c>
      <c r="L12" s="447">
        <f t="shared" ref="L12:L20" si="3">D12/D$32</f>
        <v>1.8614779432424837E-2</v>
      </c>
      <c r="M12" s="447">
        <f t="shared" ref="M12:M20" si="4">L12*H$57</f>
        <v>1.2409852954949891E-2</v>
      </c>
      <c r="P12" s="394">
        <f>B12*B5</f>
        <v>2000</v>
      </c>
      <c r="Q12" s="394">
        <f>2*B6</f>
        <v>1000</v>
      </c>
      <c r="R12" s="449">
        <f t="shared" ref="R12:R20" si="5">SUM(P12:Q12)*10</f>
        <v>30000</v>
      </c>
    </row>
    <row r="13" spans="1:18">
      <c r="A13" s="400" t="s">
        <v>7</v>
      </c>
      <c r="B13" s="394">
        <v>1</v>
      </c>
      <c r="C13" s="394">
        <v>146</v>
      </c>
      <c r="D13" s="426">
        <v>1.7399999999999999E-2</v>
      </c>
      <c r="E13" s="410">
        <v>1</v>
      </c>
      <c r="F13" s="414">
        <f t="shared" si="0"/>
        <v>146</v>
      </c>
      <c r="G13" s="414">
        <f t="shared" si="0"/>
        <v>1.7399999999999999E-2</v>
      </c>
      <c r="I13" s="447">
        <f t="shared" si="1"/>
        <v>0.13220305636080698</v>
      </c>
      <c r="J13" s="447">
        <f t="shared" si="2"/>
        <v>8.8135370907204649E-2</v>
      </c>
      <c r="L13" s="447">
        <f t="shared" si="3"/>
        <v>6.1112672098904176E-2</v>
      </c>
      <c r="M13" s="447">
        <f t="shared" si="4"/>
        <v>4.0741781399269449E-2</v>
      </c>
      <c r="P13" s="394">
        <v>750</v>
      </c>
      <c r="R13" s="449">
        <f t="shared" si="5"/>
        <v>7500</v>
      </c>
    </row>
    <row r="14" spans="1:18">
      <c r="A14" s="450" t="s">
        <v>8</v>
      </c>
      <c r="B14" s="394">
        <v>0</v>
      </c>
      <c r="C14" s="397">
        <f>'Single-Family Existing'!P39</f>
        <v>186.339</v>
      </c>
      <c r="D14" s="424">
        <f>'Single-Family Existing'!O39</f>
        <v>2.12E-2</v>
      </c>
      <c r="E14" s="410">
        <v>1</v>
      </c>
      <c r="F14" s="414">
        <f t="shared" si="0"/>
        <v>0</v>
      </c>
      <c r="G14" s="414">
        <f t="shared" si="0"/>
        <v>0</v>
      </c>
      <c r="I14" s="447">
        <f t="shared" si="1"/>
        <v>0</v>
      </c>
      <c r="J14" s="447">
        <f t="shared" si="2"/>
        <v>0</v>
      </c>
      <c r="L14" s="447">
        <f t="shared" si="3"/>
        <v>7.4459117729699348E-2</v>
      </c>
      <c r="M14" s="447">
        <f t="shared" si="4"/>
        <v>4.9639411819799563E-2</v>
      </c>
      <c r="P14" s="394">
        <v>750</v>
      </c>
      <c r="R14" s="449">
        <f t="shared" si="5"/>
        <v>7500</v>
      </c>
    </row>
    <row r="15" spans="1:18">
      <c r="A15" s="394" t="s">
        <v>9</v>
      </c>
      <c r="B15" s="394">
        <v>1</v>
      </c>
      <c r="C15" s="397">
        <f>'Single-Family Existing'!P37</f>
        <v>79.116</v>
      </c>
      <c r="D15" s="424">
        <f>'Single-Family Existing'!O37</f>
        <v>2.7560000000000001E-2</v>
      </c>
      <c r="E15" s="410">
        <v>1</v>
      </c>
      <c r="F15" s="414">
        <f t="shared" si="0"/>
        <v>79.116</v>
      </c>
      <c r="G15" s="414">
        <f t="shared" si="0"/>
        <v>2.7560000000000001E-2</v>
      </c>
      <c r="I15" s="447">
        <f t="shared" si="1"/>
        <v>7.1639568541380858E-2</v>
      </c>
      <c r="J15" s="447">
        <f t="shared" si="2"/>
        <v>4.7759712360920567E-2</v>
      </c>
      <c r="L15" s="447">
        <f t="shared" si="3"/>
        <v>9.6796853048609161E-2</v>
      </c>
      <c r="M15" s="447">
        <f t="shared" si="4"/>
        <v>6.4531235365739431E-2</v>
      </c>
      <c r="P15" s="394">
        <v>750</v>
      </c>
      <c r="R15" s="449">
        <f t="shared" si="5"/>
        <v>7500</v>
      </c>
    </row>
    <row r="16" spans="1:18">
      <c r="A16" s="400" t="s">
        <v>10</v>
      </c>
      <c r="B16" s="394">
        <v>1</v>
      </c>
      <c r="C16" s="397">
        <v>40</v>
      </c>
      <c r="D16" s="425">
        <f>D17</f>
        <v>2.862E-2</v>
      </c>
      <c r="E16" s="410">
        <v>1</v>
      </c>
      <c r="F16" s="414">
        <f t="shared" si="0"/>
        <v>40</v>
      </c>
      <c r="G16" s="414">
        <f t="shared" si="0"/>
        <v>2.862E-2</v>
      </c>
      <c r="I16" s="447">
        <f t="shared" si="1"/>
        <v>3.6220015441316984E-2</v>
      </c>
      <c r="J16" s="447">
        <f t="shared" si="2"/>
        <v>2.4146676960877987E-2</v>
      </c>
      <c r="L16" s="447">
        <f t="shared" si="3"/>
        <v>0.10051980893509412</v>
      </c>
      <c r="M16" s="447">
        <f t="shared" si="4"/>
        <v>6.701320595672941E-2</v>
      </c>
      <c r="P16" s="394">
        <v>750</v>
      </c>
      <c r="R16" s="449">
        <f t="shared" si="5"/>
        <v>7500</v>
      </c>
    </row>
    <row r="17" spans="1:18">
      <c r="A17" s="400" t="s">
        <v>11</v>
      </c>
      <c r="B17" s="394">
        <v>2</v>
      </c>
      <c r="C17" s="397">
        <v>12.3</v>
      </c>
      <c r="D17" s="424">
        <f>'Single-Family Existing'!O36</f>
        <v>2.862E-2</v>
      </c>
      <c r="E17" s="410">
        <v>1</v>
      </c>
      <c r="F17" s="414">
        <f t="shared" si="0"/>
        <v>24.6</v>
      </c>
      <c r="G17" s="414">
        <f t="shared" si="0"/>
        <v>5.7239999999999999E-2</v>
      </c>
      <c r="I17" s="447">
        <f t="shared" si="1"/>
        <v>2.2275309496409944E-2</v>
      </c>
      <c r="J17" s="447">
        <f t="shared" si="2"/>
        <v>1.4850206330939962E-2</v>
      </c>
      <c r="L17" s="447">
        <f t="shared" si="3"/>
        <v>0.10051980893509412</v>
      </c>
      <c r="M17" s="447">
        <f t="shared" si="4"/>
        <v>6.701320595672941E-2</v>
      </c>
      <c r="P17" s="394">
        <f>2*B5</f>
        <v>2000</v>
      </c>
      <c r="Q17" s="394">
        <f>2*B6</f>
        <v>1000</v>
      </c>
      <c r="R17" s="449">
        <f t="shared" si="5"/>
        <v>30000</v>
      </c>
    </row>
    <row r="18" spans="1:18">
      <c r="A18" s="394" t="s">
        <v>12</v>
      </c>
      <c r="B18" s="394">
        <v>2</v>
      </c>
      <c r="C18" s="397">
        <f>'Single-Family Existing'!P28</f>
        <v>212.36399999999998</v>
      </c>
      <c r="D18" s="424">
        <f>'Single-Family Existing'!O28</f>
        <v>2.862E-2</v>
      </c>
      <c r="E18" s="410">
        <v>1</v>
      </c>
      <c r="F18" s="414">
        <f t="shared" si="0"/>
        <v>424.72799999999995</v>
      </c>
      <c r="G18" s="414">
        <f t="shared" si="0"/>
        <v>5.7239999999999999E-2</v>
      </c>
      <c r="I18" s="447">
        <f t="shared" si="1"/>
        <v>0.38459136795899196</v>
      </c>
      <c r="J18" s="447">
        <f t="shared" si="2"/>
        <v>0.25639424530599464</v>
      </c>
      <c r="L18" s="447">
        <f t="shared" si="3"/>
        <v>0.10051980893509412</v>
      </c>
      <c r="M18" s="447">
        <f t="shared" si="4"/>
        <v>6.701320595672941E-2</v>
      </c>
      <c r="P18" s="394">
        <v>750</v>
      </c>
      <c r="R18" s="449">
        <f t="shared" si="5"/>
        <v>7500</v>
      </c>
    </row>
    <row r="19" spans="1:18">
      <c r="A19" s="450" t="s">
        <v>13</v>
      </c>
      <c r="B19" s="394">
        <v>0</v>
      </c>
      <c r="C19" s="397">
        <v>100.3</v>
      </c>
      <c r="D19" s="425">
        <v>0.05</v>
      </c>
      <c r="E19" s="410">
        <v>1</v>
      </c>
      <c r="F19" s="414">
        <f>$B19*C19</f>
        <v>0</v>
      </c>
      <c r="G19" s="414">
        <f>$B19*D19</f>
        <v>0</v>
      </c>
      <c r="I19" s="447">
        <f t="shared" si="1"/>
        <v>0</v>
      </c>
      <c r="J19" s="447">
        <f t="shared" si="2"/>
        <v>0</v>
      </c>
      <c r="L19" s="447">
        <f t="shared" si="3"/>
        <v>0.17561112672098902</v>
      </c>
      <c r="M19" s="447">
        <f t="shared" si="4"/>
        <v>0.11707408448065934</v>
      </c>
      <c r="P19" s="394">
        <v>750</v>
      </c>
      <c r="R19" s="449">
        <f t="shared" si="5"/>
        <v>7500</v>
      </c>
    </row>
    <row r="20" spans="1:18">
      <c r="A20" s="404" t="s">
        <v>14</v>
      </c>
      <c r="B20" s="403">
        <v>1</v>
      </c>
      <c r="C20" s="397">
        <v>100.4</v>
      </c>
      <c r="D20" s="424">
        <v>5.0999999999999997E-2</v>
      </c>
      <c r="E20" s="410">
        <v>1</v>
      </c>
      <c r="F20" s="414">
        <f>$B20*C20</f>
        <v>100.4</v>
      </c>
      <c r="G20" s="414">
        <f>$B20*D20</f>
        <v>5.0999999999999997E-2</v>
      </c>
      <c r="I20" s="447">
        <f t="shared" si="1"/>
        <v>9.0912238757705627E-2</v>
      </c>
      <c r="J20" s="447">
        <f t="shared" si="2"/>
        <v>6.0608159171803747E-2</v>
      </c>
      <c r="L20" s="447">
        <f t="shared" si="3"/>
        <v>0.17912334925540879</v>
      </c>
      <c r="M20" s="447">
        <f t="shared" si="4"/>
        <v>0.11941556617027252</v>
      </c>
      <c r="P20" s="394">
        <v>750</v>
      </c>
      <c r="R20" s="449">
        <f t="shared" si="5"/>
        <v>7500</v>
      </c>
    </row>
    <row r="21" spans="1:18">
      <c r="A21" s="442" t="s">
        <v>390</v>
      </c>
      <c r="B21" s="402">
        <v>6</v>
      </c>
    </row>
    <row r="22" spans="1:18">
      <c r="A22" s="443" t="s">
        <v>15</v>
      </c>
      <c r="B22" s="402">
        <v>1</v>
      </c>
    </row>
    <row r="23" spans="1:18">
      <c r="A23" s="443" t="s">
        <v>45</v>
      </c>
      <c r="B23" s="402">
        <v>2</v>
      </c>
    </row>
    <row r="24" spans="1:18">
      <c r="A24" s="443" t="s">
        <v>16</v>
      </c>
      <c r="B24" s="402">
        <v>2</v>
      </c>
      <c r="F24" s="413"/>
    </row>
    <row r="25" spans="1:18">
      <c r="A25" s="443" t="s">
        <v>17</v>
      </c>
      <c r="B25" s="402">
        <v>1</v>
      </c>
    </row>
    <row r="26" spans="1:18">
      <c r="A26" s="443" t="s">
        <v>18</v>
      </c>
      <c r="B26" s="402">
        <v>3</v>
      </c>
    </row>
    <row r="27" spans="1:18">
      <c r="A27" s="443" t="s">
        <v>19</v>
      </c>
      <c r="B27" s="402">
        <v>1</v>
      </c>
    </row>
    <row r="28" spans="1:18">
      <c r="A28" s="443" t="s">
        <v>20</v>
      </c>
      <c r="B28" s="402">
        <v>1</v>
      </c>
    </row>
    <row r="29" spans="1:18">
      <c r="A29" s="443" t="s">
        <v>21</v>
      </c>
      <c r="B29" s="402">
        <v>1</v>
      </c>
    </row>
    <row r="30" spans="1:18">
      <c r="A30" s="443" t="s">
        <v>22</v>
      </c>
      <c r="B30" s="402">
        <v>3</v>
      </c>
    </row>
    <row r="31" spans="1:18">
      <c r="A31" s="443" t="s">
        <v>23</v>
      </c>
      <c r="B31" s="402">
        <v>1</v>
      </c>
      <c r="F31" s="412"/>
    </row>
    <row r="32" spans="1:18" hidden="1">
      <c r="A32" s="401"/>
      <c r="B32" s="401"/>
      <c r="D32" s="448">
        <f>SUM(D11:D31)</f>
        <v>0.28472000000000003</v>
      </c>
      <c r="F32" s="413">
        <f>SUM(F11:F20)</f>
        <v>1104.36176</v>
      </c>
      <c r="G32" s="413">
        <f>SUM(G11:G31)</f>
        <v>0.40805999999999998</v>
      </c>
      <c r="I32" s="447">
        <f>SUM(I11:I31)</f>
        <v>1</v>
      </c>
      <c r="J32" s="447">
        <f>SUM(J11:J31)</f>
        <v>0.66666666666666663</v>
      </c>
      <c r="K32" s="447"/>
      <c r="L32" s="447">
        <f>SUM(L11:L31)</f>
        <v>0.99999999999999978</v>
      </c>
      <c r="M32" s="447">
        <f>SUM(M11:M31)</f>
        <v>0.66666666666666663</v>
      </c>
      <c r="N32" s="447"/>
    </row>
    <row r="33" spans="1:18" ht="13.5" customHeight="1">
      <c r="A33" s="401"/>
      <c r="B33" s="401"/>
      <c r="F33" s="413"/>
      <c r="I33" s="447"/>
      <c r="J33" s="447"/>
    </row>
    <row r="34" spans="1:18" ht="27" customHeight="1">
      <c r="A34" s="415" t="s">
        <v>394</v>
      </c>
      <c r="B34" s="404" t="s">
        <v>386</v>
      </c>
      <c r="C34" s="400"/>
      <c r="D34" s="400"/>
      <c r="E34" s="410" t="s">
        <v>386</v>
      </c>
      <c r="F34" s="416" t="s">
        <v>4</v>
      </c>
      <c r="G34" s="416" t="s">
        <v>5</v>
      </c>
      <c r="I34" s="447"/>
      <c r="J34" s="447"/>
    </row>
    <row r="35" spans="1:18" ht="15.75">
      <c r="A35" s="422" t="s">
        <v>24</v>
      </c>
      <c r="B35" s="401">
        <v>4</v>
      </c>
      <c r="C35" s="394">
        <f>C11</f>
        <v>44.2</v>
      </c>
      <c r="D35" s="396">
        <f>D11</f>
        <v>2.64E-2</v>
      </c>
      <c r="E35" s="411">
        <v>1</v>
      </c>
      <c r="F35" s="414">
        <f t="shared" ref="F35:G39" si="6">$B35*C35</f>
        <v>176.8</v>
      </c>
      <c r="G35" s="414">
        <f t="shared" si="6"/>
        <v>0.1056</v>
      </c>
      <c r="I35" s="447">
        <f>F35/F$54</f>
        <v>0.48518143919743528</v>
      </c>
      <c r="J35" s="447">
        <f>I35*H$58</f>
        <v>0.16172714639914512</v>
      </c>
      <c r="L35" s="447">
        <f>D35/D$54</f>
        <v>0.20259381474944363</v>
      </c>
      <c r="M35" s="447">
        <f>L35*H$58</f>
        <v>6.7531271583147881E-2</v>
      </c>
      <c r="O35" s="394" t="s">
        <v>402</v>
      </c>
      <c r="P35" s="447">
        <f>J11+J35</f>
        <v>0.32181961464976616</v>
      </c>
      <c r="Q35" s="448">
        <f t="shared" ref="Q35:Q44" si="7">P35*F$59</f>
        <v>276.02718080531412</v>
      </c>
    </row>
    <row r="36" spans="1:18" ht="15.75">
      <c r="A36" s="423" t="s">
        <v>25</v>
      </c>
      <c r="B36" s="401">
        <v>2</v>
      </c>
      <c r="C36" s="397">
        <f>C12</f>
        <v>12.158879999999998</v>
      </c>
      <c r="D36" s="396">
        <f>D12</f>
        <v>5.3E-3</v>
      </c>
      <c r="E36" s="411">
        <v>1</v>
      </c>
      <c r="F36" s="414">
        <f t="shared" si="6"/>
        <v>24.317759999999996</v>
      </c>
      <c r="G36" s="414">
        <f t="shared" si="6"/>
        <v>1.06E-2</v>
      </c>
      <c r="I36" s="447">
        <f t="shared" ref="I36:I45" si="8">F36/F$54</f>
        <v>6.6733743183584965E-2</v>
      </c>
      <c r="J36" s="447">
        <f t="shared" ref="J36:J45" si="9">I36*H$58</f>
        <v>2.2244581061194989E-2</v>
      </c>
      <c r="L36" s="447">
        <f t="shared" ref="L36:L45" si="10">D36/D$54</f>
        <v>4.0672243112577694E-2</v>
      </c>
      <c r="M36" s="447">
        <f t="shared" ref="M36:M45" si="11">L36*H$58</f>
        <v>1.3557414370859232E-2</v>
      </c>
      <c r="O36" s="394" t="s">
        <v>403</v>
      </c>
      <c r="P36" s="447">
        <f>J12+J36</f>
        <v>3.6924408439498999E-2</v>
      </c>
      <c r="Q36" s="448">
        <f t="shared" si="7"/>
        <v>31.670351651967781</v>
      </c>
    </row>
    <row r="37" spans="1:18" ht="15.75">
      <c r="A37" s="423" t="s">
        <v>26</v>
      </c>
      <c r="B37" s="401">
        <v>1</v>
      </c>
      <c r="C37" s="397">
        <f>C18*0.5</f>
        <v>106.18199999999999</v>
      </c>
      <c r="D37" s="396">
        <f>D18</f>
        <v>2.862E-2</v>
      </c>
      <c r="E37" s="411">
        <v>1</v>
      </c>
      <c r="F37" s="414">
        <f t="shared" si="6"/>
        <v>106.18199999999999</v>
      </c>
      <c r="G37" s="414">
        <f t="shared" si="6"/>
        <v>2.862E-2</v>
      </c>
      <c r="I37" s="447">
        <f t="shared" si="8"/>
        <v>0.29138877588722883</v>
      </c>
      <c r="J37" s="447">
        <f t="shared" si="9"/>
        <v>9.7129591962409625E-2</v>
      </c>
      <c r="L37" s="447">
        <f t="shared" si="10"/>
        <v>0.21963011280791955</v>
      </c>
      <c r="M37" s="447">
        <f t="shared" si="11"/>
        <v>7.321003760263986E-2</v>
      </c>
      <c r="O37" s="394" t="s">
        <v>404</v>
      </c>
      <c r="P37" s="447">
        <f>J37+J18</f>
        <v>0.35352383726840425</v>
      </c>
      <c r="Q37" s="448">
        <f t="shared" si="7"/>
        <v>303.22013857008756</v>
      </c>
    </row>
    <row r="38" spans="1:18" ht="15.75">
      <c r="A38" s="423" t="s">
        <v>27</v>
      </c>
      <c r="B38" s="401">
        <v>1</v>
      </c>
      <c r="C38" s="397">
        <f>40*0.5</f>
        <v>20</v>
      </c>
      <c r="D38" s="396">
        <f>D17</f>
        <v>2.862E-2</v>
      </c>
      <c r="E38" s="411">
        <v>1</v>
      </c>
      <c r="F38" s="414">
        <f t="shared" si="6"/>
        <v>20</v>
      </c>
      <c r="G38" s="414">
        <f t="shared" si="6"/>
        <v>2.862E-2</v>
      </c>
      <c r="I38" s="447">
        <f t="shared" si="8"/>
        <v>5.4884778189755117E-2</v>
      </c>
      <c r="J38" s="447">
        <f t="shared" si="9"/>
        <v>1.8294926063251709E-2</v>
      </c>
      <c r="L38" s="447">
        <f t="shared" si="10"/>
        <v>0.21963011280791955</v>
      </c>
      <c r="M38" s="447">
        <f t="shared" si="11"/>
        <v>7.321003760263986E-2</v>
      </c>
      <c r="O38" s="394" t="s">
        <v>405</v>
      </c>
      <c r="P38" s="447">
        <f>J38+J16</f>
        <v>4.2441603024129693E-2</v>
      </c>
      <c r="Q38" s="448">
        <f t="shared" si="7"/>
        <v>36.402492260635505</v>
      </c>
    </row>
    <row r="39" spans="1:18" ht="15.75">
      <c r="A39" s="423" t="s">
        <v>28</v>
      </c>
      <c r="B39" s="401">
        <v>2</v>
      </c>
      <c r="C39" s="397">
        <f>12*0.5</f>
        <v>6</v>
      </c>
      <c r="D39" s="396">
        <f>D38</f>
        <v>2.862E-2</v>
      </c>
      <c r="E39" s="411">
        <v>1</v>
      </c>
      <c r="F39" s="414">
        <f t="shared" si="6"/>
        <v>12</v>
      </c>
      <c r="G39" s="414">
        <f t="shared" si="6"/>
        <v>5.7239999999999999E-2</v>
      </c>
      <c r="I39" s="447">
        <f t="shared" si="8"/>
        <v>3.2930866913853073E-2</v>
      </c>
      <c r="J39" s="447">
        <f t="shared" si="9"/>
        <v>1.0976955637951025E-2</v>
      </c>
      <c r="L39" s="447">
        <f t="shared" si="10"/>
        <v>0.21963011280791955</v>
      </c>
      <c r="M39" s="447">
        <f t="shared" si="11"/>
        <v>7.321003760263986E-2</v>
      </c>
      <c r="O39" s="394" t="s">
        <v>406</v>
      </c>
      <c r="P39" s="447">
        <f>J17+J39</f>
        <v>2.582716196889099E-2</v>
      </c>
      <c r="Q39" s="448">
        <f t="shared" si="7"/>
        <v>22.152157239494681</v>
      </c>
    </row>
    <row r="40" spans="1:18" ht="15.75">
      <c r="A40" s="444" t="s">
        <v>29</v>
      </c>
      <c r="B40" s="403" t="s">
        <v>386</v>
      </c>
      <c r="D40" s="396"/>
      <c r="E40" s="411">
        <v>1</v>
      </c>
      <c r="I40" s="447"/>
      <c r="J40" s="447"/>
      <c r="L40" s="447"/>
      <c r="M40" s="447"/>
      <c r="O40" s="394" t="s">
        <v>407</v>
      </c>
      <c r="P40" s="447">
        <f>J20+J45</f>
        <v>8.3568291381184642E-2</v>
      </c>
      <c r="Q40" s="448">
        <f t="shared" si="7"/>
        <v>71.677172007583181</v>
      </c>
    </row>
    <row r="41" spans="1:18" ht="15.75">
      <c r="A41" s="444" t="s">
        <v>30</v>
      </c>
      <c r="B41" s="403" t="s">
        <v>386</v>
      </c>
      <c r="D41" s="396"/>
      <c r="E41" s="411">
        <v>1</v>
      </c>
      <c r="I41" s="447"/>
      <c r="J41" s="447"/>
      <c r="L41" s="447"/>
      <c r="M41" s="447"/>
      <c r="O41" s="394" t="s">
        <v>408</v>
      </c>
      <c r="P41" s="447">
        <f>J13</f>
        <v>8.8135370907204649E-2</v>
      </c>
      <c r="Q41" s="448">
        <f t="shared" si="7"/>
        <v>75.59439155758767</v>
      </c>
    </row>
    <row r="42" spans="1:18" ht="15.75">
      <c r="A42" s="444" t="s">
        <v>31</v>
      </c>
      <c r="B42" s="403" t="s">
        <v>386</v>
      </c>
      <c r="D42" s="396"/>
      <c r="E42" s="411">
        <v>1</v>
      </c>
      <c r="I42" s="447"/>
      <c r="J42" s="447"/>
      <c r="L42" s="447"/>
      <c r="M42" s="447"/>
      <c r="O42" s="394" t="s">
        <v>409</v>
      </c>
      <c r="P42" s="447">
        <f>J14</f>
        <v>0</v>
      </c>
      <c r="Q42" s="448">
        <f t="shared" si="7"/>
        <v>0</v>
      </c>
    </row>
    <row r="43" spans="1:18" ht="15.75">
      <c r="A43" s="444" t="s">
        <v>32</v>
      </c>
      <c r="B43" s="403" t="s">
        <v>386</v>
      </c>
      <c r="D43" s="396"/>
      <c r="E43" s="411">
        <v>1</v>
      </c>
      <c r="I43" s="447"/>
      <c r="J43" s="447"/>
      <c r="L43" s="447"/>
      <c r="M43" s="447"/>
      <c r="O43" s="394" t="s">
        <v>410</v>
      </c>
      <c r="P43" s="447">
        <f>J15</f>
        <v>4.7759712360920567E-2</v>
      </c>
      <c r="Q43" s="448">
        <f t="shared" si="7"/>
        <v>40.963875907329495</v>
      </c>
    </row>
    <row r="44" spans="1:18" ht="15.75">
      <c r="A44" s="444" t="s">
        <v>33</v>
      </c>
      <c r="B44" s="403" t="s">
        <v>386</v>
      </c>
      <c r="D44" s="396"/>
      <c r="E44" s="411">
        <v>1</v>
      </c>
      <c r="I44" s="447"/>
      <c r="J44" s="447"/>
      <c r="L44" s="447"/>
      <c r="M44" s="447"/>
      <c r="O44" s="394" t="s">
        <v>411</v>
      </c>
      <c r="P44" s="447">
        <f>J19</f>
        <v>0</v>
      </c>
      <c r="Q44" s="448">
        <f t="shared" si="7"/>
        <v>0</v>
      </c>
    </row>
    <row r="45" spans="1:18" ht="15.75">
      <c r="A45" s="423" t="s">
        <v>46</v>
      </c>
      <c r="B45" s="401">
        <v>1</v>
      </c>
      <c r="C45" s="397">
        <f>C20*25%</f>
        <v>25.1</v>
      </c>
      <c r="D45" s="396">
        <f>D20*25%</f>
        <v>1.2749999999999999E-2</v>
      </c>
      <c r="E45" s="411">
        <v>1</v>
      </c>
      <c r="F45" s="413">
        <f>F20*25%</f>
        <v>25.1</v>
      </c>
      <c r="G45" s="413">
        <f>G20*25%</f>
        <v>1.2749999999999999E-2</v>
      </c>
      <c r="I45" s="447">
        <f t="shared" si="8"/>
        <v>6.8880396628142673E-2</v>
      </c>
      <c r="J45" s="447">
        <f t="shared" si="9"/>
        <v>2.2960132209380892E-2</v>
      </c>
      <c r="L45" s="447">
        <f t="shared" si="10"/>
        <v>9.7843603714219921E-2</v>
      </c>
      <c r="M45" s="447">
        <f t="shared" si="11"/>
        <v>3.2614534571406645E-2</v>
      </c>
      <c r="P45" s="447">
        <f>SUM(P35:P44)</f>
        <v>1</v>
      </c>
      <c r="Q45" s="449">
        <f>SUM(Q35:Q44)</f>
        <v>857.70776000000001</v>
      </c>
      <c r="R45" s="394" t="s">
        <v>412</v>
      </c>
    </row>
    <row r="46" spans="1:18" ht="15.75">
      <c r="A46" s="444" t="s">
        <v>42</v>
      </c>
      <c r="B46" s="401">
        <v>1</v>
      </c>
      <c r="D46" s="396"/>
      <c r="E46" s="411">
        <v>1</v>
      </c>
      <c r="I46" s="447"/>
      <c r="J46" s="447"/>
    </row>
    <row r="47" spans="1:18" ht="15.75">
      <c r="A47" s="444" t="s">
        <v>34</v>
      </c>
      <c r="B47" s="401">
        <v>2</v>
      </c>
      <c r="D47" s="396"/>
      <c r="E47" s="411">
        <v>1</v>
      </c>
      <c r="I47" s="447"/>
      <c r="J47" s="447"/>
    </row>
    <row r="48" spans="1:18" ht="15.75">
      <c r="A48" s="444" t="s">
        <v>35</v>
      </c>
      <c r="B48" s="401">
        <v>1</v>
      </c>
      <c r="D48" s="396"/>
      <c r="E48" s="411">
        <v>1</v>
      </c>
      <c r="I48" s="447"/>
      <c r="J48" s="447"/>
    </row>
    <row r="49" spans="1:18" ht="15.75">
      <c r="A49" s="444" t="s">
        <v>36</v>
      </c>
      <c r="B49" s="401">
        <v>2</v>
      </c>
      <c r="D49" s="396"/>
      <c r="E49" s="411">
        <v>1</v>
      </c>
      <c r="I49" s="447"/>
      <c r="J49" s="447"/>
    </row>
    <row r="50" spans="1:18" ht="15.75">
      <c r="A50" s="444" t="s">
        <v>37</v>
      </c>
      <c r="B50" s="401">
        <v>1</v>
      </c>
      <c r="D50" s="396"/>
      <c r="E50" s="411">
        <v>1</v>
      </c>
      <c r="I50" s="447"/>
      <c r="J50" s="447"/>
    </row>
    <row r="51" spans="1:18" ht="15.75">
      <c r="A51" s="444" t="s">
        <v>38</v>
      </c>
      <c r="B51" s="401">
        <v>1</v>
      </c>
      <c r="C51"/>
      <c r="D51" s="396"/>
      <c r="E51" s="411">
        <v>1</v>
      </c>
      <c r="I51" s="447"/>
      <c r="J51" s="447"/>
      <c r="O51" s="394" t="s">
        <v>402</v>
      </c>
      <c r="P51" s="447">
        <f>M35+M11</f>
        <v>0.12934638818893601</v>
      </c>
      <c r="Q51" s="448">
        <f>P51*G$59</f>
        <v>4.5682988535195715E-2</v>
      </c>
    </row>
    <row r="52" spans="1:18" ht="15.75">
      <c r="A52" s="444" t="s">
        <v>39</v>
      </c>
      <c r="B52" s="403" t="s">
        <v>386</v>
      </c>
      <c r="C52"/>
      <c r="D52" s="396"/>
      <c r="E52" s="411">
        <v>1</v>
      </c>
      <c r="I52" s="447"/>
      <c r="J52" s="447"/>
      <c r="O52" s="394" t="s">
        <v>403</v>
      </c>
      <c r="P52" s="447">
        <f>M36+M12</f>
        <v>2.5967267325809125E-2</v>
      </c>
      <c r="Q52" s="448">
        <f t="shared" ref="Q52:Q60" si="12">P52*G$59</f>
        <v>9.1712060316870188E-3</v>
      </c>
    </row>
    <row r="53" spans="1:18" ht="15.75">
      <c r="A53" s="444" t="s">
        <v>40</v>
      </c>
      <c r="B53" s="403" t="s">
        <v>386</v>
      </c>
      <c r="C53"/>
      <c r="D53" s="396"/>
      <c r="E53" s="411">
        <v>1</v>
      </c>
      <c r="I53" s="447"/>
      <c r="J53" s="447"/>
      <c r="O53" s="394" t="s">
        <v>404</v>
      </c>
      <c r="P53" s="447">
        <f>M37+M18</f>
        <v>0.14022324355936927</v>
      </c>
      <c r="Q53" s="448">
        <f t="shared" si="12"/>
        <v>4.9524512571109895E-2</v>
      </c>
    </row>
    <row r="54" spans="1:18">
      <c r="A54"/>
      <c r="B54"/>
      <c r="D54" s="448">
        <f>SUM(D35:D45)</f>
        <v>0.13031000000000001</v>
      </c>
      <c r="F54" s="413">
        <f>SUM(F35:F53)</f>
        <v>364.39976000000001</v>
      </c>
      <c r="G54" s="413">
        <f>SUM(G35:G53)</f>
        <v>0.24343000000000001</v>
      </c>
      <c r="I54" s="447">
        <f>SUM(I35:I53)</f>
        <v>1</v>
      </c>
      <c r="J54" s="447">
        <f>SUM(J35:J53)</f>
        <v>0.33333333333333337</v>
      </c>
      <c r="K54" s="447"/>
      <c r="L54" s="447">
        <f>SUM(L35:L53)</f>
        <v>1</v>
      </c>
      <c r="M54" s="447">
        <f>SUM(M35:M53)</f>
        <v>0.33333333333333337</v>
      </c>
      <c r="O54" s="394" t="s">
        <v>405</v>
      </c>
      <c r="P54" s="447">
        <f>M38+M16</f>
        <v>0.14022324355936927</v>
      </c>
      <c r="Q54" s="448">
        <f t="shared" si="12"/>
        <v>4.9524512571109895E-2</v>
      </c>
    </row>
    <row r="55" spans="1:18" ht="16.5" thickBot="1">
      <c r="A55" s="398"/>
      <c r="B55"/>
      <c r="C55"/>
      <c r="O55" s="394" t="s">
        <v>406</v>
      </c>
      <c r="P55" s="447">
        <f>M39+M17</f>
        <v>0.14022324355936927</v>
      </c>
      <c r="Q55" s="448">
        <f t="shared" si="12"/>
        <v>4.9524512571109895E-2</v>
      </c>
    </row>
    <row r="56" spans="1:18" ht="16.5" thickBot="1">
      <c r="A56" s="398" t="s">
        <v>386</v>
      </c>
      <c r="B56"/>
      <c r="E56" s="430" t="s">
        <v>396</v>
      </c>
      <c r="F56" s="431" t="s">
        <v>399</v>
      </c>
      <c r="G56" s="431" t="s">
        <v>391</v>
      </c>
      <c r="H56" s="432" t="s">
        <v>395</v>
      </c>
      <c r="O56" s="394" t="s">
        <v>407</v>
      </c>
      <c r="P56" s="447">
        <f>M45+M20</f>
        <v>0.15203010074167916</v>
      </c>
      <c r="Q56" s="448">
        <f t="shared" si="12"/>
        <v>5.3694497746948712E-2</v>
      </c>
    </row>
    <row r="57" spans="1:18">
      <c r="A57"/>
      <c r="B57"/>
      <c r="E57" s="427" t="s">
        <v>392</v>
      </c>
      <c r="F57" s="433">
        <f>F32</f>
        <v>1104.36176</v>
      </c>
      <c r="G57" s="434">
        <f>G32</f>
        <v>0.40805999999999998</v>
      </c>
      <c r="H57" s="439">
        <f>B5/B7</f>
        <v>0.66666666666666663</v>
      </c>
      <c r="O57" s="394" t="s">
        <v>408</v>
      </c>
      <c r="P57" s="447">
        <f>M13</f>
        <v>4.0741781399269449E-2</v>
      </c>
      <c r="Q57" s="448">
        <f t="shared" si="12"/>
        <v>1.438931816053198E-2</v>
      </c>
    </row>
    <row r="58" spans="1:18">
      <c r="A58"/>
      <c r="B58"/>
      <c r="E58" s="428" t="s">
        <v>393</v>
      </c>
      <c r="F58" s="435">
        <f>F54</f>
        <v>364.39976000000001</v>
      </c>
      <c r="G58" s="436">
        <f>G54</f>
        <v>0.24343000000000001</v>
      </c>
      <c r="H58" s="440">
        <f>1-H57</f>
        <v>0.33333333333333337</v>
      </c>
      <c r="O58" s="394" t="s">
        <v>409</v>
      </c>
      <c r="P58" s="447">
        <f>M14</f>
        <v>4.9639411819799563E-2</v>
      </c>
      <c r="Q58" s="448">
        <f t="shared" si="12"/>
        <v>1.7531812931222874E-2</v>
      </c>
    </row>
    <row r="59" spans="1:18" ht="32.25" customHeight="1" thickBot="1">
      <c r="A59"/>
      <c r="B59"/>
      <c r="E59" s="429" t="s">
        <v>47</v>
      </c>
      <c r="F59" s="437">
        <f>F57*H57+F58*H58</f>
        <v>857.70776000000001</v>
      </c>
      <c r="G59" s="438">
        <f>G57*H57+G58*H58</f>
        <v>0.35318333333333329</v>
      </c>
      <c r="H59" s="441">
        <f>SUM(H57:H58)</f>
        <v>1</v>
      </c>
      <c r="O59" s="394" t="s">
        <v>410</v>
      </c>
      <c r="P59" s="447">
        <f>M15</f>
        <v>6.4531235365739431E-2</v>
      </c>
      <c r="Q59" s="448">
        <f t="shared" si="12"/>
        <v>2.2791356810589736E-2</v>
      </c>
    </row>
    <row r="60" spans="1:18">
      <c r="A60"/>
      <c r="B60"/>
      <c r="O60" s="394" t="s">
        <v>411</v>
      </c>
      <c r="P60" s="447">
        <f>M19</f>
        <v>0.11707408448065934</v>
      </c>
      <c r="Q60" s="448">
        <f t="shared" si="12"/>
        <v>4.1348615403827532E-2</v>
      </c>
    </row>
    <row r="61" spans="1:18">
      <c r="A61"/>
      <c r="B61"/>
      <c r="P61" s="447">
        <f>SUM(P51:P60)</f>
        <v>0.99999999999999989</v>
      </c>
      <c r="Q61" s="451">
        <f>SUM(Q51:Q60)</f>
        <v>0.35318333333333329</v>
      </c>
      <c r="R61" s="394" t="s">
        <v>412</v>
      </c>
    </row>
    <row r="62" spans="1:18">
      <c r="A62"/>
      <c r="B62"/>
    </row>
    <row r="63" spans="1:18" ht="15.75">
      <c r="A63" s="398"/>
      <c r="B63"/>
      <c r="C63"/>
    </row>
    <row r="64" spans="1:18">
      <c r="B64"/>
      <c r="C64"/>
    </row>
    <row r="65" spans="1:3">
      <c r="A65"/>
      <c r="B65"/>
    </row>
    <row r="66" spans="1:3">
      <c r="A66"/>
      <c r="B66"/>
    </row>
    <row r="67" spans="1:3">
      <c r="A67"/>
      <c r="B67"/>
    </row>
    <row r="68" spans="1:3">
      <c r="A68"/>
      <c r="B68"/>
    </row>
    <row r="69" spans="1:3">
      <c r="A69"/>
      <c r="B69"/>
    </row>
    <row r="70" spans="1:3">
      <c r="A70"/>
      <c r="B70"/>
    </row>
    <row r="71" spans="1:3">
      <c r="A71"/>
      <c r="B71"/>
    </row>
    <row r="72" spans="1:3" ht="15.75">
      <c r="A72" s="398"/>
      <c r="B72"/>
      <c r="C72"/>
    </row>
  </sheetData>
  <mergeCells count="2">
    <mergeCell ref="A4:B4"/>
    <mergeCell ref="P9:Q9"/>
  </mergeCells>
  <phoneticPr fontId="17" type="noConversion"/>
  <pageMargins left="0.7" right="0.7" top="0.75" bottom="0.75" header="0.3" footer="0.3"/>
  <pageSetup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3412B2-B033-4E91-A208-E52051DF825D}">
  <dimension ref="B2:G52"/>
  <sheetViews>
    <sheetView tabSelected="1" workbookViewId="0">
      <selection activeCell="E23" sqref="E23"/>
    </sheetView>
  </sheetViews>
  <sheetFormatPr defaultRowHeight="15"/>
  <cols>
    <col min="1" max="1" width="9.140625" style="452"/>
    <col min="2" max="2" width="42.5703125" style="452" customWidth="1"/>
    <col min="3" max="3" width="7.7109375" style="452" customWidth="1"/>
    <col min="4" max="4" width="8.7109375" style="452" customWidth="1"/>
    <col min="5" max="6" width="8.7109375" style="452" bestFit="1" customWidth="1"/>
    <col min="7" max="7" width="8.7109375" style="452" customWidth="1"/>
    <col min="8" max="16384" width="9.140625" style="452"/>
  </cols>
  <sheetData>
    <row r="2" spans="2:7" ht="15.75" thickBot="1"/>
    <row r="3" spans="2:7" ht="16.5" customHeight="1" thickBot="1">
      <c r="B3" s="484" t="s">
        <v>444</v>
      </c>
      <c r="C3" s="485"/>
      <c r="D3" s="485"/>
      <c r="E3" s="485"/>
      <c r="F3" s="485"/>
      <c r="G3" s="486"/>
    </row>
    <row r="4" spans="2:7" s="478" customFormat="1" ht="30" customHeight="1" thickBot="1">
      <c r="B4" s="480" t="s">
        <v>443</v>
      </c>
      <c r="C4" s="463" t="s">
        <v>442</v>
      </c>
      <c r="D4" s="463">
        <v>2015</v>
      </c>
      <c r="E4" s="463">
        <v>2016</v>
      </c>
      <c r="F4" s="463">
        <v>2017</v>
      </c>
      <c r="G4" s="479">
        <v>2018</v>
      </c>
    </row>
    <row r="5" spans="2:7" ht="15.75">
      <c r="B5" s="477" t="s">
        <v>436</v>
      </c>
      <c r="C5" s="476" t="s">
        <v>439</v>
      </c>
      <c r="D5" s="475">
        <v>20171</v>
      </c>
      <c r="E5" s="475">
        <v>16730</v>
      </c>
      <c r="F5" s="475">
        <v>16516</v>
      </c>
      <c r="G5" s="474">
        <v>14681</v>
      </c>
    </row>
    <row r="6" spans="2:7" ht="15.75">
      <c r="B6" s="468" t="s">
        <v>441</v>
      </c>
      <c r="C6" s="467" t="s">
        <v>439</v>
      </c>
      <c r="D6" s="473">
        <v>20</v>
      </c>
      <c r="E6" s="473">
        <v>1</v>
      </c>
      <c r="F6" s="473">
        <v>0</v>
      </c>
      <c r="G6" s="472">
        <v>2</v>
      </c>
    </row>
    <row r="7" spans="2:7" ht="15.75">
      <c r="B7" s="471" t="s">
        <v>435</v>
      </c>
      <c r="C7" s="467" t="s">
        <v>439</v>
      </c>
      <c r="D7" s="466">
        <v>250</v>
      </c>
      <c r="E7" s="466">
        <v>406</v>
      </c>
      <c r="F7" s="466">
        <v>349</v>
      </c>
      <c r="G7" s="465">
        <v>330</v>
      </c>
    </row>
    <row r="8" spans="2:7" ht="15.75">
      <c r="B8" s="471" t="s">
        <v>440</v>
      </c>
      <c r="C8" s="467" t="s">
        <v>439</v>
      </c>
      <c r="D8" s="466">
        <v>1005</v>
      </c>
      <c r="E8" s="466">
        <v>1518</v>
      </c>
      <c r="F8" s="466">
        <v>1225</v>
      </c>
      <c r="G8" s="465">
        <v>1294</v>
      </c>
    </row>
    <row r="9" spans="2:7" ht="17.25">
      <c r="B9" s="470" t="s">
        <v>438</v>
      </c>
      <c r="C9" s="467"/>
      <c r="D9" s="466">
        <v>1005</v>
      </c>
      <c r="E9" s="466">
        <v>1007</v>
      </c>
      <c r="F9" s="466">
        <v>1092</v>
      </c>
      <c r="G9" s="465">
        <v>1104</v>
      </c>
    </row>
    <row r="10" spans="2:7" ht="17.25">
      <c r="B10" s="470" t="s">
        <v>437</v>
      </c>
      <c r="C10" s="467"/>
      <c r="D10" s="466">
        <f>D8-D9</f>
        <v>0</v>
      </c>
      <c r="E10" s="466">
        <f>E8-E9</f>
        <v>511</v>
      </c>
      <c r="F10" s="466">
        <f>F8-F9</f>
        <v>133</v>
      </c>
      <c r="G10" s="469">
        <f>G8-G9</f>
        <v>190</v>
      </c>
    </row>
    <row r="11" spans="2:7" ht="15.75">
      <c r="B11" s="468" t="s">
        <v>436</v>
      </c>
      <c r="C11" s="467" t="s">
        <v>434</v>
      </c>
      <c r="D11" s="466">
        <v>245</v>
      </c>
      <c r="E11" s="466">
        <v>207</v>
      </c>
      <c r="F11" s="466">
        <v>146</v>
      </c>
      <c r="G11" s="465">
        <v>137</v>
      </c>
    </row>
    <row r="12" spans="2:7" ht="16.5" thickBot="1">
      <c r="B12" s="464" t="s">
        <v>435</v>
      </c>
      <c r="C12" s="463" t="s">
        <v>434</v>
      </c>
      <c r="D12" s="462">
        <v>1</v>
      </c>
      <c r="E12" s="462">
        <v>7</v>
      </c>
      <c r="F12" s="462">
        <v>74</v>
      </c>
      <c r="G12" s="461">
        <v>63</v>
      </c>
    </row>
    <row r="13" spans="2:7" ht="15.75">
      <c r="B13" s="454" t="s">
        <v>433</v>
      </c>
      <c r="C13" s="460"/>
      <c r="D13" s="460"/>
      <c r="E13" s="460"/>
      <c r="F13" s="460"/>
      <c r="G13" s="460"/>
    </row>
    <row r="14" spans="2:7">
      <c r="B14" s="458" t="s">
        <v>432</v>
      </c>
    </row>
    <row r="15" spans="2:7">
      <c r="B15" s="458" t="s">
        <v>25</v>
      </c>
    </row>
    <row r="16" spans="2:7">
      <c r="B16" s="459" t="s">
        <v>7</v>
      </c>
    </row>
    <row r="17" spans="2:2">
      <c r="B17" s="458" t="s">
        <v>9</v>
      </c>
    </row>
    <row r="18" spans="2:2">
      <c r="B18" s="459" t="s">
        <v>431</v>
      </c>
    </row>
    <row r="19" spans="2:2">
      <c r="B19" s="459" t="s">
        <v>422</v>
      </c>
    </row>
    <row r="20" spans="2:2">
      <c r="B20" s="458" t="s">
        <v>430</v>
      </c>
    </row>
    <row r="21" spans="2:2">
      <c r="B21" s="456" t="s">
        <v>14</v>
      </c>
    </row>
    <row r="22" spans="2:2">
      <c r="B22" s="457" t="s">
        <v>429</v>
      </c>
    </row>
    <row r="23" spans="2:2">
      <c r="B23" s="456" t="s">
        <v>15</v>
      </c>
    </row>
    <row r="24" spans="2:2">
      <c r="B24" s="456" t="s">
        <v>428</v>
      </c>
    </row>
    <row r="25" spans="2:2">
      <c r="B25" s="456" t="s">
        <v>427</v>
      </c>
    </row>
    <row r="26" spans="2:2">
      <c r="B26" s="456" t="s">
        <v>17</v>
      </c>
    </row>
    <row r="27" spans="2:2">
      <c r="B27" s="456" t="s">
        <v>18</v>
      </c>
    </row>
    <row r="28" spans="2:2">
      <c r="B28" s="456" t="s">
        <v>19</v>
      </c>
    </row>
    <row r="29" spans="2:2">
      <c r="B29" s="456" t="s">
        <v>20</v>
      </c>
    </row>
    <row r="30" spans="2:2">
      <c r="B30" s="456" t="s">
        <v>21</v>
      </c>
    </row>
    <row r="31" spans="2:2">
      <c r="B31" s="456" t="s">
        <v>22</v>
      </c>
    </row>
    <row r="32" spans="2:2">
      <c r="B32" s="456" t="s">
        <v>23</v>
      </c>
    </row>
    <row r="33" spans="2:2">
      <c r="B33" s="455"/>
    </row>
    <row r="34" spans="2:2">
      <c r="B34" s="454" t="s">
        <v>426</v>
      </c>
    </row>
    <row r="35" spans="2:2">
      <c r="B35" s="453" t="s">
        <v>425</v>
      </c>
    </row>
    <row r="36" spans="2:2">
      <c r="B36" s="453" t="s">
        <v>25</v>
      </c>
    </row>
    <row r="37" spans="2:2">
      <c r="B37" s="453" t="s">
        <v>424</v>
      </c>
    </row>
    <row r="38" spans="2:2">
      <c r="B38" s="453" t="s">
        <v>423</v>
      </c>
    </row>
    <row r="39" spans="2:2">
      <c r="B39" s="453" t="s">
        <v>422</v>
      </c>
    </row>
    <row r="40" spans="2:2">
      <c r="B40" s="453" t="s">
        <v>29</v>
      </c>
    </row>
    <row r="41" spans="2:2">
      <c r="B41" s="453" t="s">
        <v>30</v>
      </c>
    </row>
    <row r="42" spans="2:2">
      <c r="B42" s="453" t="s">
        <v>31</v>
      </c>
    </row>
    <row r="43" spans="2:2">
      <c r="B43" s="453" t="s">
        <v>32</v>
      </c>
    </row>
    <row r="44" spans="2:2">
      <c r="B44" s="453" t="s">
        <v>33</v>
      </c>
    </row>
    <row r="45" spans="2:2">
      <c r="B45" s="453" t="s">
        <v>421</v>
      </c>
    </row>
    <row r="46" spans="2:2">
      <c r="B46" s="453" t="s">
        <v>420</v>
      </c>
    </row>
    <row r="47" spans="2:2">
      <c r="B47" s="453" t="s">
        <v>35</v>
      </c>
    </row>
    <row r="48" spans="2:2">
      <c r="B48" s="453" t="s">
        <v>36</v>
      </c>
    </row>
    <row r="49" spans="2:2">
      <c r="B49" s="453" t="s">
        <v>37</v>
      </c>
    </row>
    <row r="50" spans="2:2">
      <c r="B50" s="453" t="s">
        <v>38</v>
      </c>
    </row>
    <row r="51" spans="2:2">
      <c r="B51" s="453" t="s">
        <v>39</v>
      </c>
    </row>
    <row r="52" spans="2:2">
      <c r="B52" s="453" t="s">
        <v>40</v>
      </c>
    </row>
  </sheetData>
  <mergeCells count="1">
    <mergeCell ref="B3:G3"/>
  </mergeCells>
  <printOptions horizontalCentered="1" verticalCentered="1"/>
  <pageMargins left="0" right="0" top="0" bottom="0" header="0.3" footer="0"/>
  <pageSetup scale="12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288"/>
  <sheetViews>
    <sheetView topLeftCell="H1" workbookViewId="0">
      <selection activeCell="U70" sqref="U70"/>
    </sheetView>
  </sheetViews>
  <sheetFormatPr defaultColWidth="8.7109375" defaultRowHeight="12.75"/>
  <cols>
    <col min="1" max="1" width="15.42578125" style="12" customWidth="1"/>
    <col min="2" max="2" width="10.7109375" style="12" customWidth="1"/>
    <col min="3" max="3" width="61.85546875" style="12" customWidth="1"/>
    <col min="4" max="11" width="15.5703125" style="12" customWidth="1"/>
    <col min="12" max="12" width="51.28515625" style="12" customWidth="1"/>
    <col min="13" max="13" width="13.85546875" style="221" customWidth="1"/>
    <col min="14" max="15" width="14.7109375" style="9" customWidth="1"/>
    <col min="16" max="16" width="14.28515625" style="7" customWidth="1"/>
    <col min="17" max="17" width="10.28515625" style="12" hidden="1" customWidth="1"/>
    <col min="18" max="19" width="15.5703125" style="12" hidden="1" customWidth="1"/>
    <col min="20" max="16384" width="8.7109375" style="12"/>
  </cols>
  <sheetData>
    <row r="1" spans="1:19">
      <c r="A1" s="119">
        <v>17425</v>
      </c>
      <c r="B1" s="487">
        <v>3</v>
      </c>
      <c r="C1" s="488"/>
      <c r="D1" s="488"/>
      <c r="E1" s="488"/>
      <c r="F1" s="488"/>
      <c r="G1" s="488"/>
      <c r="H1" s="488"/>
      <c r="I1" s="488"/>
      <c r="J1" s="489"/>
      <c r="K1" s="490" t="s">
        <v>231</v>
      </c>
      <c r="L1" s="491"/>
      <c r="M1" s="491"/>
      <c r="N1" s="491"/>
      <c r="O1" s="491"/>
      <c r="P1" s="491"/>
      <c r="Q1"/>
      <c r="R1"/>
      <c r="S1"/>
    </row>
    <row r="2" spans="1:19" s="14" customFormat="1" ht="77.25" thickBot="1">
      <c r="A2" s="120" t="s">
        <v>275</v>
      </c>
      <c r="B2" s="1" t="s">
        <v>376</v>
      </c>
      <c r="C2" s="2" t="s">
        <v>375</v>
      </c>
      <c r="D2" s="3" t="s">
        <v>379</v>
      </c>
      <c r="E2" s="3" t="s">
        <v>380</v>
      </c>
      <c r="F2" s="3" t="s">
        <v>381</v>
      </c>
      <c r="G2" s="2" t="s">
        <v>237</v>
      </c>
      <c r="H2" s="2" t="s">
        <v>377</v>
      </c>
      <c r="I2" s="2" t="s">
        <v>238</v>
      </c>
      <c r="J2" s="4" t="s">
        <v>378</v>
      </c>
      <c r="K2" s="11" t="s">
        <v>232</v>
      </c>
      <c r="L2" s="3" t="s">
        <v>233</v>
      </c>
      <c r="M2" s="240" t="s">
        <v>240</v>
      </c>
      <c r="N2" s="241" t="s">
        <v>385</v>
      </c>
      <c r="O2" s="241" t="s">
        <v>384</v>
      </c>
      <c r="P2" s="240" t="s">
        <v>286</v>
      </c>
      <c r="Q2" t="s">
        <v>297</v>
      </c>
      <c r="R2"/>
      <c r="S2"/>
    </row>
    <row r="3" spans="1:19" s="109" customFormat="1">
      <c r="A3" s="109" t="s">
        <v>276</v>
      </c>
      <c r="B3" s="162">
        <f>C3*1788/1000000</f>
        <v>671.40497881169983</v>
      </c>
      <c r="C3" s="236">
        <f>350539*(1+0.035)^2</f>
        <v>375506.14027499995</v>
      </c>
      <c r="D3" s="164">
        <f>E3*F3/1000000</f>
        <v>671.40497881169983</v>
      </c>
      <c r="E3" s="163">
        <f>C3</f>
        <v>375506.14027499995</v>
      </c>
      <c r="F3" s="236">
        <v>1788</v>
      </c>
      <c r="G3" s="164">
        <f>H3/B3/1000000</f>
        <v>8.6899017204141611</v>
      </c>
      <c r="H3" s="163">
        <f>5446515233*(1.035)^2</f>
        <v>5834443280.4704247</v>
      </c>
      <c r="I3" s="164">
        <f>+J3*1000/(D3*1000000)</f>
        <v>3.0984340044742731</v>
      </c>
      <c r="J3" s="165">
        <f>5.54*C3</f>
        <v>2080304.0171234997</v>
      </c>
      <c r="K3" s="126">
        <v>120</v>
      </c>
      <c r="L3" s="110" t="str">
        <f>VLOOKUP(K3,$B$61:$G$196,2,FALSE)</f>
        <v>CFL, 6.0 hr/day</v>
      </c>
      <c r="M3" s="217">
        <v>5</v>
      </c>
      <c r="N3" s="161">
        <f>IF(ISNA(VLOOKUP($K3,EEM_exist,3,FALSE)),0,VLOOKUP($K3,EEM_exist,3,FALSE))*(1+$M$73)</f>
        <v>5.3E-3</v>
      </c>
      <c r="O3" s="161">
        <f>IF(ISNA(VLOOKUP($K3,EEM_exist,4,FALSE)),0,VLOOKUP($K3,EEM_exist,4,FALSE))*(1+$M$73)</f>
        <v>5.3E-3</v>
      </c>
      <c r="P3" s="61">
        <f>IF(ISNA(VLOOKUP($K3,EEM_exist,5,FALSE)),0,VLOOKUP($K3,EEM_exist,5,FALSE))*(1+$M$71)</f>
        <v>127.66824</v>
      </c>
      <c r="Q3" s="127" t="e">
        <f>#REF!/#REF!</f>
        <v>#REF!</v>
      </c>
      <c r="R3" s="138" t="e">
        <f>#REF!/#REF!</f>
        <v>#REF!</v>
      </c>
      <c r="S3" s="138" t="e">
        <f>(#REF!-#REF!/1000*15)/#REF!</f>
        <v>#REF!</v>
      </c>
    </row>
    <row r="4" spans="1:19" s="109" customFormat="1">
      <c r="B4" s="113"/>
      <c r="C4" s="114"/>
      <c r="D4" s="115"/>
      <c r="E4" s="114"/>
      <c r="F4" s="114"/>
      <c r="G4" s="115"/>
      <c r="H4" s="114"/>
      <c r="I4" s="115"/>
      <c r="J4" s="118">
        <f>P4/O4</f>
        <v>2509.2028301886789</v>
      </c>
      <c r="K4" s="126">
        <v>121</v>
      </c>
      <c r="L4" s="110" t="str">
        <f>VLOOKUP(K4,$B$61:$G$196,2,FALSE)</f>
        <v>CFL, 0.5 hr/day</v>
      </c>
      <c r="M4" s="217">
        <v>7</v>
      </c>
      <c r="N4" s="239">
        <f>IF(ISNA(VLOOKUP($K4,EEM_exist,3,FALSE)),0,VLOOKUP($K4,EEM_exist,3,FALSE))*(1+$M$73)</f>
        <v>4.2400000000000007E-3</v>
      </c>
      <c r="O4" s="239">
        <f>IF(ISNA(VLOOKUP($K4,EEM_exist,4,FALSE)),0,VLOOKUP($K4,EEM_exist,4,FALSE))*(1+$M$73)</f>
        <v>4.2400000000000007E-3</v>
      </c>
      <c r="P4" s="61">
        <f>IF(ISNA(VLOOKUP($K4,EEM_exist,5,FALSE)),0,VLOOKUP($K4,EEM_exist,5,FALSE))*(1+$M$71)</f>
        <v>10.63902</v>
      </c>
      <c r="Q4" s="127"/>
      <c r="R4" s="138"/>
      <c r="S4" s="138"/>
    </row>
    <row r="5" spans="1:19" s="109" customFormat="1">
      <c r="B5" s="113"/>
      <c r="C5" s="114"/>
      <c r="D5" s="115"/>
      <c r="E5" s="114"/>
      <c r="F5" s="114"/>
      <c r="G5" s="115"/>
      <c r="H5" s="114"/>
      <c r="I5" s="115"/>
      <c r="J5" s="118">
        <f>P5/O5</f>
        <v>10036.811320754716</v>
      </c>
      <c r="K5" s="126">
        <v>122</v>
      </c>
      <c r="L5" s="110" t="str">
        <f>VLOOKUP(K5,$B$61:$G$196,2,FALSE)</f>
        <v>CFL, 2.5 hr/day</v>
      </c>
      <c r="M5" s="217">
        <v>7</v>
      </c>
      <c r="N5" s="239">
        <f>IF(ISNA(VLOOKUP($K5,EEM_exist,3,FALSE)),0,VLOOKUP($K5,EEM_exist,3,FALSE))*(1+$M$73)</f>
        <v>5.3E-3</v>
      </c>
      <c r="O5" s="239">
        <f>IF(ISNA(VLOOKUP($K5,EEM_exist,4,FALSE)),0,VLOOKUP($K5,EEM_exist,4,FALSE))*(1+$M$73)</f>
        <v>5.3E-3</v>
      </c>
      <c r="P5" s="61">
        <f>IF(ISNA(VLOOKUP($K5,EEM_exist,5,FALSE)),0,VLOOKUP($K5,EEM_exist,5,FALSE))*(1+$M$71)</f>
        <v>53.195099999999996</v>
      </c>
      <c r="Q5" s="127"/>
      <c r="R5" s="138"/>
      <c r="S5" s="138"/>
    </row>
    <row r="6" spans="1:19">
      <c r="B6" s="5"/>
      <c r="C6" s="8"/>
      <c r="D6" s="6"/>
      <c r="E6" s="8"/>
      <c r="F6" s="8"/>
      <c r="G6" s="7"/>
      <c r="H6" s="8"/>
      <c r="I6" s="9"/>
      <c r="J6" s="118">
        <f>P6/O6</f>
        <v>2294.1283018867921</v>
      </c>
      <c r="K6" s="126">
        <v>126</v>
      </c>
      <c r="L6" s="110" t="str">
        <f>VLOOKUP(K6,$B$61:$G$196,2,FALSE)</f>
        <v>LED nightlights</v>
      </c>
      <c r="M6" s="217">
        <v>1</v>
      </c>
      <c r="N6" s="239">
        <f>IF(ISNA(VLOOKUP($K6,EEM_exist,3,FALSE)),0,VLOOKUP($K6,EEM_exist,3,FALSE))*(1+$M$73)</f>
        <v>5.3E-3</v>
      </c>
      <c r="O6" s="239">
        <f>IF(ISNA(VLOOKUP($K6,EEM_exist,4,FALSE)),0,VLOOKUP($K6,EEM_exist,4,FALSE))*(1+$M$73)</f>
        <v>5.3E-3</v>
      </c>
      <c r="P6" s="61">
        <f>IF(ISNA(VLOOKUP($K6,EEM_exist,5,FALSE)),0,VLOOKUP($K6,EEM_exist,5,FALSE))*(1+$M$71)</f>
        <v>12.158879999999998</v>
      </c>
      <c r="Q6" s="125" t="e">
        <f>#REF!/#REF!</f>
        <v>#REF!</v>
      </c>
      <c r="R6" s="139" t="e">
        <f>#REF!/#REF!</f>
        <v>#REF!</v>
      </c>
      <c r="S6" s="139" t="e">
        <f>(#REF!-#REF!/1000*15)/#REF!</f>
        <v>#REF!</v>
      </c>
    </row>
    <row r="7" spans="1:19">
      <c r="B7" s="5"/>
      <c r="C7" s="8"/>
      <c r="D7" s="6"/>
      <c r="E7" s="8"/>
      <c r="F7" s="8"/>
      <c r="G7" s="7"/>
      <c r="H7" s="8"/>
      <c r="I7" s="9"/>
      <c r="J7" s="118">
        <f>P7/O7</f>
        <v>283.71069182389937</v>
      </c>
      <c r="K7" s="126">
        <v>127</v>
      </c>
      <c r="L7" s="110" t="str">
        <f>VLOOKUP(K7,$B$61:$G$196,2,FALSE)</f>
        <v>LED holiday lights</v>
      </c>
      <c r="M7" s="217">
        <v>2</v>
      </c>
      <c r="N7" s="239">
        <f>IF(ISNA(VLOOKUP($K7,EEM_exist,3,FALSE)),0,VLOOKUP($K7,EEM_exist,3,FALSE))*(1+$M$73)</f>
        <v>4.7699999999999999E-2</v>
      </c>
      <c r="O7" s="239">
        <f>IF(ISNA(VLOOKUP($K7,EEM_exist,4,FALSE)),0,VLOOKUP($K7,EEM_exist,4,FALSE))*(1+$M$73)</f>
        <v>4.7699999999999999E-2</v>
      </c>
      <c r="P7" s="61">
        <f>IF(ISNA(VLOOKUP($K7,EEM_exist,5,FALSE)),0,VLOOKUP($K7,EEM_exist,5,FALSE))*(1+$M$71)</f>
        <v>13.532999999999999</v>
      </c>
      <c r="Q7" s="125" t="e">
        <f>#REF!/#REF!</f>
        <v>#REF!</v>
      </c>
      <c r="R7" s="139" t="e">
        <f>#REF!/#REF!</f>
        <v>#REF!</v>
      </c>
      <c r="S7" s="139" t="e">
        <f>(#REF!-#REF!/1000*15)/#REF!</f>
        <v>#REF!</v>
      </c>
    </row>
    <row r="8" spans="1:19">
      <c r="A8" s="182" t="s">
        <v>251</v>
      </c>
      <c r="B8" s="183"/>
      <c r="C8" s="184"/>
      <c r="D8" s="185"/>
      <c r="E8" s="186"/>
      <c r="F8" s="184"/>
      <c r="G8" s="187"/>
      <c r="H8" s="184" t="e">
        <f>$H$3*#REF!</f>
        <v>#REF!</v>
      </c>
      <c r="I8" s="188"/>
      <c r="J8" s="189" t="e">
        <f>J$3*#REF!</f>
        <v>#REF!</v>
      </c>
      <c r="K8" s="190"/>
      <c r="L8" s="191"/>
      <c r="M8" s="217"/>
      <c r="N8" s="205"/>
      <c r="O8" s="205"/>
      <c r="P8" s="192"/>
      <c r="Q8" s="125" t="e">
        <f>#REF!/#REF!</f>
        <v>#REF!</v>
      </c>
      <c r="R8" s="139" t="e">
        <f>#REF!/#REF!</f>
        <v>#REF!</v>
      </c>
      <c r="S8" s="139" t="e">
        <f>(#REF!-#REF!/1000*15)/#REF!</f>
        <v>#REF!</v>
      </c>
    </row>
    <row r="9" spans="1:19">
      <c r="A9" s="182"/>
      <c r="B9" s="183"/>
      <c r="C9" s="184"/>
      <c r="D9" s="185"/>
      <c r="E9" s="186"/>
      <c r="F9" s="184"/>
      <c r="G9" s="187"/>
      <c r="H9" s="184"/>
      <c r="I9" s="188"/>
      <c r="J9" s="189"/>
      <c r="K9" s="190"/>
      <c r="L9" s="191"/>
      <c r="M9" s="217"/>
      <c r="N9" s="205"/>
      <c r="O9" s="205"/>
      <c r="P9" s="192"/>
      <c r="Q9" s="125"/>
      <c r="R9" s="139"/>
      <c r="S9" s="139"/>
    </row>
    <row r="10" spans="1:19">
      <c r="A10" s="30"/>
      <c r="B10" s="31"/>
      <c r="C10" s="32"/>
      <c r="D10" s="33"/>
      <c r="E10" s="34"/>
      <c r="F10" s="32"/>
      <c r="G10" s="35"/>
      <c r="H10" s="32"/>
      <c r="I10" s="36"/>
      <c r="J10" s="37" t="s">
        <v>41</v>
      </c>
      <c r="K10" s="38"/>
      <c r="L10" s="39"/>
      <c r="M10" s="218"/>
      <c r="N10" s="105"/>
      <c r="O10" s="105"/>
      <c r="P10" s="40"/>
      <c r="Q10" s="125"/>
      <c r="R10" s="139"/>
      <c r="S10" s="139"/>
    </row>
    <row r="11" spans="1:19" s="109" customFormat="1">
      <c r="A11" s="13" t="s">
        <v>368</v>
      </c>
      <c r="B11" s="113"/>
      <c r="C11" s="114"/>
      <c r="D11" s="115"/>
      <c r="E11" s="114"/>
      <c r="F11" s="114"/>
      <c r="G11" s="116"/>
      <c r="H11" s="114"/>
      <c r="I11" s="117"/>
      <c r="J11" s="118" t="s">
        <v>386</v>
      </c>
      <c r="K11" s="16">
        <v>100</v>
      </c>
      <c r="L11" s="110" t="str">
        <f t="shared" ref="L11:L24" si="0">VLOOKUP(K11,$B$61:$G$196,2,FALSE)</f>
        <v>ENERGY STAR or better Room AC, &lt; 20 kBtu, EER 10.7</v>
      </c>
      <c r="M11" s="217">
        <v>2.1000000000000001E-2</v>
      </c>
      <c r="N11" s="111">
        <f t="shared" ref="N11:N24" si="1">IF(ISNA(VLOOKUP($K11,EEM_exist,3,FALSE)),0,VLOOKUP($K11,EEM_exist,3,FALSE))*(1+$M$73)</f>
        <v>0.3392</v>
      </c>
      <c r="O11" s="111">
        <f t="shared" ref="O11:O24" si="2">IF(ISNA(VLOOKUP($K11,EEM_exist,4,FALSE)),0,VLOOKUP($K11,EEM_exist,4,FALSE))*(1+$M$73)</f>
        <v>0</v>
      </c>
      <c r="P11" s="61">
        <f t="shared" ref="P11:P24" si="3">IF(ISNA(VLOOKUP($K11,EEM_exist,5,FALSE)),0,VLOOKUP($K11,EEM_exist,5,FALSE))*(1+$M$71)</f>
        <v>832.8</v>
      </c>
      <c r="Q11" s="127" t="e">
        <f>#REF!/#REF!</f>
        <v>#REF!</v>
      </c>
      <c r="R11" s="140" t="e">
        <f>#REF!/#REF!</f>
        <v>#REF!</v>
      </c>
      <c r="S11" s="140" t="e">
        <f>(#REF!-#REF!/1000*15)/#REF!</f>
        <v>#REF!</v>
      </c>
    </row>
    <row r="12" spans="1:19" s="109" customFormat="1">
      <c r="A12" s="137"/>
      <c r="B12" s="113"/>
      <c r="C12" s="114"/>
      <c r="D12" s="115"/>
      <c r="E12" s="114"/>
      <c r="F12" s="114"/>
      <c r="G12" s="116"/>
      <c r="H12" s="114"/>
      <c r="I12" s="117"/>
      <c r="J12" s="118">
        <f t="shared" ref="J12:J24" si="4">P12/O12</f>
        <v>69727.358490566025</v>
      </c>
      <c r="K12" s="16">
        <v>101</v>
      </c>
      <c r="L12" s="110" t="str">
        <f t="shared" si="0"/>
        <v>Diagnostic repair, testing, maintenance</v>
      </c>
      <c r="M12" s="217">
        <v>1</v>
      </c>
      <c r="N12" s="111">
        <f t="shared" si="1"/>
        <v>0.12508</v>
      </c>
      <c r="O12" s="111">
        <f t="shared" si="2"/>
        <v>5.3E-3</v>
      </c>
      <c r="P12" s="61">
        <f t="shared" si="3"/>
        <v>369.55499999999995</v>
      </c>
      <c r="Q12" s="127" t="e">
        <f>#REF!/#REF!</f>
        <v>#REF!</v>
      </c>
      <c r="R12" s="140" t="e">
        <f>#REF!/#REF!</f>
        <v>#REF!</v>
      </c>
      <c r="S12" s="140" t="e">
        <f>(#REF!-#REF!/1000*15)/#REF!</f>
        <v>#REF!</v>
      </c>
    </row>
    <row r="13" spans="1:19" s="109" customFormat="1">
      <c r="A13" s="137"/>
      <c r="B13" s="113"/>
      <c r="C13" s="114"/>
      <c r="D13" s="115"/>
      <c r="E13" s="114"/>
      <c r="F13" s="114"/>
      <c r="G13" s="116"/>
      <c r="H13" s="114"/>
      <c r="I13" s="117"/>
      <c r="J13" s="118">
        <f t="shared" si="4"/>
        <v>2455.1886792452833</v>
      </c>
      <c r="K13" s="16">
        <v>102</v>
      </c>
      <c r="L13" s="110" t="str">
        <f t="shared" si="0"/>
        <v>Duct Insulation and Sealing</v>
      </c>
      <c r="M13" s="217">
        <v>0.7</v>
      </c>
      <c r="N13" s="111">
        <f t="shared" si="1"/>
        <v>0.20776000000000003</v>
      </c>
      <c r="O13" s="111">
        <f t="shared" si="2"/>
        <v>0.31163999999999997</v>
      </c>
      <c r="P13" s="61">
        <f t="shared" si="3"/>
        <v>765.13499999999999</v>
      </c>
      <c r="Q13" s="127" t="e">
        <f>#REF!/#REF!</f>
        <v>#REF!</v>
      </c>
      <c r="R13" s="140" t="e">
        <f>#REF!/#REF!</f>
        <v>#REF!</v>
      </c>
      <c r="S13" s="140" t="e">
        <f>(#REF!-#REF!/1000*15)/#REF!</f>
        <v>#REF!</v>
      </c>
    </row>
    <row r="14" spans="1:19" s="109" customFormat="1">
      <c r="A14" s="128"/>
      <c r="B14" s="113"/>
      <c r="C14" s="114"/>
      <c r="D14" s="115"/>
      <c r="E14" s="114"/>
      <c r="F14" s="114"/>
      <c r="G14" s="116"/>
      <c r="H14" s="114"/>
      <c r="I14" s="117"/>
      <c r="J14" s="118">
        <f t="shared" si="4"/>
        <v>2455.1886792452824</v>
      </c>
      <c r="K14" s="16">
        <v>103</v>
      </c>
      <c r="L14" s="110" t="str">
        <f t="shared" si="0"/>
        <v>Ceiling insulation (R-0 improved to R-20)</v>
      </c>
      <c r="M14" s="217">
        <v>0.45</v>
      </c>
      <c r="N14" s="111">
        <f t="shared" si="1"/>
        <v>0.89039999999999997</v>
      </c>
      <c r="O14" s="111">
        <f t="shared" si="2"/>
        <v>1.3356000000000001</v>
      </c>
      <c r="P14" s="61">
        <f t="shared" si="3"/>
        <v>3279.1499999999996</v>
      </c>
      <c r="Q14" s="127" t="e">
        <f>#REF!/#REF!</f>
        <v>#REF!</v>
      </c>
      <c r="R14" s="140" t="e">
        <f>#REF!/#REF!</f>
        <v>#REF!</v>
      </c>
      <c r="S14" s="140" t="e">
        <f>(#REF!-#REF!/1000*15)/#REF!</f>
        <v>#REF!</v>
      </c>
    </row>
    <row r="15" spans="1:19">
      <c r="A15" s="13"/>
      <c r="B15" s="5"/>
      <c r="C15" s="8"/>
      <c r="D15" s="6"/>
      <c r="E15" s="8"/>
      <c r="F15" s="8"/>
      <c r="G15" s="7"/>
      <c r="H15" s="8"/>
      <c r="I15" s="9"/>
      <c r="J15" s="118">
        <f t="shared" si="4"/>
        <v>2455.1886792452824</v>
      </c>
      <c r="K15" s="16">
        <v>104</v>
      </c>
      <c r="L15" s="110" t="str">
        <f t="shared" si="0"/>
        <v>Ceiling insulation (R-20 improved to R-40)</v>
      </c>
      <c r="M15" s="217">
        <v>0.35</v>
      </c>
      <c r="N15" s="111">
        <f t="shared" si="1"/>
        <v>0.19588800000000001</v>
      </c>
      <c r="O15" s="111">
        <f t="shared" si="2"/>
        <v>0.29383200000000004</v>
      </c>
      <c r="P15" s="61">
        <f t="shared" si="3"/>
        <v>721.4129999999999</v>
      </c>
      <c r="Q15" s="127" t="e">
        <f>#REF!/#REF!</f>
        <v>#REF!</v>
      </c>
      <c r="R15" s="140" t="e">
        <f>#REF!/#REF!</f>
        <v>#REF!</v>
      </c>
      <c r="S15" s="140" t="e">
        <f>(#REF!-#REF!/1000*15)/#REF!</f>
        <v>#REF!</v>
      </c>
    </row>
    <row r="16" spans="1:19">
      <c r="A16" s="13"/>
      <c r="B16" s="5"/>
      <c r="C16" s="8"/>
      <c r="D16" s="6"/>
      <c r="E16" s="8"/>
      <c r="F16" s="8"/>
      <c r="G16" s="7"/>
      <c r="H16" s="8"/>
      <c r="I16" s="9"/>
      <c r="J16" s="118">
        <f t="shared" si="4"/>
        <v>2455.1886792452824</v>
      </c>
      <c r="K16" s="16">
        <v>105</v>
      </c>
      <c r="L16" s="110" t="str">
        <f t="shared" si="0"/>
        <v>High Efficiency Windows, Low-e; U=0.35</v>
      </c>
      <c r="M16" s="217">
        <v>0.9</v>
      </c>
      <c r="N16" s="111">
        <f t="shared" si="1"/>
        <v>0.26485866666666669</v>
      </c>
      <c r="O16" s="111">
        <f t="shared" si="2"/>
        <v>0.39728800000000003</v>
      </c>
      <c r="P16" s="61">
        <f t="shared" si="3"/>
        <v>975.41699999999992</v>
      </c>
      <c r="Q16" s="127" t="e">
        <f>#REF!/#REF!</f>
        <v>#REF!</v>
      </c>
      <c r="R16" s="140" t="e">
        <f>#REF!/#REF!</f>
        <v>#REF!</v>
      </c>
      <c r="S16" s="140" t="e">
        <f>(#REF!-#REF!/1000*15)/#REF!</f>
        <v>#REF!</v>
      </c>
    </row>
    <row r="17" spans="1:19">
      <c r="A17" s="13"/>
      <c r="B17" s="5"/>
      <c r="C17" s="8"/>
      <c r="D17" s="6"/>
      <c r="E17" s="8"/>
      <c r="F17" s="8"/>
      <c r="G17" s="7"/>
      <c r="H17" s="8"/>
      <c r="I17" s="9"/>
      <c r="J17" s="118">
        <f t="shared" si="4"/>
        <v>613.7971698113206</v>
      </c>
      <c r="K17" s="16">
        <v>106</v>
      </c>
      <c r="L17" s="110" t="str">
        <f t="shared" si="0"/>
        <v>Floor insulation (R-0 to R-20)</v>
      </c>
      <c r="M17" s="217">
        <v>0.7</v>
      </c>
      <c r="N17" s="111">
        <f t="shared" si="1"/>
        <v>-2.9680000000000002E-2</v>
      </c>
      <c r="O17" s="111">
        <f t="shared" si="2"/>
        <v>0.91244800000000015</v>
      </c>
      <c r="P17" s="61">
        <f t="shared" si="3"/>
        <v>560.05799999999999</v>
      </c>
      <c r="Q17" s="127" t="e">
        <f>#REF!/#REF!</f>
        <v>#REF!</v>
      </c>
      <c r="R17" s="140" t="e">
        <f>#REF!/#REF!</f>
        <v>#REF!</v>
      </c>
      <c r="S17" s="140" t="e">
        <f>(#REF!-#REF!/1000*15)/#REF!</f>
        <v>#REF!</v>
      </c>
    </row>
    <row r="18" spans="1:19">
      <c r="A18" s="13"/>
      <c r="B18" s="5"/>
      <c r="C18" s="8"/>
      <c r="D18" s="6"/>
      <c r="E18" s="8"/>
      <c r="F18" s="8"/>
      <c r="G18" s="7"/>
      <c r="H18" s="8"/>
      <c r="I18" s="9"/>
      <c r="J18" s="118">
        <f t="shared" si="4"/>
        <v>2455.1886792452824</v>
      </c>
      <c r="K18" s="16">
        <v>108</v>
      </c>
      <c r="L18" s="110" t="str">
        <f t="shared" si="0"/>
        <v>Wall insulation (R-0 to R-20)</v>
      </c>
      <c r="M18" s="217">
        <v>0.7</v>
      </c>
      <c r="N18" s="111">
        <f t="shared" si="1"/>
        <v>0.690272</v>
      </c>
      <c r="O18" s="111">
        <f t="shared" si="2"/>
        <v>1.0354080000000001</v>
      </c>
      <c r="P18" s="61">
        <f t="shared" si="3"/>
        <v>2542.1219999999998</v>
      </c>
      <c r="Q18" s="127" t="e">
        <f>#REF!/#REF!</f>
        <v>#REF!</v>
      </c>
      <c r="R18" s="140" t="e">
        <f>#REF!/#REF!</f>
        <v>#REF!</v>
      </c>
      <c r="S18" s="140" t="e">
        <f>(#REF!-#REF!/1000*15)/#REF!</f>
        <v>#REF!</v>
      </c>
    </row>
    <row r="19" spans="1:19">
      <c r="A19" s="13"/>
      <c r="B19" s="5"/>
      <c r="C19" s="8"/>
      <c r="D19" s="6"/>
      <c r="E19" s="8"/>
      <c r="F19" s="8"/>
      <c r="G19" s="7"/>
      <c r="H19" s="8"/>
      <c r="I19" s="9"/>
      <c r="J19" s="118">
        <f t="shared" si="4"/>
        <v>2455.1886792452829</v>
      </c>
      <c r="K19" s="16">
        <v>109</v>
      </c>
      <c r="L19" s="110" t="str">
        <f t="shared" si="0"/>
        <v>Comprehensive air shell sealing</v>
      </c>
      <c r="M19" s="217">
        <v>1</v>
      </c>
      <c r="N19" s="111">
        <f t="shared" si="1"/>
        <v>0.20408533333333334</v>
      </c>
      <c r="O19" s="111">
        <f t="shared" si="2"/>
        <v>0.30612800000000001</v>
      </c>
      <c r="P19" s="61">
        <f t="shared" si="3"/>
        <v>751.60199999999998</v>
      </c>
      <c r="Q19" s="127" t="e">
        <f>#REF!/#REF!</f>
        <v>#REF!</v>
      </c>
      <c r="R19" s="140" t="e">
        <f>#REF!/#REF!</f>
        <v>#REF!</v>
      </c>
      <c r="S19" s="140" t="e">
        <f>(#REF!-#REF!/1000*15)/#REF!</f>
        <v>#REF!</v>
      </c>
    </row>
    <row r="20" spans="1:19" s="109" customFormat="1">
      <c r="B20" s="113"/>
      <c r="C20" s="114"/>
      <c r="D20" s="115"/>
      <c r="E20" s="114"/>
      <c r="F20" s="114"/>
      <c r="G20" s="116"/>
      <c r="H20" s="114"/>
      <c r="I20" s="117"/>
      <c r="J20" s="118" t="s">
        <v>386</v>
      </c>
      <c r="K20" s="16">
        <v>110</v>
      </c>
      <c r="L20" s="110" t="str">
        <f t="shared" si="0"/>
        <v>ENERGY STAR or better Air Source Heat Pump, SEER=14; HSPF=8.5</v>
      </c>
      <c r="M20" s="217">
        <f>0.33*0.9</f>
        <v>0.29700000000000004</v>
      </c>
      <c r="N20" s="111">
        <f t="shared" si="1"/>
        <v>0.18020000000000003</v>
      </c>
      <c r="O20" s="111">
        <f t="shared" si="2"/>
        <v>0</v>
      </c>
      <c r="P20" s="61">
        <f t="shared" si="3"/>
        <v>573.59100000000001</v>
      </c>
      <c r="Q20" s="125" t="e">
        <f>#REF!/#REF!</f>
        <v>#REF!</v>
      </c>
      <c r="R20" s="139" t="e">
        <f>#REF!/#REF!</f>
        <v>#REF!</v>
      </c>
      <c r="S20" s="139" t="e">
        <f>(#REF!-#REF!/1000*15)/#REF!</f>
        <v>#REF!</v>
      </c>
    </row>
    <row r="21" spans="1:19">
      <c r="A21" s="13"/>
      <c r="B21" s="5"/>
      <c r="C21" s="8"/>
      <c r="D21" s="6"/>
      <c r="E21" s="8"/>
      <c r="F21" s="8"/>
      <c r="G21" s="7"/>
      <c r="H21" s="8"/>
      <c r="I21" s="9"/>
      <c r="J21" s="118" t="s">
        <v>386</v>
      </c>
      <c r="K21" s="16">
        <v>111</v>
      </c>
      <c r="L21" s="110" t="str">
        <f t="shared" si="0"/>
        <v>ENERGY STAR or better Air Source Heat Pump, SEER=18; HSPF=9.4</v>
      </c>
      <c r="M21" s="217">
        <f>0.33*0.03</f>
        <v>9.9000000000000008E-3</v>
      </c>
      <c r="N21" s="111">
        <f t="shared" si="1"/>
        <v>1.5264</v>
      </c>
      <c r="O21" s="111">
        <f t="shared" si="2"/>
        <v>0</v>
      </c>
      <c r="P21" s="61">
        <f t="shared" si="3"/>
        <v>2724.297</v>
      </c>
      <c r="Q21" s="127" t="e">
        <f>#REF!/#REF!</f>
        <v>#REF!</v>
      </c>
      <c r="R21" s="140" t="e">
        <f>#REF!/#REF!</f>
        <v>#REF!</v>
      </c>
      <c r="S21" s="140" t="e">
        <f>(#REF!-#REF!/1000*15)/#REF!</f>
        <v>#REF!</v>
      </c>
    </row>
    <row r="22" spans="1:19">
      <c r="A22" s="13"/>
      <c r="B22" s="5"/>
      <c r="C22" s="8"/>
      <c r="D22" s="6"/>
      <c r="E22" s="8"/>
      <c r="F22" s="8"/>
      <c r="G22" s="7"/>
      <c r="H22" s="8"/>
      <c r="I22" s="9"/>
      <c r="J22" s="118">
        <f t="shared" si="4"/>
        <v>1252.3046256847226</v>
      </c>
      <c r="K22" s="16">
        <v>112</v>
      </c>
      <c r="L22" s="110" t="str">
        <f t="shared" si="0"/>
        <v>Geothermal Heat Pump (4 Ton, w/ water heating)</v>
      </c>
      <c r="M22" s="217">
        <f>0.33*0.01</f>
        <v>3.3000000000000004E-3</v>
      </c>
      <c r="N22" s="111">
        <f t="shared" si="1"/>
        <v>2.4379999999999997</v>
      </c>
      <c r="O22" s="111">
        <f t="shared" si="2"/>
        <v>3.2860000000000005</v>
      </c>
      <c r="P22" s="61">
        <f t="shared" si="3"/>
        <v>4115.0729999999994</v>
      </c>
      <c r="Q22" s="127"/>
      <c r="R22" s="140"/>
      <c r="S22" s="140"/>
    </row>
    <row r="23" spans="1:19">
      <c r="A23" s="13"/>
      <c r="B23" s="5"/>
      <c r="C23" s="8"/>
      <c r="D23" s="6"/>
      <c r="E23" s="8"/>
      <c r="F23" s="8"/>
      <c r="G23" s="7"/>
      <c r="H23" s="8"/>
      <c r="I23" s="9"/>
      <c r="J23" s="118" t="s">
        <v>386</v>
      </c>
      <c r="K23" s="16">
        <v>145</v>
      </c>
      <c r="L23" s="110" t="str">
        <f t="shared" si="0"/>
        <v>Central AC SEER 14.0</v>
      </c>
      <c r="M23" s="217">
        <v>0.57999999999999996</v>
      </c>
      <c r="N23" s="111">
        <f t="shared" si="1"/>
        <v>0.3286</v>
      </c>
      <c r="O23" s="111">
        <f t="shared" si="2"/>
        <v>0</v>
      </c>
      <c r="P23" s="61">
        <f t="shared" si="3"/>
        <v>448.67099999999999</v>
      </c>
      <c r="Q23" s="127"/>
      <c r="R23" s="140"/>
      <c r="S23" s="140"/>
    </row>
    <row r="24" spans="1:19">
      <c r="A24" s="13"/>
      <c r="B24" s="5"/>
      <c r="C24" s="8"/>
      <c r="D24" s="6"/>
      <c r="E24" s="8"/>
      <c r="F24" s="8"/>
      <c r="G24" s="7"/>
      <c r="H24" s="8"/>
      <c r="I24" s="9"/>
      <c r="J24" s="118">
        <f t="shared" si="4"/>
        <v>-1404.3679245283017</v>
      </c>
      <c r="K24" s="16">
        <v>143</v>
      </c>
      <c r="L24" s="110" t="str">
        <f t="shared" si="0"/>
        <v>Programmable thermostat</v>
      </c>
      <c r="M24" s="217">
        <v>0.19</v>
      </c>
      <c r="N24" s="111">
        <f t="shared" si="1"/>
        <v>0.10600000000000001</v>
      </c>
      <c r="O24" s="111">
        <f t="shared" si="2"/>
        <v>-0.10600000000000001</v>
      </c>
      <c r="P24" s="61">
        <f t="shared" si="3"/>
        <v>148.863</v>
      </c>
      <c r="Q24" s="127" t="e">
        <f>#REF!/#REF!</f>
        <v>#REF!</v>
      </c>
      <c r="R24" s="140" t="e">
        <f>#REF!/#REF!</f>
        <v>#REF!</v>
      </c>
      <c r="S24" s="140" t="e">
        <f>(#REF!-#REF!/1000*15)/#REF!</f>
        <v>#REF!</v>
      </c>
    </row>
    <row r="25" spans="1:19">
      <c r="A25" s="182" t="s">
        <v>251</v>
      </c>
      <c r="B25" s="183"/>
      <c r="C25" s="184"/>
      <c r="D25" s="185"/>
      <c r="E25" s="186"/>
      <c r="F25" s="184"/>
      <c r="G25" s="187"/>
      <c r="H25" s="184" t="e">
        <f>$H$3*#REF!</f>
        <v>#REF!</v>
      </c>
      <c r="I25" s="188"/>
      <c r="J25" s="189" t="e">
        <f>J$3*#REF!</f>
        <v>#REF!</v>
      </c>
      <c r="K25" s="190"/>
      <c r="L25" s="191"/>
      <c r="M25" s="217"/>
      <c r="N25" s="205"/>
      <c r="O25" s="205"/>
      <c r="P25" s="192"/>
      <c r="Q25" s="125" t="e">
        <f>#REF!/#REF!</f>
        <v>#REF!</v>
      </c>
      <c r="R25" s="139" t="e">
        <f>#REF!/#REF!</f>
        <v>#REF!</v>
      </c>
      <c r="S25" s="139" t="e">
        <f>(#REF!-#REF!/1000*15)/#REF!</f>
        <v>#REF!</v>
      </c>
    </row>
    <row r="26" spans="1:19">
      <c r="A26" s="182"/>
      <c r="B26" s="183"/>
      <c r="C26" s="184"/>
      <c r="D26" s="185"/>
      <c r="E26" s="186"/>
      <c r="F26" s="184"/>
      <c r="G26" s="187"/>
      <c r="H26" s="184"/>
      <c r="I26" s="188"/>
      <c r="J26" s="189"/>
      <c r="K26" s="190"/>
      <c r="L26" s="191"/>
      <c r="M26" s="217"/>
      <c r="N26" s="205"/>
      <c r="O26" s="205"/>
      <c r="P26" s="192"/>
      <c r="Q26" s="125"/>
      <c r="R26" s="139"/>
      <c r="S26" s="139"/>
    </row>
    <row r="27" spans="1:19">
      <c r="A27" s="30"/>
      <c r="B27" s="31"/>
      <c r="C27" s="32"/>
      <c r="D27" s="33"/>
      <c r="E27" s="34"/>
      <c r="F27" s="32"/>
      <c r="G27" s="35"/>
      <c r="H27" s="32"/>
      <c r="I27" s="36"/>
      <c r="J27" s="37"/>
      <c r="K27" s="38"/>
      <c r="L27" s="39"/>
      <c r="M27" s="218"/>
      <c r="N27" s="105"/>
      <c r="O27" s="105"/>
      <c r="P27" s="40"/>
      <c r="Q27" s="125"/>
      <c r="R27" s="139"/>
      <c r="S27" s="139"/>
    </row>
    <row r="28" spans="1:19" s="109" customFormat="1" ht="18.75" customHeight="1">
      <c r="A28" s="137" t="s">
        <v>279</v>
      </c>
      <c r="B28" s="113"/>
      <c r="C28" s="114"/>
      <c r="D28" s="115"/>
      <c r="E28" s="114"/>
      <c r="F28" s="114"/>
      <c r="G28" s="116"/>
      <c r="H28" s="114"/>
      <c r="I28" s="117"/>
      <c r="J28" s="118"/>
      <c r="K28" s="126">
        <v>128</v>
      </c>
      <c r="L28" s="110" t="str">
        <f t="shared" ref="L28:L39" si="5">VLOOKUP(K28,$B$61:$G$196,2,FALSE)</f>
        <v>Low flow showerheads</v>
      </c>
      <c r="M28" s="217">
        <v>0.90200000000000002</v>
      </c>
      <c r="N28" s="111">
        <f t="shared" ref="N28:N39" si="6">IF(ISNA(VLOOKUP($K28,EEM_exist,3,FALSE)),0,VLOOKUP($K28,EEM_exist,3,FALSE))*(1+$M$73)</f>
        <v>2.862E-2</v>
      </c>
      <c r="O28" s="111">
        <f t="shared" ref="O28:O39" si="7">IF(ISNA(VLOOKUP($K28,EEM_exist,4,FALSE)),0,VLOOKUP($K28,EEM_exist,4,FALSE))*(1+$M$73)</f>
        <v>2.862E-2</v>
      </c>
      <c r="P28" s="61">
        <f t="shared" ref="P28:P39" si="8">IF(ISNA(VLOOKUP($K28,EEM_exist,5,FALSE)),0,VLOOKUP($K28,EEM_exist,5,FALSE))*(1+$M$71)</f>
        <v>212.36399999999998</v>
      </c>
      <c r="Q28" s="127" t="e">
        <f>#REF!/#REF!</f>
        <v>#REF!</v>
      </c>
      <c r="R28" s="139" t="e">
        <f>#REF!/#REF!</f>
        <v>#REF!</v>
      </c>
      <c r="S28" s="139" t="e">
        <f>(#REF!-#REF!/1000*15)/#REF!</f>
        <v>#REF!</v>
      </c>
    </row>
    <row r="29" spans="1:19" s="109" customFormat="1">
      <c r="A29" s="128"/>
      <c r="B29" s="113"/>
      <c r="C29" s="114"/>
      <c r="D29" s="115"/>
      <c r="E29" s="114"/>
      <c r="F29" s="114"/>
      <c r="G29" s="116"/>
      <c r="H29" s="114"/>
      <c r="I29" s="117"/>
      <c r="J29" s="118"/>
      <c r="K29" s="126">
        <v>129</v>
      </c>
      <c r="L29" s="110" t="str">
        <f t="shared" si="5"/>
        <v>HE Water Heater (EF=0.95)</v>
      </c>
      <c r="M29" s="217">
        <f>0.93*0.95</f>
        <v>0.88349999999999995</v>
      </c>
      <c r="N29" s="111">
        <f t="shared" si="6"/>
        <v>2.9680000000000002E-2</v>
      </c>
      <c r="O29" s="111">
        <f t="shared" si="7"/>
        <v>2.9680000000000002E-2</v>
      </c>
      <c r="P29" s="61">
        <f t="shared" si="8"/>
        <v>219.0264</v>
      </c>
      <c r="Q29" s="127" t="e">
        <f>#REF!/#REF!</f>
        <v>#REF!</v>
      </c>
      <c r="R29" s="139" t="e">
        <f>#REF!/#REF!</f>
        <v>#REF!</v>
      </c>
      <c r="S29" s="139" t="e">
        <f>(#REF!-#REF!/1000*15)/#REF!</f>
        <v>#REF!</v>
      </c>
    </row>
    <row r="30" spans="1:19" s="109" customFormat="1">
      <c r="A30" s="128"/>
      <c r="B30" s="113"/>
      <c r="C30" s="114"/>
      <c r="D30" s="115"/>
      <c r="E30" s="114"/>
      <c r="F30" s="114"/>
      <c r="G30" s="116"/>
      <c r="H30" s="114"/>
      <c r="I30" s="117"/>
      <c r="J30" s="118"/>
      <c r="K30" s="126">
        <v>130</v>
      </c>
      <c r="L30" s="110" t="str">
        <f t="shared" si="5"/>
        <v>Energy Star Dish Washer (EF=0.58)</v>
      </c>
      <c r="M30" s="217">
        <v>0.53</v>
      </c>
      <c r="N30" s="111">
        <f t="shared" si="6"/>
        <v>3.286E-2</v>
      </c>
      <c r="O30" s="111">
        <f t="shared" si="7"/>
        <v>3.286E-2</v>
      </c>
      <c r="P30" s="61">
        <f t="shared" si="8"/>
        <v>104.1</v>
      </c>
      <c r="Q30" s="127" t="e">
        <f>#REF!/#REF!</f>
        <v>#REF!</v>
      </c>
      <c r="R30" s="139" t="e">
        <f>#REF!/#REF!</f>
        <v>#REF!</v>
      </c>
      <c r="S30" s="139" t="e">
        <f>(#REF!-#REF!/1000*15)/#REF!</f>
        <v>#REF!</v>
      </c>
    </row>
    <row r="31" spans="1:19" s="109" customFormat="1">
      <c r="A31" s="128"/>
      <c r="B31" s="113"/>
      <c r="C31" s="114"/>
      <c r="D31" s="115"/>
      <c r="E31" s="114"/>
      <c r="F31" s="114"/>
      <c r="G31" s="116"/>
      <c r="H31" s="114"/>
      <c r="I31" s="117"/>
      <c r="J31" s="118"/>
      <c r="K31" s="126">
        <v>131</v>
      </c>
      <c r="L31" s="110" t="str">
        <f t="shared" si="5"/>
        <v>Heat Pump Water Heater (EF=2.9)</v>
      </c>
      <c r="M31" s="217">
        <f>0.93*0.02</f>
        <v>1.8600000000000002E-2</v>
      </c>
      <c r="N31" s="111">
        <f t="shared" si="6"/>
        <v>0.54060000000000008</v>
      </c>
      <c r="O31" s="111">
        <f t="shared" si="7"/>
        <v>0</v>
      </c>
      <c r="P31" s="61">
        <f t="shared" si="8"/>
        <v>1572.9509999999998</v>
      </c>
      <c r="Q31" s="127" t="e">
        <f>#REF!/#REF!</f>
        <v>#REF!</v>
      </c>
      <c r="R31" s="139" t="e">
        <f>#REF!/#REF!</f>
        <v>#REF!</v>
      </c>
      <c r="S31" s="139" t="e">
        <f>(#REF!-#REF!/1000*15)/#REF!</f>
        <v>#REF!</v>
      </c>
    </row>
    <row r="32" spans="1:19" s="109" customFormat="1">
      <c r="A32" s="128"/>
      <c r="B32" s="113"/>
      <c r="C32" s="114"/>
      <c r="D32" s="115"/>
      <c r="E32" s="114"/>
      <c r="F32" s="114"/>
      <c r="G32" s="116"/>
      <c r="H32" s="114"/>
      <c r="I32" s="117"/>
      <c r="J32" s="118"/>
      <c r="K32" s="126">
        <v>132</v>
      </c>
      <c r="L32" s="110" t="str">
        <f t="shared" si="5"/>
        <v>Tankless Water Heater (EF=0.98)</v>
      </c>
      <c r="M32" s="217">
        <f>0.93*0.02</f>
        <v>1.8600000000000002E-2</v>
      </c>
      <c r="N32" s="111">
        <f t="shared" si="6"/>
        <v>2.8787368421008003E-2</v>
      </c>
      <c r="O32" s="111">
        <f t="shared" si="7"/>
        <v>2.8787368421008003E-2</v>
      </c>
      <c r="P32" s="61">
        <f t="shared" si="8"/>
        <v>347.27760000000001</v>
      </c>
      <c r="Q32" s="127" t="e">
        <f>#REF!/#REF!</f>
        <v>#REF!</v>
      </c>
      <c r="R32" s="139" t="e">
        <f>#REF!/#REF!</f>
        <v>#REF!</v>
      </c>
      <c r="S32" s="139" t="e">
        <f>(#REF!-#REF!/1000*15)/#REF!</f>
        <v>#REF!</v>
      </c>
    </row>
    <row r="33" spans="1:19" s="109" customFormat="1">
      <c r="A33" s="128"/>
      <c r="B33" s="113"/>
      <c r="C33" s="114"/>
      <c r="D33" s="115"/>
      <c r="E33" s="114"/>
      <c r="F33" s="114"/>
      <c r="G33" s="116"/>
      <c r="H33" s="114"/>
      <c r="I33" s="117"/>
      <c r="J33" s="118"/>
      <c r="K33" s="126">
        <v>133</v>
      </c>
      <c r="L33" s="110" t="str">
        <f t="shared" si="5"/>
        <v>Solar Assisted Water Heating</v>
      </c>
      <c r="M33" s="217">
        <f>0.93*0.01</f>
        <v>9.300000000000001E-3</v>
      </c>
      <c r="N33" s="111">
        <f t="shared" si="6"/>
        <v>0.1908</v>
      </c>
      <c r="O33" s="111">
        <f t="shared" si="7"/>
        <v>0.11660000000000001</v>
      </c>
      <c r="P33" s="61">
        <f t="shared" si="8"/>
        <v>1351.2179999999998</v>
      </c>
      <c r="Q33" s="127" t="e">
        <f>#REF!/#REF!</f>
        <v>#REF!</v>
      </c>
      <c r="R33" s="139" t="e">
        <f>#REF!/#REF!</f>
        <v>#REF!</v>
      </c>
      <c r="S33" s="139" t="e">
        <f>(#REF!-#REF!/1000*15)/#REF!</f>
        <v>#REF!</v>
      </c>
    </row>
    <row r="34" spans="1:19" s="109" customFormat="1">
      <c r="A34" s="128"/>
      <c r="B34" s="113"/>
      <c r="C34" s="114"/>
      <c r="D34" s="115"/>
      <c r="E34" s="114"/>
      <c r="F34" s="114"/>
      <c r="G34" s="116"/>
      <c r="H34" s="114"/>
      <c r="I34" s="117"/>
      <c r="J34" s="118"/>
      <c r="K34" s="126">
        <v>134</v>
      </c>
      <c r="L34" s="110" t="str">
        <f t="shared" si="5"/>
        <v>Horizontal-Axis Clothes Washer: Energy Star CW (EF=2.5)</v>
      </c>
      <c r="M34" s="217">
        <f>0.78*0.7</f>
        <v>0.54599999999999993</v>
      </c>
      <c r="N34" s="111">
        <f t="shared" si="6"/>
        <v>0.11660000000000001</v>
      </c>
      <c r="O34" s="111">
        <f t="shared" si="7"/>
        <v>0.11660000000000001</v>
      </c>
      <c r="P34" s="61">
        <f t="shared" si="8"/>
        <v>499.67999999999995</v>
      </c>
      <c r="Q34" s="127" t="e">
        <f>#REF!/#REF!</f>
        <v>#REF!</v>
      </c>
      <c r="R34" s="139" t="e">
        <f>#REF!/#REF!</f>
        <v>#REF!</v>
      </c>
      <c r="S34" s="139" t="e">
        <f>(#REF!-#REF!/1000*15)/#REF!</f>
        <v>#REF!</v>
      </c>
    </row>
    <row r="35" spans="1:19" s="109" customFormat="1">
      <c r="A35" s="128"/>
      <c r="B35" s="113"/>
      <c r="C35" s="114"/>
      <c r="D35" s="115"/>
      <c r="E35" s="114"/>
      <c r="F35" s="114"/>
      <c r="G35" s="116"/>
      <c r="H35" s="114"/>
      <c r="I35" s="117"/>
      <c r="J35" s="118"/>
      <c r="K35" s="126">
        <v>135</v>
      </c>
      <c r="L35" s="110" t="str">
        <f t="shared" si="5"/>
        <v>Energy Star Vertical-Axis Clothes Washer: SEHA CW Tier 2 (EF=3.25)</v>
      </c>
      <c r="M35" s="217">
        <f>0.78*0.3</f>
        <v>0.23399999999999999</v>
      </c>
      <c r="N35" s="111">
        <f t="shared" si="6"/>
        <v>1.8947499999999999E-2</v>
      </c>
      <c r="O35" s="111">
        <f t="shared" si="7"/>
        <v>1.8947499999999999E-2</v>
      </c>
      <c r="P35" s="61">
        <f t="shared" si="8"/>
        <v>81.197999999999993</v>
      </c>
      <c r="Q35" s="127" t="e">
        <f>#REF!/#REF!</f>
        <v>#REF!</v>
      </c>
      <c r="R35" s="139" t="e">
        <f>#REF!/#REF!</f>
        <v>#REF!</v>
      </c>
      <c r="S35" s="139" t="e">
        <f>(#REF!-#REF!/1000*15)/#REF!</f>
        <v>#REF!</v>
      </c>
    </row>
    <row r="36" spans="1:19" s="109" customFormat="1">
      <c r="A36" s="128"/>
      <c r="B36" s="113"/>
      <c r="C36" s="114"/>
      <c r="D36" s="115"/>
      <c r="E36" s="114"/>
      <c r="F36" s="114"/>
      <c r="G36" s="116"/>
      <c r="H36" s="114"/>
      <c r="I36" s="117"/>
      <c r="J36" s="118"/>
      <c r="K36" s="126">
        <v>136</v>
      </c>
      <c r="L36" s="110" t="str">
        <f t="shared" si="5"/>
        <v>Faucet Aerators</v>
      </c>
      <c r="M36" s="217">
        <f>2*0.902</f>
        <v>1.804</v>
      </c>
      <c r="N36" s="111">
        <f t="shared" si="6"/>
        <v>2.862E-2</v>
      </c>
      <c r="O36" s="111">
        <f t="shared" si="7"/>
        <v>2.862E-2</v>
      </c>
      <c r="P36" s="61">
        <f t="shared" si="8"/>
        <v>35.393999999999998</v>
      </c>
      <c r="Q36" s="127"/>
      <c r="R36" s="139"/>
      <c r="S36" s="139"/>
    </row>
    <row r="37" spans="1:19" s="109" customFormat="1">
      <c r="A37" s="128"/>
      <c r="B37" s="113"/>
      <c r="C37" s="114"/>
      <c r="D37" s="115"/>
      <c r="E37" s="114"/>
      <c r="F37" s="114"/>
      <c r="G37" s="116"/>
      <c r="H37" s="114"/>
      <c r="I37" s="117"/>
      <c r="J37" s="118"/>
      <c r="K37" s="126">
        <v>137</v>
      </c>
      <c r="L37" s="110" t="str">
        <f t="shared" si="5"/>
        <v>Hot water pipe insulation</v>
      </c>
      <c r="M37" s="217">
        <v>0.90200000000000002</v>
      </c>
      <c r="N37" s="111">
        <f t="shared" si="6"/>
        <v>2.7560000000000001E-2</v>
      </c>
      <c r="O37" s="111">
        <f t="shared" si="7"/>
        <v>2.7560000000000001E-2</v>
      </c>
      <c r="P37" s="61">
        <f t="shared" si="8"/>
        <v>79.116</v>
      </c>
      <c r="Q37" s="127"/>
      <c r="R37" s="139"/>
      <c r="S37" s="139"/>
    </row>
    <row r="38" spans="1:19" s="109" customFormat="1">
      <c r="A38" s="128"/>
      <c r="B38" s="113"/>
      <c r="C38" s="114"/>
      <c r="D38" s="115"/>
      <c r="E38" s="114"/>
      <c r="F38" s="114"/>
      <c r="G38" s="116"/>
      <c r="H38" s="114"/>
      <c r="I38" s="117"/>
      <c r="J38" s="118"/>
      <c r="K38" s="126">
        <v>139</v>
      </c>
      <c r="L38" s="110" t="str">
        <f t="shared" si="5"/>
        <v>Drain water heat recovery</v>
      </c>
      <c r="M38" s="217">
        <v>0.90200000000000002</v>
      </c>
      <c r="N38" s="111">
        <f t="shared" si="6"/>
        <v>0.1123527397260274</v>
      </c>
      <c r="O38" s="111">
        <f t="shared" si="7"/>
        <v>0.1123527397260274</v>
      </c>
      <c r="P38" s="61">
        <f t="shared" si="8"/>
        <v>579.94110000000001</v>
      </c>
      <c r="Q38" s="127" t="e">
        <f>#REF!/#REF!</f>
        <v>#REF!</v>
      </c>
      <c r="R38" s="139" t="e">
        <f>#REF!/#REF!</f>
        <v>#REF!</v>
      </c>
      <c r="S38" s="139" t="e">
        <f>(#REF!-#REF!/1000*15)/#REF!</f>
        <v>#REF!</v>
      </c>
    </row>
    <row r="39" spans="1:19" s="109" customFormat="1">
      <c r="A39" s="128"/>
      <c r="B39" s="113"/>
      <c r="C39" s="114"/>
      <c r="D39" s="115"/>
      <c r="E39" s="114"/>
      <c r="F39" s="114"/>
      <c r="G39" s="116"/>
      <c r="H39" s="114"/>
      <c r="I39" s="117"/>
      <c r="J39" s="118"/>
      <c r="K39" s="126">
        <v>144</v>
      </c>
      <c r="L39" s="110" t="str">
        <f t="shared" si="5"/>
        <v>DHW insulation blanket</v>
      </c>
      <c r="M39" s="217">
        <v>0.90200000000000002</v>
      </c>
      <c r="N39" s="111">
        <f t="shared" si="6"/>
        <v>2.12E-2</v>
      </c>
      <c r="O39" s="111">
        <f t="shared" si="7"/>
        <v>2.12E-2</v>
      </c>
      <c r="P39" s="61">
        <f t="shared" si="8"/>
        <v>186.339</v>
      </c>
      <c r="Q39" s="127" t="e">
        <f>#REF!/#REF!</f>
        <v>#REF!</v>
      </c>
      <c r="R39" s="139" t="e">
        <f>#REF!/#REF!</f>
        <v>#REF!</v>
      </c>
      <c r="S39" s="139" t="e">
        <f>(#REF!-#REF!/1000*15)/#REF!</f>
        <v>#REF!</v>
      </c>
    </row>
    <row r="40" spans="1:19">
      <c r="A40" s="182" t="s">
        <v>251</v>
      </c>
      <c r="B40" s="183"/>
      <c r="C40" s="184"/>
      <c r="D40" s="185"/>
      <c r="E40" s="186"/>
      <c r="F40" s="184"/>
      <c r="G40" s="187"/>
      <c r="H40" s="184" t="e">
        <f>$H$3*#REF!</f>
        <v>#REF!</v>
      </c>
      <c r="I40" s="188"/>
      <c r="J40" s="189" t="e">
        <f>J$3*#REF!</f>
        <v>#REF!</v>
      </c>
      <c r="K40" s="190"/>
      <c r="L40" s="191"/>
      <c r="M40" s="217"/>
      <c r="N40" s="205"/>
      <c r="O40" s="205"/>
      <c r="P40" s="192"/>
      <c r="Q40" s="125" t="e">
        <f>#REF!/#REF!</f>
        <v>#REF!</v>
      </c>
      <c r="R40" s="139" t="e">
        <f>#REF!/#REF!</f>
        <v>#REF!</v>
      </c>
      <c r="S40" s="139" t="e">
        <f>(#REF!-#REF!/1000*15)/#REF!</f>
        <v>#REF!</v>
      </c>
    </row>
    <row r="41" spans="1:19">
      <c r="A41" s="182"/>
      <c r="B41" s="183"/>
      <c r="C41" s="184"/>
      <c r="D41" s="185"/>
      <c r="E41" s="186"/>
      <c r="F41" s="184"/>
      <c r="G41" s="187"/>
      <c r="H41" s="184"/>
      <c r="I41" s="188"/>
      <c r="J41" s="189"/>
      <c r="K41" s="190"/>
      <c r="L41" s="191"/>
      <c r="M41" s="217"/>
      <c r="N41" s="205"/>
      <c r="O41" s="205"/>
      <c r="P41" s="192"/>
      <c r="Q41" s="125"/>
      <c r="R41" s="139"/>
      <c r="S41" s="139"/>
    </row>
    <row r="42" spans="1:19">
      <c r="A42" s="30"/>
      <c r="B42" s="31"/>
      <c r="C42" s="32"/>
      <c r="D42" s="33"/>
      <c r="E42" s="34"/>
      <c r="F42" s="32"/>
      <c r="G42" s="35"/>
      <c r="H42" s="32"/>
      <c r="I42" s="36"/>
      <c r="J42" s="37"/>
      <c r="K42" s="38"/>
      <c r="L42" s="39"/>
      <c r="M42" s="218"/>
      <c r="N42" s="105"/>
      <c r="O42" s="105"/>
      <c r="P42" s="40"/>
      <c r="Q42" s="125"/>
      <c r="R42" s="139"/>
      <c r="S42" s="139"/>
    </row>
    <row r="43" spans="1:19" s="109" customFormat="1">
      <c r="A43" s="137" t="s">
        <v>298</v>
      </c>
      <c r="B43" s="113"/>
      <c r="C43" s="114"/>
      <c r="D43" s="115"/>
      <c r="E43" s="114"/>
      <c r="F43" s="114"/>
      <c r="G43" s="116"/>
      <c r="H43" s="114"/>
      <c r="I43" s="117"/>
      <c r="J43" s="118"/>
      <c r="K43" s="16">
        <v>140</v>
      </c>
      <c r="L43" s="19" t="str">
        <f>VLOOKUP(K43,$B$61:$G$196,2,FALSE)</f>
        <v xml:space="preserve">AC/HP cycling switch/thermostat </v>
      </c>
      <c r="M43" s="217">
        <v>0.45</v>
      </c>
      <c r="N43" s="111">
        <f>IF(ISNA(VLOOKUP($K43,EEM_exist,3,FALSE)),0,VLOOKUP($K43,EEM_exist,3,FALSE))*(1+$M$73)</f>
        <v>0.96884000000000003</v>
      </c>
      <c r="O43" s="111">
        <f>IF(ISNA(VLOOKUP($K43,EEM_exist,4,FALSE)),0,VLOOKUP($K43,EEM_exist,4,FALSE))*(1+$M$73)</f>
        <v>1.9658181818181819</v>
      </c>
      <c r="P43" s="61">
        <f>IF(ISNA(VLOOKUP($K43,EEM_exist,5,FALSE)),0,VLOOKUP($K43,EEM_exist,5,FALSE))*(1+$M$71)</f>
        <v>-15.614999999999998</v>
      </c>
      <c r="Q43" s="125" t="e">
        <f>#REF!/#REF!</f>
        <v>#REF!</v>
      </c>
      <c r="R43" s="139" t="e">
        <f>#REF!/#REF!</f>
        <v>#REF!</v>
      </c>
      <c r="S43" s="139" t="e">
        <f>(#REF!-#REF!/1000*15)/#REF!</f>
        <v>#REF!</v>
      </c>
    </row>
    <row r="44" spans="1:19" s="109" customFormat="1">
      <c r="B44" s="113"/>
      <c r="C44" s="114"/>
      <c r="D44" s="115"/>
      <c r="E44" s="114"/>
      <c r="F44" s="114"/>
      <c r="G44" s="116"/>
      <c r="H44" s="114"/>
      <c r="I44" s="117"/>
      <c r="J44" s="118"/>
      <c r="K44" s="16">
        <v>141</v>
      </c>
      <c r="L44" s="19" t="str">
        <f>VLOOKUP(K44,$B$61:$G$196,2,FALSE)</f>
        <v>WH Cycling Switch</v>
      </c>
      <c r="M44" s="217">
        <v>0.9</v>
      </c>
      <c r="N44" s="111">
        <f>IF(ISNA(VLOOKUP($K44,EEM_exist,3,FALSE)),0,VLOOKUP($K44,EEM_exist,3,FALSE))*(1+$M$73)</f>
        <v>0.3392</v>
      </c>
      <c r="O44" s="111">
        <f>IF(ISNA(VLOOKUP($K44,EEM_exist,4,FALSE)),0,VLOOKUP($K44,EEM_exist,4,FALSE))*(1+$M$73)</f>
        <v>0.3392</v>
      </c>
      <c r="P44" s="61">
        <f>IF(ISNA(VLOOKUP($K44,EEM_exist,5,FALSE)),0,VLOOKUP($K44,EEM_exist,5,FALSE))*(1+$M$71)</f>
        <v>4.1639999999999997</v>
      </c>
      <c r="Q44" s="125" t="e">
        <f>#REF!/#REF!</f>
        <v>#REF!</v>
      </c>
      <c r="R44" s="139" t="e">
        <f>#REF!/#REF!</f>
        <v>#REF!</v>
      </c>
      <c r="S44" s="139" t="e">
        <f>(#REF!-#REF!/1000*15)/#REF!</f>
        <v>#REF!</v>
      </c>
    </row>
    <row r="45" spans="1:19" s="23" customFormat="1">
      <c r="B45" s="207"/>
      <c r="C45" s="208"/>
      <c r="D45" s="25"/>
      <c r="E45" s="208"/>
      <c r="F45" s="208"/>
      <c r="G45" s="24"/>
      <c r="H45" s="208"/>
      <c r="I45" s="209"/>
      <c r="J45" s="210"/>
      <c r="K45" s="211">
        <v>142</v>
      </c>
      <c r="L45" s="68" t="str">
        <f>VLOOKUP(K45,$B$61:$G$196,2,FALSE)</f>
        <v>CPP</v>
      </c>
      <c r="M45" s="217">
        <v>1</v>
      </c>
      <c r="N45" s="212">
        <f>IF(ISNA(VLOOKUP($K45,EEM_exist,3,FALSE)),0,VLOOKUP($K45,EEM_exist,3,FALSE))*(1+$M$73)</f>
        <v>2.4379999999999997</v>
      </c>
      <c r="O45" s="212">
        <f>IF(ISNA(VLOOKUP($K45,EEM_exist,4,FALSE)),0,VLOOKUP($K45,EEM_exist,4,FALSE))*(1+$M$73)</f>
        <v>3.0739999999999998</v>
      </c>
      <c r="P45" s="69">
        <f>IF(ISNA(VLOOKUP($K45,EEM_exist,5,FALSE)),0,VLOOKUP($K45,EEM_exist,5,FALSE))*(1+$M$71)</f>
        <v>865.07099999999991</v>
      </c>
      <c r="Q45" s="213" t="e">
        <f>#REF!/#REF!</f>
        <v>#REF!</v>
      </c>
      <c r="R45" s="214" t="e">
        <f>#REF!/#REF!</f>
        <v>#REF!</v>
      </c>
      <c r="S45" s="214" t="e">
        <f>(#REF!-#REF!/1000*15)/#REF!</f>
        <v>#REF!</v>
      </c>
    </row>
    <row r="46" spans="1:19">
      <c r="A46" s="182" t="s">
        <v>251</v>
      </c>
      <c r="B46" s="183"/>
      <c r="C46" s="184"/>
      <c r="D46" s="185"/>
      <c r="E46" s="186"/>
      <c r="F46" s="184"/>
      <c r="G46" s="187"/>
      <c r="H46" s="184"/>
      <c r="I46" s="188"/>
      <c r="J46" s="189"/>
      <c r="K46" s="190"/>
      <c r="L46" s="191"/>
      <c r="M46" s="217"/>
      <c r="N46" s="205"/>
      <c r="O46" s="205"/>
      <c r="P46" s="192"/>
      <c r="Q46" s="125" t="e">
        <f>#REF!/#REF!</f>
        <v>#REF!</v>
      </c>
      <c r="R46" s="139" t="e">
        <f>#REF!/#REF!</f>
        <v>#REF!</v>
      </c>
      <c r="S46" s="139" t="e">
        <f>(#REF!-#REF!/1000*15)/#REF!</f>
        <v>#REF!</v>
      </c>
    </row>
    <row r="47" spans="1:19">
      <c r="A47" s="182"/>
      <c r="B47" s="183"/>
      <c r="C47" s="184"/>
      <c r="D47" s="185"/>
      <c r="E47" s="186"/>
      <c r="F47" s="184"/>
      <c r="G47" s="187"/>
      <c r="H47" s="184"/>
      <c r="I47" s="188"/>
      <c r="J47" s="189"/>
      <c r="K47" s="190"/>
      <c r="L47" s="191"/>
      <c r="M47" s="217"/>
      <c r="N47" s="205"/>
      <c r="O47" s="205"/>
      <c r="P47" s="192"/>
      <c r="Q47" s="125"/>
      <c r="R47" s="139"/>
      <c r="S47" s="139"/>
    </row>
    <row r="48" spans="1:19">
      <c r="A48" s="30"/>
      <c r="B48" s="31"/>
      <c r="C48" s="32"/>
      <c r="D48" s="33"/>
      <c r="E48" s="34"/>
      <c r="F48" s="32"/>
      <c r="G48" s="35"/>
      <c r="H48" s="32"/>
      <c r="I48" s="36"/>
      <c r="J48" s="37"/>
      <c r="K48" s="38"/>
      <c r="L48" s="39"/>
      <c r="M48" s="218"/>
      <c r="N48" s="105"/>
      <c r="O48" s="105"/>
      <c r="P48" s="40"/>
      <c r="Q48" s="125"/>
      <c r="R48" s="139"/>
      <c r="S48" s="139"/>
    </row>
    <row r="49" spans="1:19" s="109" customFormat="1">
      <c r="A49" s="137" t="s">
        <v>367</v>
      </c>
      <c r="B49" s="113"/>
      <c r="C49" s="114"/>
      <c r="D49" s="115"/>
      <c r="E49" s="114"/>
      <c r="F49" s="114"/>
      <c r="G49" s="116"/>
      <c r="H49" s="114"/>
      <c r="I49" s="117"/>
      <c r="J49" s="118"/>
      <c r="K49" s="126">
        <v>113</v>
      </c>
      <c r="L49" s="110" t="str">
        <f t="shared" ref="L49:L54" si="9">VLOOKUP(K49,$B$61:$G$196,2,FALSE)</f>
        <v>High Efficiency Dryer With Moisture Sensor</v>
      </c>
      <c r="M49" s="217">
        <v>0.74</v>
      </c>
      <c r="N49" s="111">
        <f t="shared" ref="N49:N54" si="10">IF(ISNA(VLOOKUP($K49,EEM_exist,3,FALSE)),0,VLOOKUP($K49,EEM_exist,3,FALSE))*(1+$M$73)</f>
        <v>1.1132420091324202E-2</v>
      </c>
      <c r="O49" s="111">
        <f t="shared" ref="O49:O54" si="11">IF(ISNA(VLOOKUP($K49,EEM_exist,4,FALSE)),0,VLOOKUP($K49,EEM_exist,4,FALSE))*(1+$M$73)</f>
        <v>1.1132420091324202E-2</v>
      </c>
      <c r="P49" s="61">
        <f t="shared" ref="P49:P54" si="12">IF(ISNA(VLOOKUP($K49,EEM_exist,5,FALSE)),0,VLOOKUP($K49,EEM_exist,5,FALSE))*(1+$M$71)</f>
        <v>95.771999999999991</v>
      </c>
      <c r="Q49" s="127" t="e">
        <f>#REF!/#REF!</f>
        <v>#REF!</v>
      </c>
      <c r="R49" s="139" t="e">
        <f>#REF!/#REF!</f>
        <v>#REF!</v>
      </c>
      <c r="S49" s="139" t="e">
        <f>(#REF!-#REF!/1000*15)/#REF!</f>
        <v>#REF!</v>
      </c>
    </row>
    <row r="50" spans="1:19" s="109" customFormat="1">
      <c r="B50" s="113"/>
      <c r="C50" s="114"/>
      <c r="D50" s="115"/>
      <c r="E50" s="114"/>
      <c r="F50" s="114"/>
      <c r="G50" s="116"/>
      <c r="H50" s="114"/>
      <c r="I50" s="117"/>
      <c r="J50" s="118"/>
      <c r="K50" s="126">
        <v>114</v>
      </c>
      <c r="L50" s="110" t="str">
        <f t="shared" si="9"/>
        <v>ENERGY STAR or better Freezer</v>
      </c>
      <c r="M50" s="217">
        <v>0.4</v>
      </c>
      <c r="N50" s="111">
        <f t="shared" si="10"/>
        <v>4.4771689497716902E-3</v>
      </c>
      <c r="O50" s="111">
        <f t="shared" si="11"/>
        <v>4.4771689497716902E-3</v>
      </c>
      <c r="P50" s="61">
        <f t="shared" si="12"/>
        <v>38.516999999999996</v>
      </c>
      <c r="Q50" s="127" t="e">
        <f>#REF!/#REF!</f>
        <v>#REF!</v>
      </c>
      <c r="R50" s="139" t="e">
        <f>#REF!/#REF!</f>
        <v>#REF!</v>
      </c>
      <c r="S50" s="139" t="e">
        <f>(#REF!-#REF!/1000*15)/#REF!</f>
        <v>#REF!</v>
      </c>
    </row>
    <row r="51" spans="1:19" s="109" customFormat="1">
      <c r="B51" s="113"/>
      <c r="C51" s="114"/>
      <c r="D51" s="115"/>
      <c r="E51" s="114"/>
      <c r="F51" s="114"/>
      <c r="G51" s="116"/>
      <c r="H51" s="114"/>
      <c r="I51" s="117"/>
      <c r="J51" s="118"/>
      <c r="K51" s="126">
        <v>115</v>
      </c>
      <c r="L51" s="110" t="str">
        <f t="shared" si="9"/>
        <v>ENERGY STAR or better Refrigerator</v>
      </c>
      <c r="M51" s="217">
        <v>0.96199999999999997</v>
      </c>
      <c r="N51" s="111">
        <f t="shared" si="10"/>
        <v>8.9543378995433805E-3</v>
      </c>
      <c r="O51" s="111">
        <f t="shared" si="11"/>
        <v>8.9543378995433805E-3</v>
      </c>
      <c r="P51" s="61">
        <f t="shared" si="12"/>
        <v>77.033999999999992</v>
      </c>
      <c r="Q51" s="127" t="e">
        <f>#REF!/#REF!</f>
        <v>#REF!</v>
      </c>
      <c r="R51" s="139" t="e">
        <f>#REF!/#REF!</f>
        <v>#REF!</v>
      </c>
      <c r="S51" s="139" t="e">
        <f>(#REF!-#REF!/1000*15)/#REF!</f>
        <v>#REF!</v>
      </c>
    </row>
    <row r="52" spans="1:19" s="109" customFormat="1">
      <c r="B52" s="113"/>
      <c r="C52" s="114"/>
      <c r="D52" s="115"/>
      <c r="E52" s="114"/>
      <c r="F52" s="114"/>
      <c r="G52" s="116"/>
      <c r="H52" s="114"/>
      <c r="I52" s="117"/>
      <c r="J52" s="118"/>
      <c r="K52" s="126">
        <v>116</v>
      </c>
      <c r="L52" s="110" t="str">
        <f t="shared" si="9"/>
        <v>Remove secondary refigerator/freezer</v>
      </c>
      <c r="M52" s="217">
        <v>7.0000000000000007E-2</v>
      </c>
      <c r="N52" s="111">
        <f t="shared" si="10"/>
        <v>0.14520547945205478</v>
      </c>
      <c r="O52" s="111">
        <f t="shared" si="11"/>
        <v>0.14520547945205478</v>
      </c>
      <c r="P52" s="61">
        <f t="shared" si="12"/>
        <v>1249.1999999999998</v>
      </c>
      <c r="Q52" s="127" t="e">
        <f>#REF!/#REF!</f>
        <v>#REF!</v>
      </c>
      <c r="R52" s="139" t="e">
        <f>#REF!/#REF!</f>
        <v>#REF!</v>
      </c>
      <c r="S52" s="139" t="e">
        <f>(#REF!-#REF!/1000*15)/#REF!</f>
        <v>#REF!</v>
      </c>
    </row>
    <row r="53" spans="1:19" s="109" customFormat="1">
      <c r="B53" s="113"/>
      <c r="C53" s="114"/>
      <c r="D53" s="115"/>
      <c r="E53" s="114"/>
      <c r="F53" s="114"/>
      <c r="G53" s="116"/>
      <c r="H53" s="114"/>
      <c r="I53" s="117"/>
      <c r="J53" s="118"/>
      <c r="K53" s="126">
        <v>117</v>
      </c>
      <c r="L53" s="110" t="str">
        <f t="shared" si="9"/>
        <v>Convection oven</v>
      </c>
      <c r="M53" s="217">
        <v>0.9</v>
      </c>
      <c r="N53" s="111">
        <f t="shared" si="10"/>
        <v>9.9729785388127847E-3</v>
      </c>
      <c r="O53" s="111">
        <f t="shared" si="11"/>
        <v>9.9729785388127847E-3</v>
      </c>
      <c r="P53" s="61">
        <f t="shared" si="12"/>
        <v>85.797346199999993</v>
      </c>
      <c r="Q53" s="127" t="e">
        <f>#REF!/#REF!</f>
        <v>#REF!</v>
      </c>
      <c r="R53" s="139" t="e">
        <f>#REF!/#REF!</f>
        <v>#REF!</v>
      </c>
      <c r="S53" s="139" t="e">
        <f>(#REF!-#REF!/1000*15)/#REF!</f>
        <v>#REF!</v>
      </c>
    </row>
    <row r="54" spans="1:19" s="109" customFormat="1">
      <c r="B54" s="113"/>
      <c r="C54" s="114"/>
      <c r="D54" s="115"/>
      <c r="E54" s="114"/>
      <c r="F54" s="114"/>
      <c r="G54" s="116"/>
      <c r="H54" s="114"/>
      <c r="I54" s="117"/>
      <c r="J54" s="118"/>
      <c r="K54" s="126">
        <v>118</v>
      </c>
      <c r="L54" s="110" t="str">
        <f t="shared" si="9"/>
        <v>Power strips with occupancy sensors</v>
      </c>
      <c r="M54" s="217">
        <v>2</v>
      </c>
      <c r="N54" s="111">
        <f t="shared" si="10"/>
        <v>4.9611872146118723E-3</v>
      </c>
      <c r="O54" s="111">
        <f t="shared" si="11"/>
        <v>4.9611872146118723E-3</v>
      </c>
      <c r="P54" s="61">
        <f t="shared" si="12"/>
        <v>42.680999999999997</v>
      </c>
      <c r="Q54" s="127" t="e">
        <f>#REF!/#REF!</f>
        <v>#REF!</v>
      </c>
      <c r="R54" s="139" t="e">
        <f>#REF!/#REF!</f>
        <v>#REF!</v>
      </c>
      <c r="S54" s="139" t="e">
        <f>(#REF!-#REF!/1000*15)/#REF!</f>
        <v>#REF!</v>
      </c>
    </row>
    <row r="55" spans="1:19">
      <c r="A55" s="182" t="s">
        <v>251</v>
      </c>
      <c r="B55" s="183"/>
      <c r="C55" s="184"/>
      <c r="D55" s="185"/>
      <c r="E55" s="186"/>
      <c r="F55" s="184"/>
      <c r="G55" s="187"/>
      <c r="H55" s="184" t="e">
        <f>$H$3*#REF!</f>
        <v>#REF!</v>
      </c>
      <c r="I55" s="188"/>
      <c r="J55" s="189" t="e">
        <f>J$3*#REF!</f>
        <v>#REF!</v>
      </c>
      <c r="K55" s="190"/>
      <c r="L55" s="191"/>
      <c r="M55" s="217"/>
      <c r="N55" s="205"/>
      <c r="O55" s="205"/>
      <c r="P55" s="192"/>
      <c r="Q55" s="127" t="e">
        <f>#REF!/#REF!</f>
        <v>#REF!</v>
      </c>
      <c r="R55" s="139" t="e">
        <f>#REF!/#REF!</f>
        <v>#REF!</v>
      </c>
      <c r="S55" s="139" t="e">
        <f>(#REF!-#REF!/1000*15)/#REF!</f>
        <v>#REF!</v>
      </c>
    </row>
    <row r="56" spans="1:19">
      <c r="A56" s="203"/>
      <c r="B56" s="185"/>
      <c r="C56" s="184"/>
      <c r="D56" s="185"/>
      <c r="E56" s="186"/>
      <c r="F56" s="184"/>
      <c r="G56" s="187"/>
      <c r="H56" s="184"/>
      <c r="I56" s="188"/>
      <c r="J56" s="189"/>
      <c r="K56" s="193"/>
      <c r="L56" s="191"/>
      <c r="M56" s="217"/>
      <c r="N56" s="205"/>
      <c r="O56" s="205"/>
      <c r="P56" s="192"/>
      <c r="Q56" s="127"/>
      <c r="R56" s="139"/>
      <c r="S56" s="139"/>
    </row>
    <row r="57" spans="1:19" ht="13.5" thickBot="1">
      <c r="A57" s="204"/>
      <c r="B57" s="194"/>
      <c r="C57" s="195"/>
      <c r="D57" s="194"/>
      <c r="E57" s="196"/>
      <c r="F57" s="195"/>
      <c r="G57" s="197"/>
      <c r="H57" s="195"/>
      <c r="I57" s="198"/>
      <c r="J57" s="202"/>
      <c r="K57" s="199"/>
      <c r="L57" s="200"/>
      <c r="M57" s="219"/>
      <c r="N57" s="206"/>
      <c r="O57" s="206"/>
      <c r="P57" s="201"/>
      <c r="Q57" s="127"/>
      <c r="R57" s="139"/>
      <c r="S57" s="139"/>
    </row>
    <row r="58" spans="1:19" s="49" customFormat="1">
      <c r="A58" s="46" t="s">
        <v>230</v>
      </c>
      <c r="B58" s="47">
        <f>SUM(B3:B55)</f>
        <v>671.40497881169983</v>
      </c>
      <c r="C58" s="48">
        <f>SUM(C3:C55)</f>
        <v>375506.14027499995</v>
      </c>
      <c r="D58" s="47">
        <f>SUM(D3:D55)</f>
        <v>671.40497881169983</v>
      </c>
      <c r="E58" s="48">
        <f>SUM(E3:E55)</f>
        <v>375506.14027499995</v>
      </c>
      <c r="F58" s="48"/>
      <c r="H58" s="48" t="e">
        <f>H8+H25+H40+H55</f>
        <v>#REF!</v>
      </c>
      <c r="J58" s="48" t="e">
        <f>J8+J25+J40+J55</f>
        <v>#REF!</v>
      </c>
      <c r="K58" s="48"/>
      <c r="L58" s="48"/>
      <c r="M58" s="220"/>
      <c r="N58" s="106"/>
      <c r="O58" s="106"/>
      <c r="P58" s="48"/>
      <c r="Q58" s="48"/>
      <c r="R58" s="48"/>
      <c r="S58" s="48"/>
    </row>
    <row r="60" spans="1:19" ht="13.5" thickBot="1">
      <c r="A60" s="13"/>
    </row>
    <row r="61" spans="1:19" ht="13.5" thickBot="1">
      <c r="A61" s="237"/>
      <c r="B61" s="137"/>
      <c r="C61" s="167"/>
      <c r="D61" s="115"/>
      <c r="E61" s="115"/>
      <c r="F61" s="115"/>
      <c r="G61" s="115"/>
      <c r="H61" s="160"/>
      <c r="I61" s="109"/>
      <c r="M61" s="222"/>
      <c r="N61" s="107"/>
      <c r="O61" s="107"/>
      <c r="R61"/>
      <c r="S61"/>
    </row>
    <row r="62" spans="1:19" ht="13.5" thickBot="1">
      <c r="A62" s="159"/>
      <c r="B62" s="129"/>
      <c r="C62" s="129"/>
      <c r="D62" s="173" t="s">
        <v>371</v>
      </c>
      <c r="E62" s="173" t="s">
        <v>370</v>
      </c>
      <c r="F62" s="129" t="s">
        <v>287</v>
      </c>
      <c r="G62" s="129"/>
      <c r="H62" s="129"/>
      <c r="I62" s="129"/>
      <c r="J62" s="130"/>
      <c r="M62" s="12"/>
      <c r="N62" s="222"/>
      <c r="O62" s="222"/>
      <c r="R62"/>
      <c r="S62"/>
    </row>
    <row r="63" spans="1:19">
      <c r="A63" s="174" t="s">
        <v>289</v>
      </c>
      <c r="B63" s="169"/>
      <c r="C63" s="169"/>
      <c r="D63" s="168" t="s">
        <v>242</v>
      </c>
      <c r="E63" s="168" t="s">
        <v>242</v>
      </c>
      <c r="F63" s="168" t="s">
        <v>242</v>
      </c>
      <c r="G63" s="168"/>
      <c r="H63" s="168" t="s">
        <v>257</v>
      </c>
      <c r="I63" s="168"/>
      <c r="J63" s="175"/>
      <c r="L63" s="178" t="s">
        <v>275</v>
      </c>
      <c r="M63" s="179" t="s">
        <v>294</v>
      </c>
      <c r="N63" s="223" t="s">
        <v>359</v>
      </c>
      <c r="O63" s="223"/>
      <c r="R63"/>
      <c r="S63"/>
    </row>
    <row r="64" spans="1:19">
      <c r="A64" s="174" t="s">
        <v>290</v>
      </c>
      <c r="B64" s="169"/>
      <c r="C64" s="169" t="s">
        <v>245</v>
      </c>
      <c r="D64" s="170" t="s">
        <v>255</v>
      </c>
      <c r="E64" s="170" t="s">
        <v>255</v>
      </c>
      <c r="F64" s="171" t="s">
        <v>255</v>
      </c>
      <c r="G64" s="171" t="s">
        <v>364</v>
      </c>
      <c r="H64" s="168" t="s">
        <v>258</v>
      </c>
      <c r="I64" s="168" t="s">
        <v>292</v>
      </c>
      <c r="J64" s="175" t="s">
        <v>366</v>
      </c>
      <c r="L64" s="121" t="s">
        <v>276</v>
      </c>
      <c r="M64" s="180">
        <v>389</v>
      </c>
      <c r="N64" s="222"/>
      <c r="O64" s="222"/>
      <c r="R64"/>
      <c r="S64"/>
    </row>
    <row r="65" spans="1:19" ht="13.5" thickBot="1">
      <c r="A65" s="176" t="s">
        <v>291</v>
      </c>
      <c r="B65" s="172" t="s">
        <v>245</v>
      </c>
      <c r="C65" s="172" t="s">
        <v>263</v>
      </c>
      <c r="D65" s="168" t="s">
        <v>243</v>
      </c>
      <c r="E65" s="168" t="s">
        <v>243</v>
      </c>
      <c r="F65" s="168" t="s">
        <v>244</v>
      </c>
      <c r="G65" s="168" t="s">
        <v>365</v>
      </c>
      <c r="H65" s="168" t="s">
        <v>259</v>
      </c>
      <c r="I65" s="168" t="s">
        <v>293</v>
      </c>
      <c r="J65" s="226" t="s">
        <v>365</v>
      </c>
      <c r="L65" s="121" t="s">
        <v>299</v>
      </c>
      <c r="M65" s="180">
        <v>881</v>
      </c>
      <c r="N65" s="222"/>
      <c r="O65" s="222"/>
      <c r="R65"/>
      <c r="S65"/>
    </row>
    <row r="66" spans="1:19" ht="13.5" thickTop="1">
      <c r="A66" s="177" t="s">
        <v>319</v>
      </c>
      <c r="B66" s="24">
        <v>100</v>
      </c>
      <c r="C66" s="137" t="s">
        <v>320</v>
      </c>
      <c r="D66" s="227">
        <v>0.32</v>
      </c>
      <c r="E66" s="228">
        <v>0</v>
      </c>
      <c r="F66" s="228">
        <v>800</v>
      </c>
      <c r="G66" s="229">
        <v>50</v>
      </c>
      <c r="H66" s="228">
        <v>15</v>
      </c>
      <c r="I66" s="230">
        <v>0.2</v>
      </c>
      <c r="J66" s="231">
        <v>280</v>
      </c>
      <c r="L66" s="121" t="s">
        <v>278</v>
      </c>
      <c r="M66" s="180">
        <v>389</v>
      </c>
      <c r="N66" s="222"/>
      <c r="O66" s="222"/>
      <c r="Q66"/>
    </row>
    <row r="67" spans="1:19">
      <c r="A67" s="177" t="s">
        <v>319</v>
      </c>
      <c r="B67" s="24">
        <v>101</v>
      </c>
      <c r="C67" s="128" t="s">
        <v>341</v>
      </c>
      <c r="D67" s="225">
        <v>0.11799999999999999</v>
      </c>
      <c r="E67" s="115">
        <v>5.0000000000000001E-3</v>
      </c>
      <c r="F67" s="115">
        <v>355</v>
      </c>
      <c r="G67" s="166"/>
      <c r="H67" s="115">
        <v>5</v>
      </c>
      <c r="I67" s="160">
        <v>0.1</v>
      </c>
      <c r="J67" s="224">
        <v>100</v>
      </c>
      <c r="L67" s="121" t="s">
        <v>279</v>
      </c>
      <c r="M67" s="180">
        <v>389</v>
      </c>
      <c r="N67" s="222"/>
      <c r="O67" s="222"/>
      <c r="Q67"/>
    </row>
    <row r="68" spans="1:19">
      <c r="A68" s="177" t="s">
        <v>339</v>
      </c>
      <c r="B68" s="24">
        <v>102</v>
      </c>
      <c r="C68" s="137" t="s">
        <v>362</v>
      </c>
      <c r="D68" s="225">
        <v>0.19600000000000001</v>
      </c>
      <c r="E68" s="115">
        <v>0.29399999999999998</v>
      </c>
      <c r="F68" s="115">
        <v>735</v>
      </c>
      <c r="G68" s="166"/>
      <c r="H68" s="115">
        <v>30</v>
      </c>
      <c r="I68" s="160">
        <v>0.4</v>
      </c>
      <c r="J68" s="224">
        <v>540</v>
      </c>
      <c r="L68" s="121" t="s">
        <v>280</v>
      </c>
      <c r="M68" s="180">
        <v>389</v>
      </c>
      <c r="N68" s="222"/>
      <c r="O68" s="222"/>
      <c r="Q68"/>
    </row>
    <row r="69" spans="1:19" ht="13.5" thickBot="1">
      <c r="A69" s="177" t="s">
        <v>339</v>
      </c>
      <c r="B69" s="24">
        <v>103</v>
      </c>
      <c r="C69" s="128" t="s">
        <v>355</v>
      </c>
      <c r="D69" s="225">
        <v>0.84</v>
      </c>
      <c r="E69" s="115">
        <v>1.26</v>
      </c>
      <c r="F69" s="115">
        <v>3150</v>
      </c>
      <c r="G69" s="166"/>
      <c r="H69" s="115">
        <v>30</v>
      </c>
      <c r="I69" s="160">
        <f>0.5+I70</f>
        <v>0.7</v>
      </c>
      <c r="J69" s="224">
        <v>1511.84</v>
      </c>
      <c r="L69" s="145" t="s">
        <v>295</v>
      </c>
      <c r="M69" s="181">
        <v>233</v>
      </c>
      <c r="N69" s="222"/>
      <c r="O69" s="222"/>
      <c r="Q69"/>
    </row>
    <row r="70" spans="1:19" ht="13.5" thickBot="1">
      <c r="A70" s="177" t="s">
        <v>339</v>
      </c>
      <c r="B70" s="24">
        <v>104</v>
      </c>
      <c r="C70" s="128" t="s">
        <v>354</v>
      </c>
      <c r="D70" s="225">
        <v>0.18479999999999999</v>
      </c>
      <c r="E70" s="115">
        <v>0.2772</v>
      </c>
      <c r="F70" s="115">
        <v>693</v>
      </c>
      <c r="G70" s="166"/>
      <c r="H70" s="115">
        <v>30</v>
      </c>
      <c r="I70" s="160">
        <v>0.2</v>
      </c>
      <c r="J70" s="224">
        <v>1511.84</v>
      </c>
      <c r="M70" s="12"/>
      <c r="N70" s="222"/>
      <c r="O70" s="222"/>
      <c r="Q70"/>
    </row>
    <row r="71" spans="1:19" ht="13.5" thickBot="1">
      <c r="A71" s="177" t="s">
        <v>339</v>
      </c>
      <c r="B71" s="24">
        <v>105</v>
      </c>
      <c r="C71" s="137" t="s">
        <v>300</v>
      </c>
      <c r="D71" s="225">
        <v>0.24986666666666668</v>
      </c>
      <c r="E71" s="115">
        <v>0.37480000000000002</v>
      </c>
      <c r="F71" s="115">
        <v>937</v>
      </c>
      <c r="G71" s="115">
        <v>528</v>
      </c>
      <c r="H71" s="115">
        <v>30</v>
      </c>
      <c r="I71" s="160">
        <v>0.2</v>
      </c>
      <c r="J71" s="224">
        <v>4387.2</v>
      </c>
      <c r="L71" s="215" t="s">
        <v>369</v>
      </c>
      <c r="M71" s="216">
        <v>4.1000000000000002E-2</v>
      </c>
      <c r="N71" s="222"/>
      <c r="O71" s="222"/>
      <c r="Q71"/>
    </row>
    <row r="72" spans="1:19" ht="13.5" thickBot="1">
      <c r="A72" s="177" t="s">
        <v>339</v>
      </c>
      <c r="B72" s="24">
        <v>106</v>
      </c>
      <c r="C72" s="128" t="s">
        <v>356</v>
      </c>
      <c r="D72" s="225">
        <v>-2.8000000000000001E-2</v>
      </c>
      <c r="E72" s="115">
        <v>0.86080000000000012</v>
      </c>
      <c r="F72" s="115">
        <v>538</v>
      </c>
      <c r="G72" s="166"/>
      <c r="H72" s="115">
        <v>30</v>
      </c>
      <c r="I72" s="160">
        <v>0.2</v>
      </c>
      <c r="J72" s="224">
        <v>1511.84</v>
      </c>
      <c r="M72" s="12"/>
      <c r="N72" s="222"/>
      <c r="O72" s="222"/>
      <c r="Q72"/>
    </row>
    <row r="73" spans="1:19" ht="13.5" thickBot="1">
      <c r="A73" s="177" t="s">
        <v>339</v>
      </c>
      <c r="B73" s="24">
        <v>107</v>
      </c>
      <c r="C73" s="137" t="s">
        <v>296</v>
      </c>
      <c r="D73" s="225" t="s">
        <v>358</v>
      </c>
      <c r="E73" s="115"/>
      <c r="F73" s="115"/>
      <c r="G73" s="166"/>
      <c r="H73" s="115"/>
      <c r="I73" s="160"/>
      <c r="J73" s="224"/>
      <c r="M73" s="216">
        <v>0.06</v>
      </c>
      <c r="N73" s="222"/>
      <c r="O73" s="222"/>
      <c r="Q73"/>
    </row>
    <row r="74" spans="1:19">
      <c r="A74" s="177" t="s">
        <v>339</v>
      </c>
      <c r="B74" s="24">
        <v>108</v>
      </c>
      <c r="C74" s="128" t="s">
        <v>357</v>
      </c>
      <c r="D74" s="225">
        <v>0.6512</v>
      </c>
      <c r="E74" s="115">
        <v>0.97680000000000011</v>
      </c>
      <c r="F74" s="115">
        <v>2442</v>
      </c>
      <c r="G74" s="166"/>
      <c r="H74" s="115">
        <v>30</v>
      </c>
      <c r="I74" s="160">
        <v>0.5</v>
      </c>
      <c r="J74" s="224">
        <v>2508.86</v>
      </c>
      <c r="M74" s="12"/>
      <c r="N74" s="222"/>
      <c r="O74" s="222"/>
      <c r="Q74"/>
    </row>
    <row r="75" spans="1:19">
      <c r="A75" s="177" t="s">
        <v>339</v>
      </c>
      <c r="B75" s="24">
        <v>109</v>
      </c>
      <c r="C75" s="137" t="s">
        <v>344</v>
      </c>
      <c r="D75" s="225">
        <v>0.19253333333333333</v>
      </c>
      <c r="E75" s="115">
        <v>0.2888</v>
      </c>
      <c r="F75" s="115">
        <v>722</v>
      </c>
      <c r="G75" s="166">
        <v>490</v>
      </c>
      <c r="H75" s="115">
        <v>6</v>
      </c>
      <c r="I75" s="160">
        <v>0.4</v>
      </c>
      <c r="J75" s="224">
        <v>490</v>
      </c>
      <c r="M75" s="12"/>
      <c r="N75" s="222"/>
      <c r="O75" s="222"/>
      <c r="Q75"/>
    </row>
    <row r="76" spans="1:19">
      <c r="A76" s="177" t="s">
        <v>307</v>
      </c>
      <c r="B76" s="24">
        <v>110</v>
      </c>
      <c r="C76" s="137" t="s">
        <v>302</v>
      </c>
      <c r="D76" s="225">
        <v>0.17</v>
      </c>
      <c r="E76" s="115">
        <v>0</v>
      </c>
      <c r="F76" s="115">
        <v>551</v>
      </c>
      <c r="G76" s="166">
        <v>400</v>
      </c>
      <c r="H76" s="115">
        <v>18</v>
      </c>
      <c r="I76" s="160">
        <v>0.1</v>
      </c>
      <c r="J76" s="224">
        <v>4500</v>
      </c>
      <c r="M76" s="12"/>
      <c r="N76" s="222"/>
      <c r="O76" s="222"/>
      <c r="Q76"/>
    </row>
    <row r="77" spans="1:19">
      <c r="A77" s="177" t="s">
        <v>307</v>
      </c>
      <c r="B77" s="24">
        <v>111</v>
      </c>
      <c r="C77" s="137" t="s">
        <v>301</v>
      </c>
      <c r="D77" s="225">
        <v>1.44</v>
      </c>
      <c r="E77" s="115">
        <v>0</v>
      </c>
      <c r="F77" s="115">
        <v>2617</v>
      </c>
      <c r="G77" s="166">
        <v>950</v>
      </c>
      <c r="H77" s="115">
        <v>18</v>
      </c>
      <c r="I77" s="160">
        <v>0.01</v>
      </c>
      <c r="J77" s="224">
        <v>5000</v>
      </c>
      <c r="M77" s="12"/>
      <c r="N77" s="222"/>
      <c r="O77" s="222"/>
      <c r="Q77"/>
    </row>
    <row r="78" spans="1:19">
      <c r="A78" s="177" t="s">
        <v>307</v>
      </c>
      <c r="B78" s="24">
        <v>112</v>
      </c>
      <c r="C78" s="137" t="s">
        <v>308</v>
      </c>
      <c r="D78" s="225">
        <v>2.2999999999999998</v>
      </c>
      <c r="E78" s="115">
        <v>3.1</v>
      </c>
      <c r="F78" s="115">
        <v>3953</v>
      </c>
      <c r="G78" s="166"/>
      <c r="H78" s="115">
        <v>18</v>
      </c>
      <c r="I78" s="160">
        <v>0.01</v>
      </c>
      <c r="J78" s="224">
        <v>11000</v>
      </c>
      <c r="M78" s="12"/>
      <c r="N78" s="222"/>
      <c r="O78" s="222"/>
      <c r="Q78"/>
    </row>
    <row r="79" spans="1:19">
      <c r="A79" s="177" t="s">
        <v>372</v>
      </c>
      <c r="B79" s="116">
        <v>145</v>
      </c>
      <c r="C79" s="167" t="s">
        <v>373</v>
      </c>
      <c r="D79" s="115">
        <v>0.31</v>
      </c>
      <c r="E79" s="115">
        <v>0</v>
      </c>
      <c r="F79" s="115">
        <v>431</v>
      </c>
      <c r="G79" s="115">
        <v>100</v>
      </c>
      <c r="H79" s="115">
        <v>18</v>
      </c>
      <c r="I79" s="160">
        <v>0.1</v>
      </c>
      <c r="J79" s="224">
        <v>2900</v>
      </c>
      <c r="M79" s="222"/>
      <c r="N79" s="107"/>
      <c r="O79" s="107"/>
      <c r="Q79"/>
    </row>
    <row r="80" spans="1:19">
      <c r="A80" s="177" t="s">
        <v>303</v>
      </c>
      <c r="B80" s="24">
        <v>113</v>
      </c>
      <c r="C80" s="137" t="s">
        <v>304</v>
      </c>
      <c r="D80" s="225">
        <v>1.0502283105022832E-2</v>
      </c>
      <c r="E80" s="115">
        <v>1.0502283105022832E-2</v>
      </c>
      <c r="F80" s="115">
        <v>92</v>
      </c>
      <c r="G80" s="166">
        <v>60</v>
      </c>
      <c r="H80" s="115">
        <v>14</v>
      </c>
      <c r="I80" s="160">
        <v>0.2</v>
      </c>
      <c r="J80" s="224">
        <v>630</v>
      </c>
      <c r="M80" s="12"/>
      <c r="N80" s="222"/>
      <c r="O80" s="222"/>
      <c r="Q80"/>
    </row>
    <row r="81" spans="1:17">
      <c r="A81" s="177" t="s">
        <v>305</v>
      </c>
      <c r="B81" s="24">
        <v>114</v>
      </c>
      <c r="C81" s="137" t="s">
        <v>306</v>
      </c>
      <c r="D81" s="225">
        <v>4.2237442922374432E-3</v>
      </c>
      <c r="E81" s="115">
        <v>4.2237442922374432E-3</v>
      </c>
      <c r="F81" s="115">
        <v>37</v>
      </c>
      <c r="G81" s="166">
        <v>60</v>
      </c>
      <c r="H81" s="115">
        <v>15</v>
      </c>
      <c r="I81" s="160">
        <v>0.1</v>
      </c>
      <c r="J81" s="224">
        <v>480</v>
      </c>
      <c r="M81" s="12"/>
      <c r="N81" s="222"/>
      <c r="O81" s="222"/>
      <c r="Q81"/>
    </row>
    <row r="82" spans="1:17">
      <c r="A82" s="177" t="s">
        <v>317</v>
      </c>
      <c r="B82" s="24">
        <v>115</v>
      </c>
      <c r="C82" s="137" t="s">
        <v>318</v>
      </c>
      <c r="D82" s="225">
        <v>8.4474885844748864E-3</v>
      </c>
      <c r="E82" s="115">
        <v>8.4474885844748864E-3</v>
      </c>
      <c r="F82" s="115">
        <v>74</v>
      </c>
      <c r="G82" s="166">
        <v>60</v>
      </c>
      <c r="H82" s="115">
        <v>15</v>
      </c>
      <c r="I82" s="160">
        <v>0.1</v>
      </c>
      <c r="J82" s="224">
        <v>650</v>
      </c>
      <c r="M82" s="12"/>
      <c r="N82" s="222"/>
      <c r="O82" s="222"/>
      <c r="Q82"/>
    </row>
    <row r="83" spans="1:17">
      <c r="A83" s="177" t="s">
        <v>317</v>
      </c>
      <c r="B83" s="24">
        <v>116</v>
      </c>
      <c r="C83" s="128" t="s">
        <v>345</v>
      </c>
      <c r="D83" s="225">
        <v>0.13698630136986301</v>
      </c>
      <c r="E83" s="115">
        <v>0.13698630136986301</v>
      </c>
      <c r="F83" s="115">
        <v>1200</v>
      </c>
      <c r="G83" s="166"/>
      <c r="H83" s="115">
        <v>10</v>
      </c>
      <c r="I83" s="160">
        <v>0</v>
      </c>
      <c r="J83" s="224">
        <v>225</v>
      </c>
      <c r="M83" s="12"/>
      <c r="N83" s="222"/>
      <c r="O83" s="222"/>
      <c r="Q83"/>
    </row>
    <row r="84" spans="1:17">
      <c r="A84" s="177" t="s">
        <v>346</v>
      </c>
      <c r="B84" s="24">
        <v>117</v>
      </c>
      <c r="C84" s="137" t="s">
        <v>347</v>
      </c>
      <c r="D84" s="225">
        <v>9.4084703196347028E-3</v>
      </c>
      <c r="E84" s="115">
        <v>9.4084703196347028E-3</v>
      </c>
      <c r="F84" s="115">
        <v>82.418199999999999</v>
      </c>
      <c r="G84" s="166">
        <v>160</v>
      </c>
      <c r="H84" s="115">
        <v>15</v>
      </c>
      <c r="I84" s="160">
        <v>0.108</v>
      </c>
      <c r="J84" s="224">
        <v>700</v>
      </c>
      <c r="M84" s="12"/>
      <c r="N84" s="222"/>
      <c r="O84" s="222"/>
      <c r="Q84"/>
    </row>
    <row r="85" spans="1:17">
      <c r="A85" s="177" t="s">
        <v>349</v>
      </c>
      <c r="B85" s="24">
        <v>118</v>
      </c>
      <c r="C85" s="137" t="s">
        <v>348</v>
      </c>
      <c r="D85" s="225">
        <v>4.6803652968036525E-3</v>
      </c>
      <c r="E85" s="115">
        <v>4.6803652968036525E-3</v>
      </c>
      <c r="F85" s="115">
        <v>41</v>
      </c>
      <c r="G85" s="166">
        <v>15</v>
      </c>
      <c r="H85" s="115">
        <v>2</v>
      </c>
      <c r="I85" s="160">
        <v>0</v>
      </c>
      <c r="J85" s="224">
        <v>85</v>
      </c>
      <c r="M85" s="12"/>
      <c r="N85" s="222"/>
      <c r="O85" s="222"/>
      <c r="Q85"/>
    </row>
    <row r="86" spans="1:17">
      <c r="A86" s="177" t="s">
        <v>309</v>
      </c>
      <c r="B86" s="24">
        <v>120</v>
      </c>
      <c r="C86" s="137" t="s">
        <v>310</v>
      </c>
      <c r="D86" s="225">
        <v>5.0000000000000001E-3</v>
      </c>
      <c r="E86" s="115">
        <v>5.0000000000000001E-3</v>
      </c>
      <c r="F86" s="115">
        <v>122.64</v>
      </c>
      <c r="G86" s="166"/>
      <c r="H86" s="115">
        <v>5</v>
      </c>
      <c r="I86" s="160">
        <v>0.03</v>
      </c>
      <c r="J86" s="224">
        <v>3</v>
      </c>
      <c r="K86" s="12">
        <v>136.49832000000001</v>
      </c>
      <c r="L86" s="150">
        <f>+K86-P3</f>
        <v>8.8300800000000095</v>
      </c>
      <c r="M86" s="12"/>
      <c r="N86" s="222"/>
      <c r="O86" s="222"/>
      <c r="Q86"/>
    </row>
    <row r="87" spans="1:17">
      <c r="A87" s="177" t="s">
        <v>309</v>
      </c>
      <c r="B87" s="24">
        <v>121</v>
      </c>
      <c r="C87" s="137" t="s">
        <v>311</v>
      </c>
      <c r="D87" s="225">
        <v>4.0000000000000001E-3</v>
      </c>
      <c r="E87" s="115">
        <v>4.0000000000000001E-3</v>
      </c>
      <c r="F87" s="115">
        <v>10.220000000000001</v>
      </c>
      <c r="G87" s="166"/>
      <c r="H87" s="115">
        <v>7</v>
      </c>
      <c r="I87" s="160">
        <v>0.01</v>
      </c>
      <c r="J87" s="224">
        <v>3</v>
      </c>
      <c r="M87" s="12"/>
      <c r="N87" s="222"/>
      <c r="O87" s="222"/>
      <c r="Q87"/>
    </row>
    <row r="88" spans="1:17">
      <c r="A88" s="177" t="s">
        <v>309</v>
      </c>
      <c r="B88" s="24">
        <v>122</v>
      </c>
      <c r="C88" s="137" t="s">
        <v>312</v>
      </c>
      <c r="D88" s="225">
        <v>5.0000000000000001E-3</v>
      </c>
      <c r="E88" s="115">
        <v>5.0000000000000001E-3</v>
      </c>
      <c r="F88" s="115">
        <v>51.1</v>
      </c>
      <c r="G88" s="166"/>
      <c r="H88" s="115">
        <v>7</v>
      </c>
      <c r="I88" s="160">
        <v>0.02</v>
      </c>
      <c r="J88" s="224">
        <v>3</v>
      </c>
      <c r="M88" s="12"/>
      <c r="N88" s="222"/>
      <c r="O88" s="222"/>
      <c r="Q88"/>
    </row>
    <row r="89" spans="1:17">
      <c r="A89" s="177" t="s">
        <v>309</v>
      </c>
      <c r="B89" s="24">
        <v>126</v>
      </c>
      <c r="C89" s="137" t="s">
        <v>342</v>
      </c>
      <c r="D89" s="225">
        <v>5.0000000000000001E-3</v>
      </c>
      <c r="E89" s="115">
        <v>5.0000000000000001E-3</v>
      </c>
      <c r="F89" s="115">
        <v>11.68</v>
      </c>
      <c r="G89" s="166"/>
      <c r="H89" s="115">
        <v>10</v>
      </c>
      <c r="I89" s="160">
        <v>0</v>
      </c>
      <c r="J89" s="224">
        <v>3</v>
      </c>
      <c r="M89" s="12"/>
      <c r="N89" s="222"/>
      <c r="O89" s="222"/>
      <c r="Q89"/>
    </row>
    <row r="90" spans="1:17">
      <c r="A90" s="177" t="s">
        <v>309</v>
      </c>
      <c r="B90" s="24">
        <v>127</v>
      </c>
      <c r="C90" s="137" t="s">
        <v>343</v>
      </c>
      <c r="D90" s="225">
        <v>4.4999999999999998E-2</v>
      </c>
      <c r="E90" s="115">
        <v>4.4999999999999998E-2</v>
      </c>
      <c r="F90" s="115">
        <v>13</v>
      </c>
      <c r="G90" s="166"/>
      <c r="H90" s="115">
        <v>10</v>
      </c>
      <c r="I90" s="160">
        <v>0</v>
      </c>
      <c r="J90" s="224">
        <v>3</v>
      </c>
      <c r="M90" s="12"/>
      <c r="N90" s="222"/>
      <c r="O90" s="222"/>
      <c r="Q90"/>
    </row>
    <row r="91" spans="1:17">
      <c r="A91" s="177" t="s">
        <v>313</v>
      </c>
      <c r="B91" s="24">
        <v>123</v>
      </c>
      <c r="C91" s="137" t="s">
        <v>314</v>
      </c>
      <c r="D91" s="225">
        <v>4.0000000000000001E-3</v>
      </c>
      <c r="E91" s="115">
        <v>4.0000000000000001E-3</v>
      </c>
      <c r="F91" s="115">
        <v>10.220000000000001</v>
      </c>
      <c r="G91" s="166"/>
      <c r="H91" s="115">
        <v>10</v>
      </c>
      <c r="I91" s="160">
        <v>0.01</v>
      </c>
      <c r="J91" s="224">
        <v>25</v>
      </c>
      <c r="M91" s="12"/>
      <c r="N91" s="222"/>
      <c r="O91" s="222"/>
      <c r="Q91"/>
    </row>
    <row r="92" spans="1:17">
      <c r="A92" s="177" t="s">
        <v>313</v>
      </c>
      <c r="B92" s="24">
        <v>124</v>
      </c>
      <c r="C92" s="137" t="s">
        <v>315</v>
      </c>
      <c r="D92" s="225">
        <v>5.0000000000000001E-3</v>
      </c>
      <c r="E92" s="115">
        <v>5.0000000000000001E-3</v>
      </c>
      <c r="F92" s="115">
        <v>51.1</v>
      </c>
      <c r="G92" s="166"/>
      <c r="H92" s="115">
        <v>10</v>
      </c>
      <c r="I92" s="160">
        <v>0.02</v>
      </c>
      <c r="J92" s="224">
        <v>25</v>
      </c>
      <c r="M92" s="12"/>
      <c r="N92" s="222"/>
      <c r="O92" s="222"/>
      <c r="Q92"/>
    </row>
    <row r="93" spans="1:17">
      <c r="A93" s="177" t="s">
        <v>313</v>
      </c>
      <c r="B93" s="24">
        <v>125</v>
      </c>
      <c r="C93" s="137" t="s">
        <v>316</v>
      </c>
      <c r="D93" s="225">
        <v>5.0000000000000001E-3</v>
      </c>
      <c r="E93" s="115">
        <v>5.0000000000000001E-3</v>
      </c>
      <c r="F93" s="115">
        <v>122.64</v>
      </c>
      <c r="G93" s="166"/>
      <c r="H93" s="115">
        <v>8</v>
      </c>
      <c r="I93" s="160">
        <v>0.03</v>
      </c>
      <c r="J93" s="224">
        <v>25</v>
      </c>
      <c r="M93" s="12"/>
      <c r="N93" s="222"/>
      <c r="O93" s="222"/>
      <c r="Q93"/>
    </row>
    <row r="94" spans="1:17">
      <c r="A94" s="177" t="s">
        <v>321</v>
      </c>
      <c r="B94" s="24">
        <v>128</v>
      </c>
      <c r="C94" s="137" t="s">
        <v>350</v>
      </c>
      <c r="D94" s="225">
        <v>2.7E-2</v>
      </c>
      <c r="E94" s="115">
        <v>2.7E-2</v>
      </c>
      <c r="F94" s="115">
        <v>204</v>
      </c>
      <c r="G94" s="166"/>
      <c r="H94" s="115">
        <v>7</v>
      </c>
      <c r="I94" s="160">
        <v>0.1</v>
      </c>
      <c r="J94" s="224">
        <v>7</v>
      </c>
      <c r="M94" s="12"/>
      <c r="N94" s="222"/>
      <c r="O94" s="222"/>
      <c r="Q94"/>
    </row>
    <row r="95" spans="1:17">
      <c r="A95" s="177" t="s">
        <v>321</v>
      </c>
      <c r="B95" s="24">
        <v>129</v>
      </c>
      <c r="C95" s="137" t="s">
        <v>322</v>
      </c>
      <c r="D95" s="225">
        <v>2.8000000000000001E-2</v>
      </c>
      <c r="E95" s="115">
        <v>2.8000000000000001E-2</v>
      </c>
      <c r="F95" s="115">
        <v>210.4</v>
      </c>
      <c r="G95" s="166">
        <v>70</v>
      </c>
      <c r="H95" s="115">
        <v>15</v>
      </c>
      <c r="I95" s="160">
        <v>0.1</v>
      </c>
      <c r="J95" s="224">
        <v>325</v>
      </c>
      <c r="M95" s="12"/>
      <c r="N95" s="222"/>
      <c r="O95" s="222"/>
      <c r="Q95"/>
    </row>
    <row r="96" spans="1:17">
      <c r="A96" s="177" t="s">
        <v>321</v>
      </c>
      <c r="B96" s="24">
        <v>130</v>
      </c>
      <c r="C96" s="137" t="s">
        <v>323</v>
      </c>
      <c r="D96" s="225">
        <v>3.1E-2</v>
      </c>
      <c r="E96" s="115">
        <v>3.1E-2</v>
      </c>
      <c r="F96" s="115">
        <v>100</v>
      </c>
      <c r="G96" s="166">
        <v>125</v>
      </c>
      <c r="H96" s="115">
        <v>13</v>
      </c>
      <c r="I96" s="160">
        <v>0.1</v>
      </c>
      <c r="J96" s="224">
        <v>625</v>
      </c>
      <c r="M96" s="12"/>
      <c r="N96" s="222"/>
      <c r="O96" s="222"/>
      <c r="Q96"/>
    </row>
    <row r="97" spans="1:17">
      <c r="A97" s="177" t="s">
        <v>321</v>
      </c>
      <c r="B97" s="24">
        <v>131</v>
      </c>
      <c r="C97" s="137" t="s">
        <v>324</v>
      </c>
      <c r="D97" s="225">
        <v>0.51</v>
      </c>
      <c r="E97" s="115">
        <v>0</v>
      </c>
      <c r="F97" s="115">
        <v>1511</v>
      </c>
      <c r="G97" s="166">
        <v>1288</v>
      </c>
      <c r="H97" s="115">
        <v>15</v>
      </c>
      <c r="I97" s="160">
        <v>0.01</v>
      </c>
      <c r="J97" s="224">
        <v>1539</v>
      </c>
      <c r="M97" s="12"/>
      <c r="N97" s="222"/>
      <c r="O97" s="222"/>
      <c r="Q97"/>
    </row>
    <row r="98" spans="1:17">
      <c r="A98" s="177" t="s">
        <v>321</v>
      </c>
      <c r="B98" s="24">
        <v>132</v>
      </c>
      <c r="C98" s="137" t="s">
        <v>325</v>
      </c>
      <c r="D98" s="225">
        <v>2.7157894736800001E-2</v>
      </c>
      <c r="E98" s="115">
        <v>2.7157894736800001E-2</v>
      </c>
      <c r="F98" s="115">
        <v>333.6</v>
      </c>
      <c r="G98" s="166"/>
      <c r="H98" s="115">
        <v>15</v>
      </c>
      <c r="I98" s="160">
        <v>0.01</v>
      </c>
      <c r="J98" s="224">
        <v>1268</v>
      </c>
      <c r="M98" s="12"/>
      <c r="N98" s="222"/>
      <c r="O98" s="222"/>
      <c r="Q98"/>
    </row>
    <row r="99" spans="1:17">
      <c r="A99" s="177" t="s">
        <v>321</v>
      </c>
      <c r="B99" s="24">
        <v>133</v>
      </c>
      <c r="C99" s="137" t="s">
        <v>360</v>
      </c>
      <c r="D99" s="225">
        <v>0.18</v>
      </c>
      <c r="E99" s="115">
        <v>0.11</v>
      </c>
      <c r="F99" s="115">
        <v>1298</v>
      </c>
      <c r="G99" s="166"/>
      <c r="H99" s="115">
        <v>15</v>
      </c>
      <c r="I99" s="160">
        <v>0.01</v>
      </c>
      <c r="J99" s="224">
        <v>2320</v>
      </c>
      <c r="M99" s="12"/>
      <c r="N99" s="222"/>
      <c r="O99" s="222"/>
      <c r="Q99"/>
    </row>
    <row r="100" spans="1:17">
      <c r="A100" s="177" t="s">
        <v>321</v>
      </c>
      <c r="B100" s="24">
        <v>134</v>
      </c>
      <c r="C100" s="137" t="s">
        <v>326</v>
      </c>
      <c r="D100" s="225">
        <v>0.11</v>
      </c>
      <c r="E100" s="115">
        <v>0.11</v>
      </c>
      <c r="F100" s="115">
        <v>480</v>
      </c>
      <c r="G100" s="166">
        <v>500</v>
      </c>
      <c r="H100" s="115">
        <v>14</v>
      </c>
      <c r="I100" s="160">
        <v>0.1</v>
      </c>
      <c r="J100" s="224">
        <v>1200</v>
      </c>
      <c r="M100" s="12"/>
      <c r="N100" s="222"/>
      <c r="O100" s="222"/>
      <c r="Q100"/>
    </row>
    <row r="101" spans="1:17">
      <c r="A101" s="177" t="s">
        <v>321</v>
      </c>
      <c r="B101" s="24">
        <v>135</v>
      </c>
      <c r="C101" s="137" t="s">
        <v>327</v>
      </c>
      <c r="D101" s="225">
        <v>1.7874999999999999E-2</v>
      </c>
      <c r="E101" s="115">
        <v>1.7874999999999999E-2</v>
      </c>
      <c r="F101" s="115">
        <v>78</v>
      </c>
      <c r="G101" s="166">
        <v>400</v>
      </c>
      <c r="H101" s="115">
        <v>16</v>
      </c>
      <c r="I101" s="160">
        <v>0.1</v>
      </c>
      <c r="J101" s="224">
        <v>1100</v>
      </c>
      <c r="M101" s="12"/>
      <c r="N101" s="222"/>
      <c r="O101" s="222"/>
      <c r="Q101"/>
    </row>
    <row r="102" spans="1:17">
      <c r="A102" s="177" t="s">
        <v>321</v>
      </c>
      <c r="B102" s="24">
        <v>136</v>
      </c>
      <c r="C102" s="137" t="s">
        <v>328</v>
      </c>
      <c r="D102" s="225">
        <v>2.7E-2</v>
      </c>
      <c r="E102" s="115">
        <v>2.7E-2</v>
      </c>
      <c r="F102" s="115">
        <v>34</v>
      </c>
      <c r="G102" s="166"/>
      <c r="H102" s="115">
        <v>15</v>
      </c>
      <c r="I102" s="160">
        <v>0.1</v>
      </c>
      <c r="J102" s="224">
        <v>5</v>
      </c>
      <c r="M102" s="12"/>
      <c r="N102" s="222"/>
      <c r="O102" s="222"/>
      <c r="Q102"/>
    </row>
    <row r="103" spans="1:17">
      <c r="A103" s="177" t="s">
        <v>321</v>
      </c>
      <c r="B103" s="24">
        <v>137</v>
      </c>
      <c r="C103" s="137" t="s">
        <v>351</v>
      </c>
      <c r="D103" s="225">
        <v>2.5999999999999999E-2</v>
      </c>
      <c r="E103" s="115">
        <v>2.5999999999999999E-2</v>
      </c>
      <c r="F103" s="115">
        <v>76</v>
      </c>
      <c r="G103" s="166"/>
      <c r="H103" s="115">
        <v>15</v>
      </c>
      <c r="I103" s="160">
        <v>0.1</v>
      </c>
      <c r="J103" s="224">
        <v>2</v>
      </c>
      <c r="M103" s="12"/>
      <c r="N103" s="222"/>
      <c r="O103" s="222"/>
      <c r="Q103"/>
    </row>
    <row r="104" spans="1:17">
      <c r="A104" s="177" t="s">
        <v>321</v>
      </c>
      <c r="B104" s="24">
        <v>138</v>
      </c>
      <c r="C104" s="137" t="s">
        <v>352</v>
      </c>
      <c r="D104" s="225" t="s">
        <v>358</v>
      </c>
      <c r="E104" s="115" t="s">
        <v>358</v>
      </c>
      <c r="F104" s="115"/>
      <c r="G104" s="166"/>
      <c r="H104" s="115"/>
      <c r="I104" s="160">
        <v>0.13</v>
      </c>
      <c r="J104" s="224"/>
      <c r="M104" s="12"/>
      <c r="N104" s="222"/>
      <c r="O104" s="222"/>
      <c r="Q104"/>
    </row>
    <row r="105" spans="1:17">
      <c r="A105" s="177" t="s">
        <v>321</v>
      </c>
      <c r="B105" s="24">
        <v>139</v>
      </c>
      <c r="C105" s="128" t="s">
        <v>353</v>
      </c>
      <c r="D105" s="225">
        <v>0.10599315068493151</v>
      </c>
      <c r="E105" s="115">
        <v>0.10599315068493151</v>
      </c>
      <c r="F105" s="115">
        <v>557.1</v>
      </c>
      <c r="G105" s="166"/>
      <c r="H105" s="115">
        <v>20</v>
      </c>
      <c r="I105" s="160">
        <v>0</v>
      </c>
      <c r="J105" s="224">
        <v>500</v>
      </c>
      <c r="M105" s="12"/>
      <c r="N105" s="222"/>
      <c r="O105" s="222"/>
      <c r="Q105"/>
    </row>
    <row r="106" spans="1:17">
      <c r="A106" s="177" t="s">
        <v>321</v>
      </c>
      <c r="B106" s="116">
        <v>144</v>
      </c>
      <c r="C106" s="167" t="s">
        <v>374</v>
      </c>
      <c r="D106" s="115">
        <v>0.02</v>
      </c>
      <c r="E106" s="115">
        <v>0.02</v>
      </c>
      <c r="F106" s="115">
        <v>179</v>
      </c>
      <c r="G106" s="115">
        <v>10</v>
      </c>
      <c r="H106" s="115">
        <v>10</v>
      </c>
      <c r="I106" s="160">
        <v>0.14000000000000001</v>
      </c>
      <c r="J106" s="224">
        <v>10</v>
      </c>
      <c r="M106" s="222"/>
      <c r="N106" s="107"/>
      <c r="O106" s="107"/>
      <c r="Q106"/>
    </row>
    <row r="107" spans="1:17">
      <c r="A107" s="177" t="s">
        <v>329</v>
      </c>
      <c r="B107" s="24">
        <v>140</v>
      </c>
      <c r="C107" s="238" t="s">
        <v>382</v>
      </c>
      <c r="D107" s="117">
        <v>0.91400000000000003</v>
      </c>
      <c r="E107" s="117">
        <v>1.8545454545454545</v>
      </c>
      <c r="F107" s="115">
        <v>-15</v>
      </c>
      <c r="G107" s="166"/>
      <c r="H107" s="115">
        <v>15</v>
      </c>
      <c r="I107" s="160">
        <v>0</v>
      </c>
      <c r="J107" s="224">
        <v>0</v>
      </c>
      <c r="M107" s="12"/>
      <c r="N107" s="222"/>
      <c r="O107" s="222"/>
      <c r="Q107"/>
    </row>
    <row r="108" spans="1:17">
      <c r="A108" s="177" t="s">
        <v>329</v>
      </c>
      <c r="B108" s="24">
        <v>141</v>
      </c>
      <c r="C108" s="167" t="s">
        <v>330</v>
      </c>
      <c r="D108" s="225">
        <v>0.32</v>
      </c>
      <c r="E108" s="115">
        <v>0.32</v>
      </c>
      <c r="F108" s="115">
        <v>4</v>
      </c>
      <c r="G108" s="166"/>
      <c r="H108" s="115">
        <v>15</v>
      </c>
      <c r="I108" s="160">
        <v>0</v>
      </c>
      <c r="J108" s="224">
        <v>0</v>
      </c>
      <c r="M108" s="12"/>
      <c r="N108" s="222"/>
      <c r="O108" s="222"/>
      <c r="Q108"/>
    </row>
    <row r="109" spans="1:17">
      <c r="A109" s="177" t="s">
        <v>329</v>
      </c>
      <c r="B109" s="24">
        <v>142</v>
      </c>
      <c r="C109" s="167" t="s">
        <v>383</v>
      </c>
      <c r="D109" s="225">
        <v>2.2999999999999998</v>
      </c>
      <c r="E109" s="115">
        <v>2.9</v>
      </c>
      <c r="F109" s="115">
        <v>831</v>
      </c>
      <c r="G109" s="166"/>
      <c r="H109" s="115">
        <v>15</v>
      </c>
      <c r="I109" s="160">
        <v>0</v>
      </c>
      <c r="J109" s="224">
        <v>0</v>
      </c>
      <c r="M109" s="12"/>
      <c r="N109" s="222"/>
      <c r="O109" s="222"/>
      <c r="Q109"/>
    </row>
    <row r="110" spans="1:17">
      <c r="A110" s="177" t="s">
        <v>361</v>
      </c>
      <c r="B110" s="24">
        <v>143</v>
      </c>
      <c r="C110" s="128" t="s">
        <v>363</v>
      </c>
      <c r="D110" s="232">
        <v>0.1</v>
      </c>
      <c r="E110" s="233">
        <v>-0.1</v>
      </c>
      <c r="F110" s="233">
        <v>143</v>
      </c>
      <c r="G110" s="233">
        <v>30</v>
      </c>
      <c r="H110" s="233">
        <v>15</v>
      </c>
      <c r="I110" s="234">
        <v>0.17</v>
      </c>
      <c r="J110" s="235">
        <v>60</v>
      </c>
      <c r="M110" s="12"/>
      <c r="N110" s="222"/>
      <c r="O110" s="222"/>
      <c r="Q110"/>
    </row>
    <row r="111" spans="1:17">
      <c r="A111" s="109"/>
      <c r="B111" s="116"/>
      <c r="C111" s="167"/>
      <c r="D111" s="115"/>
      <c r="E111" s="115"/>
      <c r="F111" s="115"/>
      <c r="G111" s="115"/>
      <c r="H111" s="109"/>
      <c r="I111" s="109"/>
      <c r="M111" s="222"/>
      <c r="Q111"/>
    </row>
    <row r="112" spans="1:17">
      <c r="A112" s="109"/>
      <c r="B112" s="116"/>
      <c r="C112" s="167"/>
      <c r="D112" s="115"/>
      <c r="E112" s="115"/>
      <c r="F112" s="115">
        <f>+SUM(F66:F110)</f>
        <v>25867.118199999997</v>
      </c>
      <c r="G112" s="115"/>
      <c r="H112" s="109"/>
      <c r="I112" s="109"/>
      <c r="M112" s="222"/>
      <c r="Q112"/>
    </row>
    <row r="113" spans="1:17">
      <c r="A113" s="109"/>
      <c r="B113" s="116"/>
      <c r="C113" s="167"/>
      <c r="D113" s="115">
        <f>SUM(D66:D110)</f>
        <v>11.940674698389762</v>
      </c>
      <c r="E113" s="115"/>
      <c r="F113" s="115">
        <f>+F112*(1+$M$71)</f>
        <v>26927.670046199994</v>
      </c>
      <c r="G113" s="115"/>
      <c r="H113" s="109"/>
      <c r="I113" s="109"/>
      <c r="M113" s="222"/>
      <c r="Q113"/>
    </row>
    <row r="114" spans="1:17">
      <c r="A114" s="109"/>
      <c r="B114" s="116"/>
      <c r="C114" s="167"/>
      <c r="D114" s="115">
        <f>+D113*(1+$M$71)</f>
        <v>12.43024236102374</v>
      </c>
      <c r="E114" s="115"/>
      <c r="F114" s="115"/>
      <c r="G114" s="115"/>
      <c r="H114" s="109"/>
      <c r="I114" s="109"/>
      <c r="M114" s="222"/>
      <c r="Q114"/>
    </row>
    <row r="115" spans="1:17">
      <c r="A115" s="109"/>
      <c r="B115" s="116"/>
      <c r="C115" s="167"/>
      <c r="D115" s="115"/>
      <c r="E115" s="115"/>
      <c r="F115" s="115"/>
      <c r="G115" s="115"/>
      <c r="H115" s="109"/>
      <c r="I115" s="109"/>
      <c r="M115" s="222"/>
      <c r="Q115"/>
    </row>
    <row r="116" spans="1:17">
      <c r="A116" s="109"/>
      <c r="B116" s="116"/>
      <c r="C116" s="167"/>
      <c r="D116" s="115"/>
      <c r="E116" s="115"/>
      <c r="F116" s="115"/>
      <c r="G116" s="115"/>
      <c r="H116" s="109"/>
      <c r="I116" s="109"/>
      <c r="M116" s="222"/>
      <c r="Q116"/>
    </row>
    <row r="117" spans="1:17">
      <c r="A117" s="109"/>
      <c r="B117" s="116"/>
      <c r="C117" s="167"/>
      <c r="D117" s="115"/>
      <c r="E117" s="115"/>
      <c r="F117" s="115"/>
      <c r="G117" s="115"/>
      <c r="H117" s="109"/>
      <c r="I117" s="109"/>
      <c r="M117" s="222"/>
      <c r="Q117"/>
    </row>
    <row r="118" spans="1:17">
      <c r="A118" s="109"/>
      <c r="B118" s="116"/>
      <c r="C118" s="167"/>
      <c r="D118" s="115"/>
      <c r="E118" s="115"/>
      <c r="F118" s="115"/>
      <c r="G118" s="115"/>
      <c r="H118" s="109"/>
      <c r="I118" s="109"/>
      <c r="M118" s="222"/>
      <c r="Q118"/>
    </row>
    <row r="119" spans="1:17">
      <c r="A119" s="109"/>
      <c r="B119" s="116"/>
      <c r="C119" s="167"/>
      <c r="D119" s="115"/>
      <c r="E119" s="115"/>
      <c r="F119" s="115"/>
      <c r="G119" s="115"/>
      <c r="H119" s="109"/>
      <c r="I119" s="109"/>
      <c r="M119" s="222"/>
      <c r="Q119"/>
    </row>
    <row r="120" spans="1:17">
      <c r="A120" s="109"/>
      <c r="B120" s="116"/>
      <c r="C120" s="167"/>
      <c r="D120" s="115"/>
      <c r="E120" s="115"/>
      <c r="F120" s="115"/>
      <c r="G120" s="115"/>
      <c r="H120" s="109"/>
      <c r="I120" s="109"/>
      <c r="M120" s="222"/>
      <c r="Q120"/>
    </row>
    <row r="121" spans="1:17">
      <c r="A121" s="109"/>
      <c r="B121" s="116"/>
      <c r="C121" s="167"/>
      <c r="D121" s="115"/>
      <c r="E121" s="115"/>
      <c r="F121" s="115"/>
      <c r="G121" s="115"/>
      <c r="H121" s="109"/>
      <c r="I121" s="109"/>
      <c r="M121" s="222"/>
      <c r="Q121"/>
    </row>
    <row r="122" spans="1:17">
      <c r="A122" s="109"/>
      <c r="B122" s="116"/>
      <c r="C122" s="167"/>
      <c r="D122" s="115"/>
      <c r="E122" s="115"/>
      <c r="F122" s="115"/>
      <c r="G122" s="115"/>
      <c r="H122" s="109"/>
      <c r="I122" s="109"/>
      <c r="M122" s="222"/>
      <c r="Q122"/>
    </row>
    <row r="123" spans="1:17">
      <c r="A123" s="109"/>
      <c r="B123" s="116"/>
      <c r="C123" s="167"/>
      <c r="D123" s="115"/>
      <c r="E123" s="115"/>
      <c r="F123" s="115"/>
      <c r="G123" s="115"/>
      <c r="H123" s="109"/>
      <c r="I123" s="109"/>
      <c r="M123" s="222"/>
      <c r="Q123"/>
    </row>
    <row r="124" spans="1:17">
      <c r="A124" s="109"/>
      <c r="B124" s="116"/>
      <c r="C124" s="167"/>
      <c r="D124" s="115"/>
      <c r="E124" s="115"/>
      <c r="F124" s="115"/>
      <c r="G124" s="115"/>
      <c r="H124" s="109"/>
      <c r="I124" s="109"/>
      <c r="M124" s="222"/>
      <c r="Q124"/>
    </row>
    <row r="125" spans="1:17">
      <c r="A125" s="109"/>
      <c r="B125" s="116"/>
      <c r="C125" s="167"/>
      <c r="D125" s="115"/>
      <c r="E125" s="115"/>
      <c r="F125" s="115"/>
      <c r="G125" s="115"/>
      <c r="H125" s="109"/>
      <c r="I125" s="109"/>
      <c r="M125" s="222"/>
      <c r="Q125"/>
    </row>
    <row r="126" spans="1:17">
      <c r="A126" s="109"/>
      <c r="B126" s="116"/>
      <c r="C126" s="167"/>
      <c r="D126" s="115"/>
      <c r="E126" s="115"/>
      <c r="F126" s="115"/>
      <c r="G126" s="115"/>
      <c r="H126" s="109"/>
      <c r="I126" s="109"/>
      <c r="M126" s="222"/>
      <c r="Q126"/>
    </row>
    <row r="127" spans="1:17">
      <c r="A127" s="109"/>
      <c r="B127" s="116"/>
      <c r="C127" s="167"/>
      <c r="D127" s="115"/>
      <c r="E127" s="115"/>
      <c r="F127" s="115"/>
      <c r="G127" s="115"/>
      <c r="H127" s="109"/>
      <c r="I127" s="109"/>
      <c r="M127" s="222"/>
      <c r="Q127"/>
    </row>
    <row r="128" spans="1:17">
      <c r="A128" s="109"/>
      <c r="B128" s="116"/>
      <c r="C128" s="167"/>
      <c r="D128" s="115"/>
      <c r="E128" s="115"/>
      <c r="F128" s="115"/>
      <c r="G128" s="115"/>
      <c r="H128" s="109"/>
      <c r="I128" s="109"/>
      <c r="M128" s="222"/>
      <c r="Q128"/>
    </row>
    <row r="129" spans="1:17">
      <c r="A129" s="109"/>
      <c r="B129" s="116"/>
      <c r="C129" s="167"/>
      <c r="D129" s="115"/>
      <c r="E129" s="115"/>
      <c r="F129" s="115"/>
      <c r="G129" s="115"/>
      <c r="H129" s="109"/>
      <c r="I129" s="109"/>
      <c r="M129" s="222"/>
      <c r="Q129"/>
    </row>
    <row r="130" spans="1:17">
      <c r="A130" s="109"/>
      <c r="B130" s="116"/>
      <c r="C130" s="167"/>
      <c r="D130" s="115"/>
      <c r="E130" s="115"/>
      <c r="F130" s="115"/>
      <c r="G130" s="115"/>
      <c r="H130" s="109"/>
      <c r="I130" s="109"/>
      <c r="M130" s="222"/>
      <c r="Q130"/>
    </row>
    <row r="131" spans="1:17">
      <c r="A131" s="109"/>
      <c r="B131" s="116"/>
      <c r="C131" s="167"/>
      <c r="D131" s="115"/>
      <c r="E131" s="115"/>
      <c r="F131" s="115"/>
      <c r="G131" s="115"/>
      <c r="H131" s="109"/>
      <c r="I131" s="109"/>
      <c r="M131" s="222"/>
      <c r="Q131"/>
    </row>
    <row r="132" spans="1:17">
      <c r="A132" s="109"/>
      <c r="B132" s="116"/>
      <c r="C132" s="167"/>
      <c r="D132" s="115"/>
      <c r="E132" s="115"/>
      <c r="F132" s="115"/>
      <c r="G132" s="115"/>
      <c r="H132" s="109"/>
      <c r="I132" s="109"/>
      <c r="M132" s="222"/>
      <c r="Q132"/>
    </row>
    <row r="133" spans="1:17">
      <c r="A133" s="109"/>
      <c r="B133" s="116"/>
      <c r="C133" s="167"/>
      <c r="D133" s="115"/>
      <c r="E133" s="115"/>
      <c r="F133" s="115"/>
      <c r="G133" s="115"/>
      <c r="H133" s="109"/>
      <c r="I133" s="109"/>
      <c r="M133" s="222"/>
      <c r="Q133"/>
    </row>
    <row r="134" spans="1:17">
      <c r="A134" s="109"/>
      <c r="B134" s="116"/>
      <c r="C134" s="167"/>
      <c r="D134" s="115"/>
      <c r="E134" s="115"/>
      <c r="F134" s="115"/>
      <c r="G134" s="115"/>
      <c r="H134" s="109"/>
      <c r="I134" s="109"/>
      <c r="M134" s="222"/>
      <c r="Q134"/>
    </row>
    <row r="135" spans="1:17">
      <c r="A135" s="109"/>
      <c r="B135" s="116"/>
      <c r="C135" s="167"/>
      <c r="D135" s="115"/>
      <c r="E135" s="115"/>
      <c r="F135" s="115"/>
      <c r="G135" s="115"/>
      <c r="H135" s="109"/>
      <c r="I135" s="109"/>
      <c r="M135" s="222"/>
      <c r="Q135"/>
    </row>
    <row r="136" spans="1:17">
      <c r="A136" s="109"/>
      <c r="B136" s="116"/>
      <c r="C136" s="167"/>
      <c r="D136" s="115"/>
      <c r="E136" s="115"/>
      <c r="F136" s="115"/>
      <c r="G136" s="115"/>
      <c r="H136" s="109"/>
      <c r="I136" s="109"/>
      <c r="M136" s="222"/>
      <c r="Q136"/>
    </row>
    <row r="137" spans="1:17">
      <c r="A137" s="109"/>
      <c r="B137" s="116"/>
      <c r="C137" s="167"/>
      <c r="D137" s="115"/>
      <c r="E137" s="115"/>
      <c r="F137" s="115"/>
      <c r="G137" s="115"/>
      <c r="H137" s="109"/>
      <c r="I137" s="109"/>
      <c r="M137" s="222"/>
      <c r="Q137"/>
    </row>
    <row r="138" spans="1:17">
      <c r="A138" s="109"/>
      <c r="B138" s="116"/>
      <c r="C138" s="167"/>
      <c r="D138" s="115"/>
      <c r="E138" s="115"/>
      <c r="F138" s="115"/>
      <c r="G138" s="115"/>
      <c r="H138" s="109"/>
      <c r="I138" s="109"/>
      <c r="M138" s="222"/>
      <c r="Q138"/>
    </row>
    <row r="139" spans="1:17">
      <c r="A139" s="109"/>
      <c r="B139" s="116"/>
      <c r="C139" s="167"/>
      <c r="D139" s="115"/>
      <c r="E139" s="115"/>
      <c r="F139" s="115"/>
      <c r="G139" s="115"/>
      <c r="H139" s="109"/>
      <c r="I139" s="109"/>
      <c r="M139" s="222"/>
      <c r="Q139"/>
    </row>
    <row r="140" spans="1:17">
      <c r="A140" s="109"/>
      <c r="B140" s="116"/>
      <c r="C140" s="167"/>
      <c r="D140" s="115"/>
      <c r="E140" s="115"/>
      <c r="F140" s="115"/>
      <c r="G140" s="115"/>
      <c r="H140" s="109"/>
      <c r="I140" s="109"/>
      <c r="M140" s="222"/>
      <c r="Q140"/>
    </row>
    <row r="141" spans="1:17">
      <c r="A141" s="109"/>
      <c r="B141" s="116"/>
      <c r="C141" s="167"/>
      <c r="D141" s="115"/>
      <c r="E141" s="115"/>
      <c r="F141" s="115"/>
      <c r="G141" s="115"/>
      <c r="H141" s="109"/>
      <c r="I141" s="109"/>
      <c r="M141" s="222"/>
      <c r="Q141"/>
    </row>
    <row r="142" spans="1:17">
      <c r="A142" s="109"/>
      <c r="B142" s="116"/>
      <c r="C142" s="167"/>
      <c r="D142" s="115"/>
      <c r="E142" s="115"/>
      <c r="F142" s="115"/>
      <c r="G142" s="115"/>
      <c r="H142" s="109"/>
      <c r="I142" s="109"/>
      <c r="M142" s="222"/>
      <c r="Q142"/>
    </row>
    <row r="143" spans="1:17">
      <c r="A143" s="109"/>
      <c r="B143" s="116"/>
      <c r="C143" s="167"/>
      <c r="D143" s="115"/>
      <c r="E143" s="115"/>
      <c r="F143" s="115"/>
      <c r="G143" s="115"/>
      <c r="H143" s="109"/>
      <c r="I143" s="109"/>
      <c r="M143" s="222"/>
      <c r="Q143"/>
    </row>
    <row r="144" spans="1:17">
      <c r="A144" s="109"/>
      <c r="B144" s="116"/>
      <c r="C144" s="167"/>
      <c r="D144" s="115"/>
      <c r="E144" s="115"/>
      <c r="F144" s="115"/>
      <c r="G144" s="115"/>
      <c r="H144" s="109"/>
      <c r="I144" s="109"/>
      <c r="M144" s="222"/>
      <c r="Q144"/>
    </row>
    <row r="145" spans="1:17">
      <c r="A145" s="109"/>
      <c r="B145" s="116"/>
      <c r="C145" s="167"/>
      <c r="D145" s="115"/>
      <c r="E145" s="115"/>
      <c r="F145" s="115"/>
      <c r="G145" s="115"/>
      <c r="H145" s="109"/>
      <c r="I145" s="109"/>
      <c r="M145" s="222"/>
      <c r="Q145"/>
    </row>
    <row r="146" spans="1:17">
      <c r="A146" s="109"/>
      <c r="B146" s="116"/>
      <c r="C146" s="167"/>
      <c r="D146" s="115"/>
      <c r="E146" s="115"/>
      <c r="F146" s="115"/>
      <c r="G146" s="115"/>
      <c r="H146" s="109"/>
      <c r="I146" s="109"/>
      <c r="M146" s="222"/>
      <c r="Q146"/>
    </row>
    <row r="147" spans="1:17">
      <c r="A147" s="109"/>
      <c r="B147" s="116"/>
      <c r="C147" s="167"/>
      <c r="D147" s="115"/>
      <c r="E147" s="115"/>
      <c r="F147" s="115"/>
      <c r="G147" s="115"/>
      <c r="H147" s="109"/>
      <c r="I147" s="109"/>
      <c r="M147" s="222"/>
      <c r="Q147"/>
    </row>
    <row r="148" spans="1:17">
      <c r="A148" s="109"/>
      <c r="B148" s="116"/>
      <c r="C148" s="167"/>
      <c r="D148" s="115"/>
      <c r="E148" s="115"/>
      <c r="F148" s="115"/>
      <c r="G148" s="115"/>
      <c r="H148" s="109"/>
      <c r="I148" s="109"/>
      <c r="M148" s="222"/>
      <c r="Q148"/>
    </row>
    <row r="149" spans="1:17">
      <c r="A149" s="109"/>
      <c r="B149" s="116"/>
      <c r="C149" s="167"/>
      <c r="D149" s="115"/>
      <c r="E149" s="115"/>
      <c r="F149" s="115"/>
      <c r="G149" s="115"/>
      <c r="H149" s="109"/>
      <c r="I149" s="109"/>
      <c r="M149" s="222"/>
      <c r="Q149"/>
    </row>
    <row r="150" spans="1:17">
      <c r="A150" s="109"/>
      <c r="B150" s="116"/>
      <c r="C150" s="167"/>
      <c r="D150" s="115"/>
      <c r="E150" s="115"/>
      <c r="F150" s="115"/>
      <c r="G150" s="115"/>
      <c r="H150" s="109"/>
      <c r="I150" s="109"/>
      <c r="M150" s="222"/>
      <c r="Q150"/>
    </row>
    <row r="151" spans="1:17">
      <c r="A151" s="109"/>
      <c r="B151" s="116"/>
      <c r="C151" s="167"/>
      <c r="D151" s="115"/>
      <c r="E151" s="115"/>
      <c r="F151" s="115"/>
      <c r="G151" s="115"/>
      <c r="H151" s="109"/>
      <c r="I151" s="109"/>
      <c r="M151" s="222"/>
      <c r="Q151"/>
    </row>
    <row r="152" spans="1:17">
      <c r="A152" s="109"/>
      <c r="B152" s="116"/>
      <c r="C152" s="167"/>
      <c r="D152" s="115"/>
      <c r="E152" s="115"/>
      <c r="F152" s="115"/>
      <c r="G152" s="115"/>
      <c r="H152" s="109"/>
      <c r="I152" s="109"/>
      <c r="M152" s="222"/>
      <c r="Q152"/>
    </row>
    <row r="153" spans="1:17">
      <c r="A153" s="109"/>
      <c r="B153" s="116"/>
      <c r="C153" s="167"/>
      <c r="D153" s="115"/>
      <c r="E153" s="115"/>
      <c r="F153" s="115"/>
      <c r="G153" s="115"/>
      <c r="H153" s="109"/>
      <c r="I153" s="109"/>
      <c r="M153" s="222"/>
      <c r="Q153"/>
    </row>
    <row r="154" spans="1:17">
      <c r="A154" s="109"/>
      <c r="B154" s="116"/>
      <c r="C154" s="167"/>
      <c r="D154" s="115"/>
      <c r="E154" s="115"/>
      <c r="F154" s="115"/>
      <c r="G154" s="115"/>
      <c r="H154" s="109"/>
      <c r="I154" s="109"/>
      <c r="M154" s="222"/>
      <c r="Q154"/>
    </row>
    <row r="155" spans="1:17">
      <c r="A155" s="109"/>
      <c r="B155" s="116"/>
      <c r="C155" s="167"/>
      <c r="D155" s="115"/>
      <c r="E155" s="115"/>
      <c r="F155" s="115"/>
      <c r="G155" s="115"/>
      <c r="H155" s="109"/>
      <c r="I155" s="109"/>
      <c r="M155" s="222"/>
      <c r="Q155"/>
    </row>
    <row r="156" spans="1:17">
      <c r="A156" s="109"/>
      <c r="B156" s="116"/>
      <c r="C156" s="167"/>
      <c r="D156" s="115"/>
      <c r="E156" s="115"/>
      <c r="F156" s="115"/>
      <c r="G156" s="115"/>
      <c r="H156" s="109"/>
      <c r="I156" s="109"/>
      <c r="M156" s="222"/>
      <c r="Q156"/>
    </row>
    <row r="157" spans="1:17">
      <c r="A157" s="109"/>
      <c r="B157" s="116"/>
      <c r="C157" s="167"/>
      <c r="D157" s="115"/>
      <c r="E157" s="115"/>
      <c r="F157" s="115"/>
      <c r="G157" s="115"/>
      <c r="H157" s="109"/>
      <c r="I157" s="109"/>
      <c r="M157" s="222"/>
      <c r="Q157"/>
    </row>
    <row r="158" spans="1:17">
      <c r="A158" s="109"/>
      <c r="B158" s="116"/>
      <c r="C158" s="167"/>
      <c r="D158" s="115"/>
      <c r="E158" s="115"/>
      <c r="F158" s="115"/>
      <c r="G158" s="115"/>
      <c r="H158" s="109"/>
      <c r="I158" s="109"/>
      <c r="M158" s="222"/>
      <c r="Q158"/>
    </row>
    <row r="159" spans="1:17">
      <c r="A159" s="109"/>
      <c r="B159" s="116"/>
      <c r="C159" s="167"/>
      <c r="D159" s="115"/>
      <c r="E159" s="115"/>
      <c r="F159" s="115"/>
      <c r="G159" s="115"/>
      <c r="H159" s="109"/>
      <c r="I159" s="109"/>
      <c r="M159" s="222"/>
      <c r="Q159"/>
    </row>
    <row r="160" spans="1:17">
      <c r="A160" s="109"/>
      <c r="B160" s="116"/>
      <c r="C160" s="167"/>
      <c r="D160" s="115"/>
      <c r="E160" s="115"/>
      <c r="F160" s="115"/>
      <c r="G160" s="115"/>
      <c r="H160" s="109"/>
      <c r="I160" s="109"/>
      <c r="M160" s="222"/>
      <c r="Q160"/>
    </row>
    <row r="161" spans="1:17">
      <c r="A161" s="109"/>
      <c r="B161" s="116"/>
      <c r="C161" s="167"/>
      <c r="D161" s="115"/>
      <c r="E161" s="115"/>
      <c r="F161" s="115"/>
      <c r="G161" s="115"/>
      <c r="H161" s="109"/>
      <c r="I161" s="109"/>
      <c r="M161" s="222"/>
      <c r="Q161"/>
    </row>
    <row r="162" spans="1:17">
      <c r="A162" s="109"/>
      <c r="B162" s="116"/>
      <c r="C162" s="167"/>
      <c r="D162" s="115"/>
      <c r="E162" s="115"/>
      <c r="F162" s="115"/>
      <c r="G162" s="115"/>
      <c r="H162" s="109"/>
      <c r="I162" s="109"/>
      <c r="M162" s="222"/>
      <c r="Q162"/>
    </row>
    <row r="163" spans="1:17">
      <c r="A163" s="109"/>
      <c r="B163" s="116"/>
      <c r="C163" s="167"/>
      <c r="D163" s="115"/>
      <c r="E163" s="115"/>
      <c r="F163" s="115"/>
      <c r="G163" s="115"/>
      <c r="H163" s="109"/>
      <c r="I163" s="109"/>
      <c r="M163" s="222"/>
      <c r="Q163"/>
    </row>
    <row r="164" spans="1:17">
      <c r="A164" s="109"/>
      <c r="B164" s="116"/>
      <c r="C164" s="167"/>
      <c r="D164" s="115"/>
      <c r="E164" s="115"/>
      <c r="F164" s="115"/>
      <c r="G164" s="115"/>
      <c r="H164" s="109"/>
      <c r="I164" s="109"/>
      <c r="M164" s="222"/>
      <c r="Q164"/>
    </row>
    <row r="165" spans="1:17">
      <c r="A165" s="109"/>
      <c r="B165" s="116"/>
      <c r="C165" s="167"/>
      <c r="D165" s="115"/>
      <c r="E165" s="115"/>
      <c r="F165" s="115"/>
      <c r="G165" s="115"/>
      <c r="H165" s="109"/>
      <c r="I165" s="109"/>
      <c r="M165" s="222"/>
      <c r="Q165"/>
    </row>
    <row r="166" spans="1:17">
      <c r="A166" s="109"/>
      <c r="B166" s="116"/>
      <c r="C166" s="167"/>
      <c r="D166" s="115"/>
      <c r="E166" s="115"/>
      <c r="F166" s="115"/>
      <c r="G166" s="115"/>
      <c r="H166" s="109"/>
      <c r="I166" s="109"/>
      <c r="M166" s="222"/>
      <c r="Q166"/>
    </row>
    <row r="167" spans="1:17">
      <c r="A167" s="109"/>
      <c r="B167" s="116"/>
      <c r="C167" s="167"/>
      <c r="D167" s="115"/>
      <c r="E167" s="115"/>
      <c r="F167" s="115"/>
      <c r="G167" s="115"/>
      <c r="H167" s="109"/>
      <c r="I167" s="109"/>
      <c r="M167" s="222"/>
      <c r="Q167"/>
    </row>
    <row r="168" spans="1:17">
      <c r="A168" s="109"/>
      <c r="B168" s="116"/>
      <c r="C168" s="167"/>
      <c r="D168" s="115"/>
      <c r="E168" s="115"/>
      <c r="F168" s="115"/>
      <c r="G168" s="115"/>
      <c r="H168" s="109"/>
      <c r="I168" s="109"/>
      <c r="M168" s="222"/>
      <c r="Q168"/>
    </row>
    <row r="169" spans="1:17">
      <c r="A169" s="109"/>
      <c r="B169" s="116"/>
      <c r="C169" s="167"/>
      <c r="D169" s="115"/>
      <c r="E169" s="115"/>
      <c r="F169" s="115"/>
      <c r="G169" s="115"/>
      <c r="H169" s="109"/>
      <c r="I169" s="109"/>
      <c r="M169" s="222"/>
      <c r="Q169"/>
    </row>
    <row r="170" spans="1:17">
      <c r="A170" s="109"/>
      <c r="B170" s="116"/>
      <c r="C170" s="167"/>
      <c r="D170" s="115"/>
      <c r="E170" s="115"/>
      <c r="F170" s="115"/>
      <c r="G170" s="115"/>
      <c r="H170" s="109"/>
      <c r="I170" s="109"/>
      <c r="M170" s="222"/>
      <c r="Q170"/>
    </row>
    <row r="171" spans="1:17">
      <c r="A171" s="109"/>
      <c r="B171" s="116"/>
      <c r="C171" s="167"/>
      <c r="D171" s="115"/>
      <c r="E171" s="115"/>
      <c r="F171" s="115"/>
      <c r="G171" s="115"/>
      <c r="H171" s="109"/>
      <c r="I171" s="109"/>
      <c r="M171" s="222"/>
      <c r="Q171"/>
    </row>
    <row r="172" spans="1:17">
      <c r="A172" s="109"/>
      <c r="B172" s="116"/>
      <c r="C172" s="167"/>
      <c r="D172" s="115"/>
      <c r="E172" s="115"/>
      <c r="F172" s="115"/>
      <c r="G172" s="115"/>
      <c r="H172" s="109"/>
      <c r="I172" s="109"/>
      <c r="M172" s="222"/>
      <c r="Q172"/>
    </row>
    <row r="173" spans="1:17">
      <c r="A173" s="109"/>
      <c r="B173" s="116"/>
      <c r="C173" s="167"/>
      <c r="D173" s="115"/>
      <c r="E173" s="115"/>
      <c r="F173" s="115"/>
      <c r="G173" s="115"/>
      <c r="H173" s="109"/>
      <c r="I173" s="109"/>
      <c r="M173" s="222"/>
      <c r="Q173"/>
    </row>
    <row r="174" spans="1:17">
      <c r="A174" s="109"/>
      <c r="B174" s="116"/>
      <c r="C174" s="167"/>
      <c r="D174" s="115"/>
      <c r="E174" s="115"/>
      <c r="F174" s="115"/>
      <c r="G174" s="115"/>
      <c r="H174" s="109"/>
      <c r="I174" s="109"/>
      <c r="M174" s="222"/>
      <c r="Q174"/>
    </row>
    <row r="175" spans="1:17">
      <c r="A175" s="109"/>
      <c r="B175" s="116"/>
      <c r="C175" s="167"/>
      <c r="D175" s="115"/>
      <c r="E175" s="115"/>
      <c r="F175" s="115"/>
      <c r="G175" s="115"/>
      <c r="H175" s="109"/>
      <c r="I175" s="109"/>
      <c r="M175" s="222"/>
      <c r="Q175"/>
    </row>
    <row r="176" spans="1:17">
      <c r="A176" s="109"/>
      <c r="B176" s="116"/>
      <c r="C176" s="167"/>
      <c r="D176" s="115"/>
      <c r="E176" s="115"/>
      <c r="F176" s="115"/>
      <c r="G176" s="115"/>
      <c r="H176" s="109"/>
      <c r="I176" s="109"/>
      <c r="M176" s="222"/>
      <c r="Q176"/>
    </row>
    <row r="177" spans="1:17">
      <c r="A177" s="109"/>
      <c r="B177" s="116"/>
      <c r="C177" s="167"/>
      <c r="D177" s="115"/>
      <c r="E177" s="115"/>
      <c r="F177" s="115"/>
      <c r="G177" s="115"/>
      <c r="H177" s="109"/>
      <c r="I177" s="109"/>
      <c r="M177" s="222"/>
      <c r="Q177"/>
    </row>
    <row r="178" spans="1:17">
      <c r="A178" s="109"/>
      <c r="B178" s="116"/>
      <c r="C178" s="167"/>
      <c r="D178" s="115"/>
      <c r="E178" s="115"/>
      <c r="F178" s="115"/>
      <c r="G178" s="115"/>
      <c r="H178" s="109"/>
      <c r="I178" s="109"/>
      <c r="M178" s="222"/>
      <c r="Q178"/>
    </row>
    <row r="179" spans="1:17">
      <c r="A179" s="109"/>
      <c r="B179" s="116"/>
      <c r="C179" s="167"/>
      <c r="D179" s="115"/>
      <c r="E179" s="115"/>
      <c r="F179" s="115"/>
      <c r="G179" s="115"/>
      <c r="H179" s="109"/>
      <c r="I179" s="109"/>
      <c r="M179" s="222"/>
      <c r="Q179"/>
    </row>
    <row r="180" spans="1:17">
      <c r="A180" s="109"/>
      <c r="B180" s="116"/>
      <c r="C180" s="167"/>
      <c r="D180" s="115"/>
      <c r="E180" s="115"/>
      <c r="F180" s="115"/>
      <c r="G180" s="115"/>
      <c r="H180" s="109"/>
      <c r="I180" s="109"/>
      <c r="M180" s="222"/>
      <c r="Q180"/>
    </row>
    <row r="181" spans="1:17">
      <c r="A181" s="109"/>
      <c r="B181" s="116"/>
      <c r="C181" s="167"/>
      <c r="D181" s="115"/>
      <c r="E181" s="115"/>
      <c r="F181" s="115"/>
      <c r="G181" s="115"/>
      <c r="H181" s="109"/>
      <c r="I181" s="109"/>
      <c r="M181" s="222"/>
      <c r="Q181"/>
    </row>
    <row r="182" spans="1:17">
      <c r="A182" s="109"/>
      <c r="B182" s="116"/>
      <c r="C182" s="167"/>
      <c r="D182" s="115"/>
      <c r="E182" s="115"/>
      <c r="F182" s="115"/>
      <c r="G182" s="115"/>
      <c r="H182" s="109"/>
      <c r="I182" s="109"/>
      <c r="M182" s="222"/>
      <c r="Q182"/>
    </row>
    <row r="183" spans="1:17">
      <c r="A183" s="109"/>
      <c r="B183" s="116"/>
      <c r="C183" s="167"/>
      <c r="D183" s="115"/>
      <c r="E183" s="115"/>
      <c r="F183" s="115"/>
      <c r="G183" s="115"/>
      <c r="H183" s="109"/>
      <c r="I183" s="109"/>
      <c r="M183" s="222"/>
      <c r="Q183"/>
    </row>
    <row r="184" spans="1:17">
      <c r="A184" s="109"/>
      <c r="B184" s="116"/>
      <c r="C184" s="167"/>
      <c r="D184" s="115"/>
      <c r="E184" s="115"/>
      <c r="F184" s="115"/>
      <c r="G184" s="115"/>
      <c r="H184" s="109"/>
      <c r="I184" s="109"/>
      <c r="M184" s="222"/>
      <c r="Q184"/>
    </row>
    <row r="185" spans="1:17">
      <c r="A185" s="109"/>
      <c r="B185" s="116"/>
      <c r="C185" s="167"/>
      <c r="D185" s="115"/>
      <c r="E185" s="115"/>
      <c r="F185" s="115"/>
      <c r="G185" s="115"/>
      <c r="H185" s="109"/>
      <c r="I185" s="109"/>
      <c r="M185" s="222"/>
      <c r="Q185"/>
    </row>
    <row r="186" spans="1:17">
      <c r="A186" s="109"/>
      <c r="B186" s="116"/>
      <c r="C186" s="167"/>
      <c r="D186" s="115"/>
      <c r="E186" s="115"/>
      <c r="F186" s="115"/>
      <c r="G186" s="115"/>
      <c r="H186" s="109"/>
      <c r="I186" s="109"/>
      <c r="M186" s="222"/>
      <c r="Q186"/>
    </row>
    <row r="187" spans="1:17">
      <c r="A187" s="109"/>
      <c r="B187" s="116"/>
      <c r="C187" s="167"/>
      <c r="D187" s="115"/>
      <c r="E187" s="115"/>
      <c r="F187" s="115"/>
      <c r="G187" s="115"/>
      <c r="H187" s="109"/>
      <c r="I187" s="109"/>
      <c r="M187" s="222"/>
      <c r="Q187"/>
    </row>
    <row r="188" spans="1:17">
      <c r="A188" s="109"/>
      <c r="B188" s="116"/>
      <c r="C188" s="167"/>
      <c r="D188" s="115"/>
      <c r="E188" s="115"/>
      <c r="F188" s="115"/>
      <c r="G188" s="115"/>
      <c r="H188" s="109"/>
      <c r="I188" s="109"/>
      <c r="M188" s="222"/>
      <c r="Q188"/>
    </row>
    <row r="189" spans="1:17">
      <c r="A189" s="109"/>
      <c r="B189" s="116"/>
      <c r="C189" s="167"/>
      <c r="D189" s="115"/>
      <c r="E189" s="115"/>
      <c r="F189" s="115"/>
      <c r="G189" s="115"/>
      <c r="H189" s="109"/>
      <c r="I189" s="109"/>
      <c r="M189" s="222"/>
      <c r="Q189"/>
    </row>
    <row r="190" spans="1:17">
      <c r="A190" s="109"/>
      <c r="B190" s="116"/>
      <c r="C190" s="167"/>
      <c r="D190" s="115"/>
      <c r="E190" s="115"/>
      <c r="F190" s="115"/>
      <c r="G190" s="115"/>
      <c r="H190" s="109"/>
      <c r="I190" s="109"/>
      <c r="M190" s="222"/>
      <c r="Q190"/>
    </row>
    <row r="191" spans="1:17">
      <c r="A191" s="109"/>
      <c r="B191" s="116"/>
      <c r="C191" s="167"/>
      <c r="D191" s="115"/>
      <c r="E191" s="115"/>
      <c r="F191" s="115"/>
      <c r="G191" s="115"/>
      <c r="H191" s="109"/>
      <c r="I191" s="109"/>
      <c r="M191" s="222"/>
      <c r="Q191"/>
    </row>
    <row r="192" spans="1:17">
      <c r="A192" s="109"/>
      <c r="B192" s="116"/>
      <c r="C192" s="167"/>
      <c r="D192" s="115"/>
      <c r="E192" s="115"/>
      <c r="F192" s="115"/>
      <c r="G192" s="115"/>
      <c r="H192" s="109"/>
      <c r="I192" s="109"/>
      <c r="M192" s="222"/>
      <c r="Q192"/>
    </row>
    <row r="193" spans="1:17">
      <c r="A193" s="109"/>
      <c r="B193" s="116"/>
      <c r="C193" s="167"/>
      <c r="D193" s="115"/>
      <c r="E193" s="115"/>
      <c r="F193" s="115"/>
      <c r="G193" s="115"/>
      <c r="H193" s="109"/>
      <c r="I193" s="109"/>
      <c r="M193" s="222"/>
      <c r="Q193"/>
    </row>
    <row r="194" spans="1:17">
      <c r="A194" s="109"/>
      <c r="B194" s="116"/>
      <c r="C194" s="167"/>
      <c r="D194" s="115"/>
      <c r="E194" s="115"/>
      <c r="F194" s="115"/>
      <c r="G194" s="115"/>
      <c r="H194" s="109"/>
      <c r="I194" s="109"/>
      <c r="M194" s="222"/>
      <c r="Q194"/>
    </row>
    <row r="195" spans="1:17">
      <c r="A195" s="109"/>
      <c r="B195" s="116"/>
      <c r="C195" s="167"/>
      <c r="D195" s="115"/>
      <c r="E195" s="115"/>
      <c r="F195" s="115"/>
      <c r="G195" s="115"/>
      <c r="H195" s="109"/>
      <c r="I195" s="109"/>
      <c r="M195" s="222"/>
      <c r="Q195"/>
    </row>
    <row r="196" spans="1:17">
      <c r="A196" s="109"/>
      <c r="B196" s="116"/>
      <c r="C196" s="167"/>
      <c r="D196" s="115"/>
      <c r="E196" s="115"/>
      <c r="F196" s="115"/>
      <c r="G196" s="115"/>
      <c r="H196" s="109"/>
      <c r="I196" s="109"/>
      <c r="M196" s="222"/>
      <c r="Q196"/>
    </row>
    <row r="197" spans="1:17">
      <c r="A197" s="109"/>
      <c r="B197" s="109"/>
      <c r="C197" s="109"/>
      <c r="D197" s="109"/>
      <c r="E197" s="109"/>
      <c r="F197" s="109"/>
      <c r="G197" s="109"/>
      <c r="H197" s="109"/>
      <c r="I197" s="109"/>
    </row>
    <row r="198" spans="1:17">
      <c r="A198" s="109"/>
      <c r="B198" s="109"/>
      <c r="C198" s="109"/>
      <c r="D198" s="109"/>
      <c r="E198" s="109"/>
      <c r="F198" s="109"/>
      <c r="G198" s="109"/>
      <c r="H198" s="109"/>
      <c r="I198" s="109"/>
    </row>
    <row r="199" spans="1:17">
      <c r="A199" s="109"/>
      <c r="B199" s="109"/>
      <c r="C199" s="109"/>
      <c r="D199" s="109"/>
      <c r="E199" s="109"/>
      <c r="F199" s="109"/>
      <c r="G199" s="109"/>
      <c r="H199" s="109"/>
      <c r="I199" s="109"/>
    </row>
    <row r="200" spans="1:17">
      <c r="A200" s="109"/>
      <c r="B200" s="109"/>
      <c r="C200" s="109"/>
      <c r="D200" s="109"/>
      <c r="E200" s="109"/>
      <c r="F200" s="109"/>
      <c r="G200" s="109"/>
      <c r="H200" s="109"/>
      <c r="I200" s="109"/>
    </row>
    <row r="201" spans="1:17">
      <c r="A201" s="109"/>
      <c r="B201" s="109"/>
      <c r="C201" s="109"/>
      <c r="D201" s="109"/>
      <c r="E201" s="109"/>
      <c r="F201" s="109"/>
      <c r="G201" s="109"/>
      <c r="H201" s="109"/>
      <c r="I201" s="109"/>
    </row>
    <row r="202" spans="1:17">
      <c r="A202" s="109"/>
      <c r="B202" s="109"/>
      <c r="C202" s="109"/>
      <c r="D202" s="109"/>
      <c r="E202" s="109"/>
      <c r="F202" s="109"/>
      <c r="G202" s="109"/>
      <c r="H202" s="109"/>
      <c r="I202" s="109"/>
    </row>
    <row r="203" spans="1:17">
      <c r="A203" s="109"/>
      <c r="B203" s="109"/>
      <c r="C203" s="109"/>
      <c r="D203" s="109"/>
      <c r="E203" s="109"/>
      <c r="F203" s="109"/>
      <c r="G203" s="109"/>
      <c r="H203" s="109"/>
      <c r="I203" s="109"/>
    </row>
    <row r="204" spans="1:17">
      <c r="A204" s="109"/>
      <c r="B204" s="109"/>
      <c r="C204" s="109"/>
      <c r="D204" s="109"/>
      <c r="E204" s="109"/>
      <c r="F204" s="109"/>
      <c r="G204" s="109"/>
      <c r="H204" s="109"/>
      <c r="I204" s="109"/>
    </row>
    <row r="205" spans="1:17">
      <c r="A205" s="109"/>
      <c r="B205" s="109"/>
      <c r="C205" s="109"/>
      <c r="D205" s="109"/>
      <c r="E205" s="109"/>
      <c r="F205" s="109"/>
      <c r="G205" s="109"/>
      <c r="H205" s="109"/>
      <c r="I205" s="109"/>
    </row>
    <row r="206" spans="1:17">
      <c r="A206" s="109"/>
      <c r="B206" s="109"/>
      <c r="C206" s="109"/>
      <c r="D206" s="109"/>
      <c r="E206" s="109"/>
      <c r="F206" s="109"/>
      <c r="G206" s="109"/>
      <c r="H206" s="109"/>
      <c r="I206" s="109"/>
    </row>
    <row r="207" spans="1:17">
      <c r="A207" s="109"/>
      <c r="B207" s="109"/>
      <c r="C207" s="109"/>
      <c r="D207" s="109"/>
      <c r="E207" s="109"/>
      <c r="F207" s="109"/>
      <c r="G207" s="109"/>
      <c r="H207" s="109"/>
      <c r="I207" s="109"/>
    </row>
    <row r="208" spans="1:17">
      <c r="A208" s="109"/>
      <c r="B208" s="109"/>
      <c r="C208" s="109"/>
      <c r="D208" s="109"/>
      <c r="E208" s="109"/>
      <c r="F208" s="109"/>
      <c r="G208" s="109"/>
      <c r="H208" s="109"/>
      <c r="I208" s="109"/>
    </row>
    <row r="209" spans="1:9">
      <c r="A209" s="109"/>
      <c r="B209" s="109"/>
      <c r="C209" s="109"/>
      <c r="D209" s="109"/>
      <c r="E209" s="109"/>
      <c r="F209" s="109"/>
      <c r="G209" s="109"/>
      <c r="H209" s="109"/>
      <c r="I209" s="109"/>
    </row>
    <row r="210" spans="1:9">
      <c r="A210" s="109"/>
      <c r="B210" s="109"/>
      <c r="C210" s="109"/>
      <c r="D210" s="109"/>
      <c r="E210" s="109"/>
      <c r="F210" s="109"/>
      <c r="G210" s="109"/>
      <c r="H210" s="109"/>
      <c r="I210" s="109"/>
    </row>
    <row r="211" spans="1:9">
      <c r="A211" s="109"/>
      <c r="B211" s="109"/>
      <c r="C211" s="109"/>
      <c r="D211" s="109"/>
      <c r="E211" s="109"/>
      <c r="F211" s="109"/>
      <c r="G211" s="109"/>
      <c r="H211" s="109"/>
      <c r="I211" s="109"/>
    </row>
    <row r="212" spans="1:9">
      <c r="A212" s="109"/>
      <c r="B212" s="109"/>
      <c r="C212" s="109"/>
      <c r="D212" s="109"/>
      <c r="E212" s="109"/>
      <c r="F212" s="109"/>
      <c r="G212" s="109"/>
      <c r="H212" s="109"/>
      <c r="I212" s="109"/>
    </row>
    <row r="213" spans="1:9">
      <c r="A213" s="109"/>
      <c r="B213" s="109"/>
      <c r="C213" s="109"/>
      <c r="D213" s="109"/>
      <c r="E213" s="109"/>
      <c r="F213" s="109"/>
      <c r="G213" s="109"/>
      <c r="H213" s="109"/>
      <c r="I213" s="109"/>
    </row>
    <row r="214" spans="1:9">
      <c r="A214" s="109"/>
      <c r="B214" s="109"/>
      <c r="C214" s="109"/>
      <c r="D214" s="109"/>
      <c r="E214" s="109"/>
      <c r="F214" s="109"/>
      <c r="G214" s="109"/>
      <c r="H214" s="109"/>
      <c r="I214" s="109"/>
    </row>
    <row r="215" spans="1:9">
      <c r="A215" s="109"/>
      <c r="B215" s="109"/>
      <c r="C215" s="109"/>
      <c r="D215" s="109"/>
      <c r="E215" s="109"/>
      <c r="F215" s="109"/>
      <c r="G215" s="109"/>
      <c r="H215" s="109"/>
      <c r="I215" s="109"/>
    </row>
    <row r="216" spans="1:9">
      <c r="A216" s="109"/>
      <c r="B216" s="109"/>
      <c r="C216" s="109"/>
      <c r="D216" s="109"/>
      <c r="E216" s="109"/>
      <c r="F216" s="109"/>
      <c r="G216" s="109"/>
      <c r="H216" s="109"/>
      <c r="I216" s="109"/>
    </row>
    <row r="217" spans="1:9">
      <c r="A217" s="109"/>
      <c r="B217" s="109"/>
      <c r="C217" s="109"/>
      <c r="D217" s="109"/>
      <c r="E217" s="109"/>
      <c r="F217" s="109"/>
      <c r="G217" s="109"/>
      <c r="H217" s="109"/>
      <c r="I217" s="109"/>
    </row>
    <row r="218" spans="1:9">
      <c r="A218" s="109"/>
      <c r="B218" s="109"/>
      <c r="C218" s="109"/>
      <c r="D218" s="109"/>
      <c r="E218" s="109"/>
      <c r="F218" s="109"/>
      <c r="G218" s="109"/>
      <c r="H218" s="109"/>
      <c r="I218" s="109"/>
    </row>
    <row r="219" spans="1:9">
      <c r="A219" s="109"/>
      <c r="B219" s="109"/>
      <c r="C219" s="109"/>
      <c r="D219" s="109"/>
      <c r="E219" s="109"/>
      <c r="F219" s="109"/>
      <c r="G219" s="109"/>
      <c r="H219" s="109"/>
      <c r="I219" s="109"/>
    </row>
    <row r="220" spans="1:9">
      <c r="A220" s="109"/>
      <c r="B220" s="109"/>
      <c r="C220" s="109"/>
      <c r="D220" s="109"/>
      <c r="E220" s="109"/>
      <c r="F220" s="109"/>
      <c r="G220" s="109"/>
      <c r="H220" s="109"/>
      <c r="I220" s="109"/>
    </row>
    <row r="221" spans="1:9">
      <c r="A221" s="109"/>
      <c r="B221" s="109"/>
      <c r="C221" s="109"/>
      <c r="D221" s="109"/>
      <c r="E221" s="109"/>
      <c r="F221" s="109"/>
      <c r="G221" s="109"/>
      <c r="H221" s="109"/>
      <c r="I221" s="109"/>
    </row>
    <row r="222" spans="1:9">
      <c r="A222" s="109"/>
      <c r="B222" s="109"/>
      <c r="C222" s="109"/>
      <c r="D222" s="109"/>
      <c r="E222" s="109"/>
      <c r="F222" s="109"/>
      <c r="G222" s="109"/>
      <c r="H222" s="109"/>
      <c r="I222" s="109"/>
    </row>
    <row r="223" spans="1:9">
      <c r="A223" s="109"/>
      <c r="B223" s="109"/>
      <c r="C223" s="109"/>
      <c r="D223" s="109"/>
      <c r="E223" s="109"/>
      <c r="F223" s="109"/>
      <c r="G223" s="109"/>
      <c r="H223" s="109"/>
      <c r="I223" s="109"/>
    </row>
    <row r="224" spans="1:9">
      <c r="A224" s="109"/>
      <c r="B224" s="109"/>
      <c r="C224" s="109"/>
      <c r="D224" s="109"/>
      <c r="E224" s="109"/>
      <c r="F224" s="109"/>
      <c r="G224" s="109"/>
      <c r="H224" s="109"/>
      <c r="I224" s="109"/>
    </row>
    <row r="225" spans="1:9">
      <c r="A225" s="109"/>
      <c r="B225" s="109"/>
      <c r="C225" s="109"/>
      <c r="D225" s="109"/>
      <c r="E225" s="109"/>
      <c r="F225" s="109"/>
      <c r="G225" s="109"/>
      <c r="H225" s="109"/>
      <c r="I225" s="109"/>
    </row>
    <row r="226" spans="1:9">
      <c r="A226" s="109"/>
      <c r="B226" s="109"/>
      <c r="C226" s="109"/>
      <c r="D226" s="109"/>
      <c r="E226" s="109"/>
      <c r="F226" s="109"/>
      <c r="G226" s="109"/>
      <c r="H226" s="109"/>
      <c r="I226" s="109"/>
    </row>
    <row r="227" spans="1:9">
      <c r="A227" s="109"/>
      <c r="B227" s="109"/>
      <c r="C227" s="109"/>
      <c r="D227" s="109"/>
      <c r="E227" s="109"/>
      <c r="F227" s="109"/>
      <c r="G227" s="109"/>
      <c r="H227" s="109"/>
      <c r="I227" s="109"/>
    </row>
    <row r="228" spans="1:9">
      <c r="A228" s="109"/>
      <c r="B228" s="109"/>
      <c r="C228" s="109"/>
      <c r="D228" s="109"/>
      <c r="E228" s="109"/>
      <c r="F228" s="109"/>
      <c r="G228" s="109"/>
      <c r="H228" s="109"/>
      <c r="I228" s="109"/>
    </row>
    <row r="229" spans="1:9">
      <c r="A229" s="109"/>
      <c r="B229" s="109"/>
      <c r="C229" s="109"/>
      <c r="D229" s="109"/>
      <c r="E229" s="109"/>
      <c r="F229" s="109"/>
      <c r="G229" s="109"/>
      <c r="H229" s="109"/>
      <c r="I229" s="109"/>
    </row>
    <row r="230" spans="1:9">
      <c r="A230" s="109"/>
      <c r="B230" s="109"/>
      <c r="C230" s="109"/>
      <c r="D230" s="109"/>
      <c r="E230" s="109"/>
      <c r="F230" s="109"/>
      <c r="G230" s="109"/>
      <c r="H230" s="109"/>
      <c r="I230" s="109"/>
    </row>
    <row r="231" spans="1:9">
      <c r="A231" s="109"/>
      <c r="B231" s="109"/>
      <c r="C231" s="109"/>
      <c r="D231" s="109"/>
      <c r="E231" s="109"/>
      <c r="F231" s="109"/>
      <c r="G231" s="109"/>
      <c r="H231" s="109"/>
      <c r="I231" s="109"/>
    </row>
    <row r="232" spans="1:9">
      <c r="A232" s="109"/>
      <c r="B232" s="109"/>
      <c r="C232" s="109"/>
      <c r="D232" s="109"/>
      <c r="E232" s="109"/>
      <c r="F232" s="109"/>
      <c r="G232" s="109"/>
      <c r="H232" s="109"/>
      <c r="I232" s="109"/>
    </row>
    <row r="233" spans="1:9">
      <c r="A233" s="109"/>
      <c r="B233" s="109"/>
      <c r="C233" s="109"/>
      <c r="D233" s="109"/>
      <c r="E233" s="109"/>
      <c r="F233" s="109"/>
      <c r="G233" s="109"/>
      <c r="H233" s="109"/>
      <c r="I233" s="109"/>
    </row>
    <row r="234" spans="1:9">
      <c r="A234" s="109"/>
      <c r="B234" s="109"/>
      <c r="C234" s="109"/>
      <c r="D234" s="109"/>
      <c r="E234" s="109"/>
      <c r="F234" s="109"/>
      <c r="G234" s="109"/>
      <c r="H234" s="109"/>
      <c r="I234" s="109"/>
    </row>
    <row r="235" spans="1:9">
      <c r="A235" s="109"/>
      <c r="B235" s="109"/>
      <c r="C235" s="109"/>
      <c r="D235" s="109"/>
      <c r="E235" s="109"/>
      <c r="F235" s="109"/>
      <c r="G235" s="109"/>
      <c r="H235" s="109"/>
      <c r="I235" s="109"/>
    </row>
    <row r="236" spans="1:9">
      <c r="A236" s="109"/>
      <c r="B236" s="109"/>
      <c r="C236" s="109"/>
      <c r="D236" s="109"/>
      <c r="E236" s="109"/>
      <c r="F236" s="109"/>
      <c r="G236" s="109"/>
      <c r="H236" s="109"/>
      <c r="I236" s="109"/>
    </row>
    <row r="237" spans="1:9">
      <c r="A237" s="109"/>
      <c r="B237" s="109"/>
      <c r="C237" s="109"/>
      <c r="D237" s="109"/>
      <c r="E237" s="109"/>
      <c r="F237" s="109"/>
      <c r="G237" s="109"/>
      <c r="H237" s="109"/>
      <c r="I237" s="109"/>
    </row>
    <row r="238" spans="1:9">
      <c r="A238" s="109"/>
      <c r="B238" s="109"/>
      <c r="C238" s="109"/>
      <c r="D238" s="109"/>
      <c r="E238" s="109"/>
      <c r="F238" s="109"/>
      <c r="G238" s="109"/>
      <c r="H238" s="109"/>
      <c r="I238" s="109"/>
    </row>
    <row r="239" spans="1:9">
      <c r="A239" s="109"/>
      <c r="B239" s="109"/>
      <c r="C239" s="109"/>
      <c r="D239" s="109"/>
      <c r="E239" s="109"/>
      <c r="F239" s="109"/>
      <c r="G239" s="109"/>
      <c r="H239" s="109"/>
      <c r="I239" s="109"/>
    </row>
    <row r="240" spans="1:9">
      <c r="A240" s="109"/>
      <c r="B240" s="109"/>
      <c r="C240" s="109"/>
      <c r="D240" s="109"/>
      <c r="E240" s="109"/>
      <c r="F240" s="109"/>
      <c r="G240" s="109"/>
      <c r="H240" s="109"/>
      <c r="I240" s="109"/>
    </row>
    <row r="241" spans="1:9">
      <c r="A241" s="109"/>
      <c r="B241" s="109"/>
      <c r="C241" s="109"/>
      <c r="D241" s="109"/>
      <c r="E241" s="109"/>
      <c r="F241" s="109"/>
      <c r="G241" s="109"/>
      <c r="H241" s="109"/>
      <c r="I241" s="109"/>
    </row>
    <row r="242" spans="1:9">
      <c r="A242" s="109"/>
      <c r="B242" s="109"/>
      <c r="C242" s="109"/>
      <c r="D242" s="109"/>
      <c r="E242" s="109"/>
      <c r="F242" s="109"/>
      <c r="G242" s="109"/>
      <c r="H242" s="109"/>
      <c r="I242" s="109"/>
    </row>
    <row r="243" spans="1:9">
      <c r="A243" s="109"/>
      <c r="B243" s="109"/>
      <c r="C243" s="109"/>
      <c r="D243" s="109"/>
      <c r="E243" s="109"/>
      <c r="F243" s="109"/>
      <c r="G243" s="109"/>
      <c r="H243" s="109"/>
      <c r="I243" s="109"/>
    </row>
    <row r="244" spans="1:9">
      <c r="A244" s="109"/>
      <c r="B244" s="109"/>
      <c r="C244" s="109"/>
      <c r="D244" s="109"/>
      <c r="E244" s="109"/>
      <c r="F244" s="109"/>
      <c r="G244" s="109"/>
      <c r="H244" s="109"/>
      <c r="I244" s="109"/>
    </row>
    <row r="245" spans="1:9">
      <c r="A245" s="109"/>
      <c r="B245" s="109"/>
      <c r="C245" s="109"/>
      <c r="D245" s="109"/>
      <c r="E245" s="109"/>
      <c r="F245" s="109"/>
      <c r="G245" s="109"/>
      <c r="H245" s="109"/>
      <c r="I245" s="109"/>
    </row>
    <row r="246" spans="1:9">
      <c r="A246" s="109"/>
      <c r="B246" s="109"/>
      <c r="C246" s="109"/>
      <c r="D246" s="109"/>
      <c r="E246" s="109"/>
      <c r="F246" s="109"/>
      <c r="G246" s="109"/>
      <c r="H246" s="109"/>
      <c r="I246" s="109"/>
    </row>
    <row r="247" spans="1:9">
      <c r="A247" s="109"/>
      <c r="B247" s="109"/>
      <c r="C247" s="109"/>
      <c r="D247" s="109"/>
      <c r="E247" s="109"/>
      <c r="F247" s="109"/>
      <c r="G247" s="109"/>
      <c r="H247" s="109"/>
      <c r="I247" s="109"/>
    </row>
    <row r="248" spans="1:9">
      <c r="A248" s="109"/>
      <c r="B248" s="109"/>
      <c r="C248" s="109"/>
      <c r="D248" s="109"/>
      <c r="E248" s="109"/>
      <c r="F248" s="109"/>
      <c r="G248" s="109"/>
      <c r="H248" s="109"/>
      <c r="I248" s="109"/>
    </row>
    <row r="249" spans="1:9">
      <c r="A249" s="109"/>
      <c r="B249" s="109"/>
      <c r="C249" s="109"/>
      <c r="D249" s="109"/>
      <c r="E249" s="109"/>
      <c r="F249" s="109"/>
      <c r="G249" s="109"/>
      <c r="H249" s="109"/>
      <c r="I249" s="109"/>
    </row>
    <row r="250" spans="1:9">
      <c r="A250" s="109"/>
      <c r="B250" s="109"/>
      <c r="C250" s="109"/>
      <c r="D250" s="109"/>
      <c r="E250" s="109"/>
      <c r="F250" s="109"/>
      <c r="G250" s="109"/>
      <c r="H250" s="109"/>
      <c r="I250" s="109"/>
    </row>
    <row r="251" spans="1:9">
      <c r="A251" s="109"/>
      <c r="B251" s="109"/>
      <c r="C251" s="109"/>
      <c r="D251" s="109"/>
      <c r="E251" s="109"/>
      <c r="F251" s="109"/>
      <c r="G251" s="109"/>
      <c r="H251" s="109"/>
      <c r="I251" s="109"/>
    </row>
    <row r="252" spans="1:9">
      <c r="A252" s="109"/>
      <c r="B252" s="109"/>
      <c r="C252" s="109"/>
      <c r="D252" s="109"/>
      <c r="E252" s="109"/>
      <c r="F252" s="109"/>
      <c r="G252" s="109"/>
      <c r="H252" s="109"/>
      <c r="I252" s="109"/>
    </row>
    <row r="253" spans="1:9">
      <c r="A253" s="109"/>
      <c r="B253" s="109"/>
      <c r="C253" s="109"/>
      <c r="D253" s="109"/>
      <c r="E253" s="109"/>
      <c r="F253" s="109"/>
      <c r="G253" s="109"/>
      <c r="H253" s="109"/>
      <c r="I253" s="109"/>
    </row>
    <row r="254" spans="1:9">
      <c r="A254" s="109"/>
      <c r="B254" s="109"/>
      <c r="C254" s="109"/>
      <c r="D254" s="109"/>
      <c r="E254" s="109"/>
      <c r="F254" s="109"/>
      <c r="G254" s="109"/>
      <c r="H254" s="109"/>
      <c r="I254" s="109"/>
    </row>
    <row r="255" spans="1:9">
      <c r="A255" s="109"/>
      <c r="B255" s="109"/>
      <c r="C255" s="109"/>
      <c r="D255" s="109"/>
      <c r="E255" s="109"/>
      <c r="F255" s="109"/>
      <c r="G255" s="109"/>
      <c r="H255" s="109"/>
      <c r="I255" s="109"/>
    </row>
    <row r="256" spans="1:9">
      <c r="A256" s="109"/>
      <c r="B256" s="109"/>
      <c r="C256" s="109"/>
      <c r="D256" s="109"/>
      <c r="E256" s="109"/>
      <c r="F256" s="109"/>
      <c r="G256" s="109"/>
      <c r="H256" s="109"/>
      <c r="I256" s="109"/>
    </row>
    <row r="257" spans="1:9">
      <c r="A257" s="109"/>
      <c r="B257" s="109"/>
      <c r="C257" s="109"/>
      <c r="D257" s="109"/>
      <c r="E257" s="109"/>
      <c r="F257" s="109"/>
      <c r="G257" s="109"/>
      <c r="H257" s="109"/>
      <c r="I257" s="109"/>
    </row>
    <row r="258" spans="1:9">
      <c r="A258" s="109"/>
      <c r="B258" s="109"/>
      <c r="C258" s="109"/>
      <c r="D258" s="109"/>
      <c r="E258" s="109"/>
      <c r="F258" s="109"/>
      <c r="G258" s="109"/>
      <c r="H258" s="109"/>
      <c r="I258" s="109"/>
    </row>
    <row r="259" spans="1:9">
      <c r="A259" s="109"/>
      <c r="B259" s="109"/>
      <c r="C259" s="109"/>
      <c r="D259" s="109"/>
      <c r="E259" s="109"/>
      <c r="F259" s="109"/>
      <c r="G259" s="109"/>
      <c r="H259" s="109"/>
      <c r="I259" s="109"/>
    </row>
    <row r="260" spans="1:9">
      <c r="A260" s="109"/>
      <c r="B260" s="109"/>
      <c r="C260" s="109"/>
      <c r="D260" s="109"/>
      <c r="E260" s="109"/>
      <c r="F260" s="109"/>
      <c r="G260" s="109"/>
      <c r="H260" s="109"/>
      <c r="I260" s="109"/>
    </row>
    <row r="261" spans="1:9">
      <c r="A261" s="109"/>
      <c r="B261" s="109"/>
      <c r="C261" s="109"/>
      <c r="D261" s="109"/>
      <c r="E261" s="109"/>
      <c r="F261" s="109"/>
      <c r="G261" s="109"/>
      <c r="H261" s="109"/>
      <c r="I261" s="109"/>
    </row>
    <row r="262" spans="1:9">
      <c r="A262" s="109"/>
      <c r="B262" s="109"/>
      <c r="C262" s="109"/>
      <c r="D262" s="109"/>
      <c r="E262" s="109"/>
      <c r="F262" s="109"/>
      <c r="G262" s="109"/>
      <c r="H262" s="109"/>
      <c r="I262" s="109"/>
    </row>
    <row r="263" spans="1:9">
      <c r="A263" s="109"/>
      <c r="B263" s="109"/>
      <c r="C263" s="109"/>
      <c r="D263" s="109"/>
      <c r="E263" s="109"/>
      <c r="F263" s="109"/>
      <c r="G263" s="109"/>
      <c r="H263" s="109"/>
      <c r="I263" s="109"/>
    </row>
    <row r="264" spans="1:9">
      <c r="A264" s="109"/>
      <c r="B264" s="109"/>
      <c r="C264" s="109"/>
      <c r="D264" s="109"/>
      <c r="E264" s="109"/>
      <c r="F264" s="109"/>
      <c r="G264" s="109"/>
      <c r="H264" s="109"/>
      <c r="I264" s="109"/>
    </row>
    <row r="265" spans="1:9">
      <c r="A265" s="109"/>
      <c r="B265" s="109"/>
      <c r="C265" s="109"/>
      <c r="D265" s="109"/>
      <c r="E265" s="109"/>
      <c r="F265" s="109"/>
      <c r="G265" s="109"/>
      <c r="H265" s="109"/>
      <c r="I265" s="109"/>
    </row>
    <row r="266" spans="1:9">
      <c r="A266" s="109"/>
      <c r="B266" s="109"/>
      <c r="C266" s="109"/>
      <c r="D266" s="109"/>
      <c r="E266" s="109"/>
      <c r="F266" s="109"/>
      <c r="G266" s="109"/>
      <c r="H266" s="109"/>
      <c r="I266" s="109"/>
    </row>
    <row r="267" spans="1:9">
      <c r="A267" s="109"/>
      <c r="B267" s="109"/>
      <c r="C267" s="109"/>
      <c r="D267" s="109"/>
      <c r="E267" s="109"/>
      <c r="F267" s="109"/>
      <c r="G267" s="109"/>
      <c r="H267" s="109"/>
      <c r="I267" s="109"/>
    </row>
    <row r="268" spans="1:9">
      <c r="A268" s="109"/>
      <c r="B268" s="109"/>
      <c r="C268" s="109"/>
      <c r="D268" s="109"/>
      <c r="E268" s="109"/>
      <c r="F268" s="109"/>
      <c r="G268" s="109"/>
      <c r="H268" s="109"/>
      <c r="I268" s="109"/>
    </row>
    <row r="269" spans="1:9">
      <c r="A269" s="109"/>
      <c r="B269" s="109"/>
      <c r="C269" s="109"/>
      <c r="D269" s="109"/>
      <c r="E269" s="109"/>
      <c r="F269" s="109"/>
      <c r="G269" s="109"/>
      <c r="H269" s="109"/>
      <c r="I269" s="109"/>
    </row>
    <row r="270" spans="1:9">
      <c r="A270" s="109"/>
      <c r="B270" s="109"/>
      <c r="C270" s="109"/>
      <c r="D270" s="109"/>
      <c r="E270" s="109"/>
      <c r="F270" s="109"/>
      <c r="G270" s="109"/>
      <c r="H270" s="109"/>
      <c r="I270" s="109"/>
    </row>
    <row r="271" spans="1:9">
      <c r="A271" s="109"/>
      <c r="B271" s="109"/>
      <c r="C271" s="109"/>
      <c r="D271" s="109"/>
      <c r="E271" s="109"/>
      <c r="F271" s="109"/>
      <c r="G271" s="109"/>
      <c r="H271" s="109"/>
      <c r="I271" s="109"/>
    </row>
    <row r="272" spans="1:9">
      <c r="A272" s="109"/>
      <c r="B272" s="109"/>
      <c r="C272" s="109"/>
      <c r="D272" s="109"/>
      <c r="E272" s="109"/>
      <c r="F272" s="109"/>
      <c r="G272" s="109"/>
      <c r="H272" s="109"/>
      <c r="I272" s="109"/>
    </row>
    <row r="273" spans="1:9">
      <c r="A273" s="109"/>
      <c r="B273" s="109"/>
      <c r="C273" s="109"/>
      <c r="D273" s="109"/>
      <c r="E273" s="109"/>
      <c r="F273" s="109"/>
      <c r="G273" s="109"/>
      <c r="H273" s="109"/>
      <c r="I273" s="109"/>
    </row>
    <row r="274" spans="1:9">
      <c r="A274" s="109"/>
      <c r="B274" s="109"/>
      <c r="C274" s="109"/>
      <c r="D274" s="109"/>
      <c r="E274" s="109"/>
      <c r="F274" s="109"/>
      <c r="G274" s="109"/>
      <c r="H274" s="109"/>
      <c r="I274" s="109"/>
    </row>
    <row r="275" spans="1:9">
      <c r="A275" s="109"/>
      <c r="B275" s="109"/>
      <c r="C275" s="109"/>
      <c r="D275" s="109"/>
      <c r="E275" s="109"/>
      <c r="F275" s="109"/>
      <c r="G275" s="109"/>
      <c r="H275" s="109"/>
      <c r="I275" s="109"/>
    </row>
    <row r="276" spans="1:9">
      <c r="A276" s="109"/>
      <c r="B276" s="109"/>
      <c r="C276" s="109"/>
      <c r="D276" s="109"/>
      <c r="E276" s="109"/>
      <c r="F276" s="109"/>
      <c r="G276" s="109"/>
      <c r="H276" s="109"/>
      <c r="I276" s="109"/>
    </row>
    <row r="277" spans="1:9">
      <c r="A277" s="109"/>
      <c r="B277" s="109"/>
      <c r="C277" s="109"/>
      <c r="D277" s="109"/>
      <c r="E277" s="109"/>
      <c r="F277" s="109"/>
      <c r="G277" s="109"/>
      <c r="H277" s="109"/>
      <c r="I277" s="109"/>
    </row>
    <row r="278" spans="1:9">
      <c r="A278" s="109"/>
      <c r="B278" s="109"/>
      <c r="C278" s="109"/>
      <c r="D278" s="109"/>
      <c r="E278" s="109"/>
      <c r="F278" s="109"/>
      <c r="G278" s="109"/>
      <c r="H278" s="109"/>
      <c r="I278" s="109"/>
    </row>
    <row r="279" spans="1:9">
      <c r="A279" s="109"/>
      <c r="B279" s="109"/>
      <c r="C279" s="109"/>
      <c r="D279" s="109"/>
      <c r="E279" s="109"/>
      <c r="F279" s="109"/>
      <c r="G279" s="109"/>
      <c r="H279" s="109"/>
      <c r="I279" s="109"/>
    </row>
    <row r="280" spans="1:9">
      <c r="A280" s="109"/>
      <c r="B280" s="109"/>
      <c r="C280" s="109"/>
      <c r="D280" s="109"/>
      <c r="E280" s="109"/>
      <c r="F280" s="109"/>
      <c r="G280" s="109"/>
      <c r="H280" s="109"/>
      <c r="I280" s="109"/>
    </row>
    <row r="281" spans="1:9">
      <c r="A281" s="109"/>
      <c r="B281" s="109"/>
      <c r="C281" s="109"/>
      <c r="D281" s="109"/>
      <c r="E281" s="109"/>
      <c r="F281" s="109"/>
      <c r="G281" s="109"/>
      <c r="H281" s="109"/>
      <c r="I281" s="109"/>
    </row>
    <row r="282" spans="1:9">
      <c r="A282" s="109"/>
      <c r="B282" s="109"/>
      <c r="C282" s="109"/>
      <c r="D282" s="109"/>
      <c r="E282" s="109"/>
      <c r="F282" s="109"/>
      <c r="G282" s="109"/>
      <c r="H282" s="109"/>
      <c r="I282" s="109"/>
    </row>
    <row r="283" spans="1:9">
      <c r="A283" s="109"/>
      <c r="B283" s="109"/>
      <c r="C283" s="109"/>
      <c r="D283" s="109"/>
      <c r="E283" s="109"/>
      <c r="F283" s="109"/>
      <c r="G283" s="109"/>
      <c r="H283" s="109"/>
      <c r="I283" s="109"/>
    </row>
    <row r="284" spans="1:9">
      <c r="A284" s="109"/>
      <c r="B284" s="109"/>
      <c r="C284" s="109"/>
      <c r="D284" s="109"/>
      <c r="E284" s="109"/>
      <c r="F284" s="109"/>
      <c r="G284" s="109"/>
      <c r="H284" s="109"/>
      <c r="I284" s="109"/>
    </row>
    <row r="285" spans="1:9">
      <c r="A285" s="109"/>
      <c r="B285" s="109"/>
      <c r="C285" s="109"/>
      <c r="D285" s="109"/>
      <c r="E285" s="109"/>
      <c r="F285" s="109"/>
      <c r="G285" s="109"/>
      <c r="H285" s="109"/>
      <c r="I285" s="109"/>
    </row>
    <row r="286" spans="1:9">
      <c r="A286" s="109"/>
      <c r="B286" s="109"/>
      <c r="C286" s="109"/>
      <c r="D286" s="109"/>
      <c r="E286" s="109"/>
      <c r="F286" s="109"/>
      <c r="G286" s="109"/>
      <c r="H286" s="109"/>
      <c r="I286" s="109"/>
    </row>
    <row r="287" spans="1:9">
      <c r="A287" s="109"/>
      <c r="B287" s="109"/>
      <c r="C287" s="109"/>
      <c r="D287" s="109"/>
      <c r="E287" s="109"/>
      <c r="F287" s="109"/>
      <c r="G287" s="109"/>
      <c r="H287" s="109"/>
      <c r="I287" s="109"/>
    </row>
    <row r="288" spans="1:9">
      <c r="A288" s="109"/>
      <c r="B288" s="109"/>
      <c r="C288" s="109"/>
      <c r="D288" s="109"/>
      <c r="E288" s="109"/>
      <c r="F288" s="109"/>
      <c r="G288" s="109"/>
      <c r="H288" s="109"/>
      <c r="I288" s="109"/>
    </row>
  </sheetData>
  <mergeCells count="2">
    <mergeCell ref="B1:J1"/>
    <mergeCell ref="K1:P1"/>
  </mergeCells>
  <phoneticPr fontId="0" type="noConversion"/>
  <pageMargins left="0.36" right="0.75" top="1" bottom="1" header="0.5" footer="0.5"/>
  <pageSetup scale="67" orientation="landscape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75"/>
  <sheetViews>
    <sheetView workbookViewId="0"/>
  </sheetViews>
  <sheetFormatPr defaultRowHeight="12.75"/>
  <cols>
    <col min="1" max="1" width="46.5703125" customWidth="1"/>
    <col min="2" max="2" width="15.42578125" customWidth="1"/>
    <col min="3" max="3" width="9.28515625" bestFit="1" customWidth="1"/>
    <col min="4" max="5" width="5" bestFit="1" customWidth="1"/>
    <col min="6" max="17" width="10.7109375" customWidth="1"/>
    <col min="18" max="18" width="9.140625" style="147"/>
    <col min="19" max="16384" width="9.140625" style="12"/>
  </cols>
  <sheetData>
    <row r="1" spans="1:18" ht="20.25">
      <c r="A1" s="152"/>
      <c r="B1" s="131" t="s">
        <v>273</v>
      </c>
      <c r="C1" s="129">
        <v>2006</v>
      </c>
      <c r="D1" s="129">
        <f>C1+1</f>
        <v>2007</v>
      </c>
      <c r="E1" s="129">
        <f t="shared" ref="E1:Q1" si="0">D1+1</f>
        <v>2008</v>
      </c>
      <c r="F1" s="129">
        <f t="shared" si="0"/>
        <v>2009</v>
      </c>
      <c r="G1" s="129">
        <f t="shared" si="0"/>
        <v>2010</v>
      </c>
      <c r="H1" s="129">
        <f t="shared" si="0"/>
        <v>2011</v>
      </c>
      <c r="I1" s="129">
        <f t="shared" si="0"/>
        <v>2012</v>
      </c>
      <c r="J1" s="129">
        <f t="shared" si="0"/>
        <v>2013</v>
      </c>
      <c r="K1" s="129">
        <f t="shared" si="0"/>
        <v>2014</v>
      </c>
      <c r="L1" s="129">
        <f t="shared" si="0"/>
        <v>2015</v>
      </c>
      <c r="M1" s="129">
        <f t="shared" si="0"/>
        <v>2016</v>
      </c>
      <c r="N1" s="129">
        <f t="shared" si="0"/>
        <v>2017</v>
      </c>
      <c r="O1" s="129">
        <f t="shared" si="0"/>
        <v>2018</v>
      </c>
      <c r="P1" s="129">
        <f t="shared" si="0"/>
        <v>2019</v>
      </c>
      <c r="Q1" s="130">
        <f t="shared" si="0"/>
        <v>2020</v>
      </c>
      <c r="R1" s="147" t="s">
        <v>274</v>
      </c>
    </row>
    <row r="2" spans="1:18">
      <c r="A2" s="83" t="str">
        <f>'Single-Family Existing'!$A$11&amp;"-High"</f>
        <v>Heating/HVAC-High</v>
      </c>
      <c r="B2" s="151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45"/>
    </row>
    <row r="3" spans="1:18">
      <c r="A3" s="58" t="s">
        <v>260</v>
      </c>
      <c r="B3" s="149" t="e">
        <f>#REF!+#REF!+#REF!+'Single-Family Existing'!#REF!</f>
        <v>#REF!</v>
      </c>
      <c r="C3" s="22"/>
      <c r="D3" s="22"/>
      <c r="E3" s="22"/>
      <c r="F3" s="22" t="e">
        <f t="shared" ref="F3:Q7" si="1">$B3/12</f>
        <v>#REF!</v>
      </c>
      <c r="G3" s="22" t="e">
        <f t="shared" si="1"/>
        <v>#REF!</v>
      </c>
      <c r="H3" s="22" t="e">
        <f t="shared" si="1"/>
        <v>#REF!</v>
      </c>
      <c r="I3" s="22" t="e">
        <f t="shared" si="1"/>
        <v>#REF!</v>
      </c>
      <c r="J3" s="22" t="e">
        <f t="shared" si="1"/>
        <v>#REF!</v>
      </c>
      <c r="K3" s="22" t="e">
        <f t="shared" si="1"/>
        <v>#REF!</v>
      </c>
      <c r="L3" s="22" t="e">
        <f t="shared" si="1"/>
        <v>#REF!</v>
      </c>
      <c r="M3" s="22" t="e">
        <f t="shared" si="1"/>
        <v>#REF!</v>
      </c>
      <c r="N3" s="22" t="e">
        <f t="shared" si="1"/>
        <v>#REF!</v>
      </c>
      <c r="O3" s="22" t="e">
        <f t="shared" si="1"/>
        <v>#REF!</v>
      </c>
      <c r="P3" s="22" t="e">
        <f t="shared" si="1"/>
        <v>#REF!</v>
      </c>
      <c r="Q3" s="28" t="e">
        <f t="shared" si="1"/>
        <v>#REF!</v>
      </c>
      <c r="R3" s="86" t="e">
        <f>SUM(C3:Q3)/B3</f>
        <v>#REF!</v>
      </c>
    </row>
    <row r="4" spans="1:18">
      <c r="A4" s="58" t="s">
        <v>333</v>
      </c>
      <c r="B4" s="149" t="e">
        <f>(#REF!+#REF!+#REF!+'Single-Family Existing'!#REF!)/1000</f>
        <v>#REF!</v>
      </c>
      <c r="C4" s="22"/>
      <c r="D4" s="22"/>
      <c r="E4" s="22"/>
      <c r="F4" s="22" t="e">
        <f t="shared" si="1"/>
        <v>#REF!</v>
      </c>
      <c r="G4" s="22" t="e">
        <f t="shared" si="1"/>
        <v>#REF!</v>
      </c>
      <c r="H4" s="22" t="e">
        <f t="shared" si="1"/>
        <v>#REF!</v>
      </c>
      <c r="I4" s="22" t="e">
        <f t="shared" si="1"/>
        <v>#REF!</v>
      </c>
      <c r="J4" s="22" t="e">
        <f t="shared" si="1"/>
        <v>#REF!</v>
      </c>
      <c r="K4" s="22" t="e">
        <f t="shared" si="1"/>
        <v>#REF!</v>
      </c>
      <c r="L4" s="22" t="e">
        <f t="shared" si="1"/>
        <v>#REF!</v>
      </c>
      <c r="M4" s="22" t="e">
        <f t="shared" si="1"/>
        <v>#REF!</v>
      </c>
      <c r="N4" s="22" t="e">
        <f t="shared" si="1"/>
        <v>#REF!</v>
      </c>
      <c r="O4" s="22" t="e">
        <f t="shared" si="1"/>
        <v>#REF!</v>
      </c>
      <c r="P4" s="22" t="e">
        <f t="shared" si="1"/>
        <v>#REF!</v>
      </c>
      <c r="Q4" s="28" t="e">
        <f t="shared" si="1"/>
        <v>#REF!</v>
      </c>
      <c r="R4" s="86" t="e">
        <f>SUM(C4:Q4)/B4</f>
        <v>#REF!</v>
      </c>
    </row>
    <row r="5" spans="1:18">
      <c r="A5" s="121" t="s">
        <v>331</v>
      </c>
      <c r="B5" s="149" t="e">
        <f>(#REF!+#REF!+#REF!+'Single-Family Existing'!#REF!)*0.8/1000</f>
        <v>#REF!</v>
      </c>
      <c r="C5" s="22"/>
      <c r="D5" s="123"/>
      <c r="E5" s="123"/>
      <c r="F5" s="22" t="e">
        <f t="shared" si="1"/>
        <v>#REF!</v>
      </c>
      <c r="G5" s="22" t="e">
        <f t="shared" si="1"/>
        <v>#REF!</v>
      </c>
      <c r="H5" s="22" t="e">
        <f t="shared" si="1"/>
        <v>#REF!</v>
      </c>
      <c r="I5" s="22" t="e">
        <f t="shared" si="1"/>
        <v>#REF!</v>
      </c>
      <c r="J5" s="22" t="e">
        <f t="shared" si="1"/>
        <v>#REF!</v>
      </c>
      <c r="K5" s="22" t="e">
        <f t="shared" si="1"/>
        <v>#REF!</v>
      </c>
      <c r="L5" s="22" t="e">
        <f t="shared" si="1"/>
        <v>#REF!</v>
      </c>
      <c r="M5" s="22" t="e">
        <f t="shared" si="1"/>
        <v>#REF!</v>
      </c>
      <c r="N5" s="22" t="e">
        <f t="shared" si="1"/>
        <v>#REF!</v>
      </c>
      <c r="O5" s="22" t="e">
        <f t="shared" si="1"/>
        <v>#REF!</v>
      </c>
      <c r="P5" s="22" t="e">
        <f t="shared" si="1"/>
        <v>#REF!</v>
      </c>
      <c r="Q5" s="28" t="e">
        <f t="shared" si="1"/>
        <v>#REF!</v>
      </c>
      <c r="R5" s="86" t="e">
        <f>SUM(C5:Q5)/B5</f>
        <v>#REF!</v>
      </c>
    </row>
    <row r="6" spans="1:18">
      <c r="A6" s="121" t="s">
        <v>332</v>
      </c>
      <c r="B6" s="149" t="e">
        <f>(#REF!+#REF!+#REF!+'Single-Family Existing'!#REF!)*0.2/1000</f>
        <v>#REF!</v>
      </c>
      <c r="C6" s="22"/>
      <c r="D6" s="123"/>
      <c r="E6" s="123"/>
      <c r="F6" s="22" t="e">
        <f t="shared" si="1"/>
        <v>#REF!</v>
      </c>
      <c r="G6" s="22" t="e">
        <f t="shared" si="1"/>
        <v>#REF!</v>
      </c>
      <c r="H6" s="22" t="e">
        <f t="shared" si="1"/>
        <v>#REF!</v>
      </c>
      <c r="I6" s="22" t="e">
        <f t="shared" si="1"/>
        <v>#REF!</v>
      </c>
      <c r="J6" s="22" t="e">
        <f t="shared" si="1"/>
        <v>#REF!</v>
      </c>
      <c r="K6" s="22" t="e">
        <f t="shared" si="1"/>
        <v>#REF!</v>
      </c>
      <c r="L6" s="22" t="e">
        <f t="shared" si="1"/>
        <v>#REF!</v>
      </c>
      <c r="M6" s="22" t="e">
        <f t="shared" si="1"/>
        <v>#REF!</v>
      </c>
      <c r="N6" s="22" t="e">
        <f t="shared" si="1"/>
        <v>#REF!</v>
      </c>
      <c r="O6" s="22" t="e">
        <f t="shared" si="1"/>
        <v>#REF!</v>
      </c>
      <c r="P6" s="22" t="e">
        <f t="shared" si="1"/>
        <v>#REF!</v>
      </c>
      <c r="Q6" s="28" t="e">
        <f t="shared" si="1"/>
        <v>#REF!</v>
      </c>
      <c r="R6" s="86" t="e">
        <f>SUM(C6:Q6)/B6</f>
        <v>#REF!</v>
      </c>
    </row>
    <row r="7" spans="1:18">
      <c r="A7" s="121" t="s">
        <v>340</v>
      </c>
      <c r="B7" s="149" t="e">
        <f>(#REF!+#REF!+#REF!+'Single-Family Existing'!#REF!)/1000</f>
        <v>#REF!</v>
      </c>
      <c r="C7" s="22"/>
      <c r="D7" s="123"/>
      <c r="E7" s="123"/>
      <c r="F7" s="22" t="e">
        <f t="shared" si="1"/>
        <v>#REF!</v>
      </c>
      <c r="G7" s="22" t="e">
        <f t="shared" si="1"/>
        <v>#REF!</v>
      </c>
      <c r="H7" s="22" t="e">
        <f t="shared" si="1"/>
        <v>#REF!</v>
      </c>
      <c r="I7" s="22" t="e">
        <f t="shared" si="1"/>
        <v>#REF!</v>
      </c>
      <c r="J7" s="22" t="e">
        <f t="shared" si="1"/>
        <v>#REF!</v>
      </c>
      <c r="K7" s="22" t="e">
        <f t="shared" si="1"/>
        <v>#REF!</v>
      </c>
      <c r="L7" s="22" t="e">
        <f t="shared" si="1"/>
        <v>#REF!</v>
      </c>
      <c r="M7" s="22" t="e">
        <f t="shared" si="1"/>
        <v>#REF!</v>
      </c>
      <c r="N7" s="22" t="e">
        <f t="shared" si="1"/>
        <v>#REF!</v>
      </c>
      <c r="O7" s="22" t="e">
        <f t="shared" si="1"/>
        <v>#REF!</v>
      </c>
      <c r="P7" s="22" t="e">
        <f t="shared" si="1"/>
        <v>#REF!</v>
      </c>
      <c r="Q7" s="28" t="e">
        <f t="shared" si="1"/>
        <v>#REF!</v>
      </c>
      <c r="R7" s="86" t="e">
        <f>SUM(C7:Q7)/B7</f>
        <v>#REF!</v>
      </c>
    </row>
    <row r="8" spans="1:18">
      <c r="A8" s="148" t="s">
        <v>334</v>
      </c>
      <c r="B8" s="151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45"/>
    </row>
    <row r="9" spans="1:18">
      <c r="A9" s="58" t="s">
        <v>260</v>
      </c>
      <c r="B9" s="149" t="e">
        <f>SUM(#REF!)+SUM(#REF!)+#REF!+'Single-Family Existing'!#REF!</f>
        <v>#REF!</v>
      </c>
      <c r="C9" s="22"/>
      <c r="D9" s="22"/>
      <c r="E9" s="22"/>
      <c r="F9" s="22" t="e">
        <f t="shared" ref="F9:Q13" si="2">$B9/12</f>
        <v>#REF!</v>
      </c>
      <c r="G9" s="22" t="e">
        <f t="shared" si="2"/>
        <v>#REF!</v>
      </c>
      <c r="H9" s="22" t="e">
        <f t="shared" si="2"/>
        <v>#REF!</v>
      </c>
      <c r="I9" s="22" t="e">
        <f t="shared" si="2"/>
        <v>#REF!</v>
      </c>
      <c r="J9" s="22" t="e">
        <f t="shared" si="2"/>
        <v>#REF!</v>
      </c>
      <c r="K9" s="22" t="e">
        <f t="shared" si="2"/>
        <v>#REF!</v>
      </c>
      <c r="L9" s="22" t="e">
        <f t="shared" si="2"/>
        <v>#REF!</v>
      </c>
      <c r="M9" s="22" t="e">
        <f t="shared" si="2"/>
        <v>#REF!</v>
      </c>
      <c r="N9" s="22" t="e">
        <f t="shared" si="2"/>
        <v>#REF!</v>
      </c>
      <c r="O9" s="22" t="e">
        <f t="shared" si="2"/>
        <v>#REF!</v>
      </c>
      <c r="P9" s="22" t="e">
        <f t="shared" si="2"/>
        <v>#REF!</v>
      </c>
      <c r="Q9" s="28" t="e">
        <f t="shared" si="2"/>
        <v>#REF!</v>
      </c>
      <c r="R9" s="86" t="e">
        <f>SUM(C9:Q9)/B9</f>
        <v>#REF!</v>
      </c>
    </row>
    <row r="10" spans="1:18">
      <c r="A10" s="58" t="s">
        <v>333</v>
      </c>
      <c r="B10" s="149" t="e">
        <f>(SUM(#REF!)+SUM(#REF!)+#REF!+'Single-Family Existing'!#REF!)/1000</f>
        <v>#REF!</v>
      </c>
      <c r="C10" s="22"/>
      <c r="D10" s="22"/>
      <c r="E10" s="22"/>
      <c r="F10" s="22" t="e">
        <f t="shared" si="2"/>
        <v>#REF!</v>
      </c>
      <c r="G10" s="22" t="e">
        <f t="shared" si="2"/>
        <v>#REF!</v>
      </c>
      <c r="H10" s="22" t="e">
        <f t="shared" si="2"/>
        <v>#REF!</v>
      </c>
      <c r="I10" s="22" t="e">
        <f t="shared" si="2"/>
        <v>#REF!</v>
      </c>
      <c r="J10" s="22" t="e">
        <f t="shared" si="2"/>
        <v>#REF!</v>
      </c>
      <c r="K10" s="22" t="e">
        <f t="shared" si="2"/>
        <v>#REF!</v>
      </c>
      <c r="L10" s="22" t="e">
        <f t="shared" si="2"/>
        <v>#REF!</v>
      </c>
      <c r="M10" s="22" t="e">
        <f t="shared" si="2"/>
        <v>#REF!</v>
      </c>
      <c r="N10" s="22" t="e">
        <f t="shared" si="2"/>
        <v>#REF!</v>
      </c>
      <c r="O10" s="22" t="e">
        <f t="shared" si="2"/>
        <v>#REF!</v>
      </c>
      <c r="P10" s="22" t="e">
        <f t="shared" si="2"/>
        <v>#REF!</v>
      </c>
      <c r="Q10" s="28" t="e">
        <f t="shared" si="2"/>
        <v>#REF!</v>
      </c>
      <c r="R10" s="86" t="e">
        <f>SUM(C10:Q10)/B10</f>
        <v>#REF!</v>
      </c>
    </row>
    <row r="11" spans="1:18">
      <c r="A11" s="121" t="s">
        <v>331</v>
      </c>
      <c r="B11" s="149" t="e">
        <f>(SUM(#REF!)+SUM(#REF!)+#REF!+'Single-Family Existing'!#REF!)*0.8/1000</f>
        <v>#REF!</v>
      </c>
      <c r="C11" s="123"/>
      <c r="D11" s="123"/>
      <c r="E11" s="123"/>
      <c r="F11" s="22" t="e">
        <f t="shared" si="2"/>
        <v>#REF!</v>
      </c>
      <c r="G11" s="22" t="e">
        <f t="shared" si="2"/>
        <v>#REF!</v>
      </c>
      <c r="H11" s="22" t="e">
        <f t="shared" si="2"/>
        <v>#REF!</v>
      </c>
      <c r="I11" s="22" t="e">
        <f t="shared" si="2"/>
        <v>#REF!</v>
      </c>
      <c r="J11" s="22" t="e">
        <f t="shared" si="2"/>
        <v>#REF!</v>
      </c>
      <c r="K11" s="22" t="e">
        <f t="shared" si="2"/>
        <v>#REF!</v>
      </c>
      <c r="L11" s="22" t="e">
        <f t="shared" si="2"/>
        <v>#REF!</v>
      </c>
      <c r="M11" s="22" t="e">
        <f t="shared" si="2"/>
        <v>#REF!</v>
      </c>
      <c r="N11" s="22" t="e">
        <f t="shared" si="2"/>
        <v>#REF!</v>
      </c>
      <c r="O11" s="22" t="e">
        <f t="shared" si="2"/>
        <v>#REF!</v>
      </c>
      <c r="P11" s="22" t="e">
        <f t="shared" si="2"/>
        <v>#REF!</v>
      </c>
      <c r="Q11" s="28" t="e">
        <f t="shared" si="2"/>
        <v>#REF!</v>
      </c>
      <c r="R11" s="86" t="e">
        <f>SUM(C11:Q11)/B11</f>
        <v>#REF!</v>
      </c>
    </row>
    <row r="12" spans="1:18">
      <c r="A12" s="121" t="s">
        <v>332</v>
      </c>
      <c r="B12" s="149" t="e">
        <f>(SUM(#REF!)+SUM(#REF!)+#REF!+'Single-Family Existing'!#REF!)*0.2/1000</f>
        <v>#REF!</v>
      </c>
      <c r="C12" s="123"/>
      <c r="D12" s="123"/>
      <c r="E12" s="123"/>
      <c r="F12" s="22" t="e">
        <f t="shared" si="2"/>
        <v>#REF!</v>
      </c>
      <c r="G12" s="22" t="e">
        <f t="shared" si="2"/>
        <v>#REF!</v>
      </c>
      <c r="H12" s="22" t="e">
        <f t="shared" si="2"/>
        <v>#REF!</v>
      </c>
      <c r="I12" s="22" t="e">
        <f t="shared" si="2"/>
        <v>#REF!</v>
      </c>
      <c r="J12" s="22" t="e">
        <f t="shared" si="2"/>
        <v>#REF!</v>
      </c>
      <c r="K12" s="22" t="e">
        <f t="shared" si="2"/>
        <v>#REF!</v>
      </c>
      <c r="L12" s="22" t="e">
        <f t="shared" si="2"/>
        <v>#REF!</v>
      </c>
      <c r="M12" s="22" t="e">
        <f t="shared" si="2"/>
        <v>#REF!</v>
      </c>
      <c r="N12" s="22" t="e">
        <f t="shared" si="2"/>
        <v>#REF!</v>
      </c>
      <c r="O12" s="22" t="e">
        <f t="shared" si="2"/>
        <v>#REF!</v>
      </c>
      <c r="P12" s="22" t="e">
        <f t="shared" si="2"/>
        <v>#REF!</v>
      </c>
      <c r="Q12" s="28" t="e">
        <f t="shared" si="2"/>
        <v>#REF!</v>
      </c>
      <c r="R12" s="86"/>
    </row>
    <row r="13" spans="1:18">
      <c r="A13" s="121" t="s">
        <v>340</v>
      </c>
      <c r="B13" s="149" t="e">
        <f>(SUM(#REF!)+SUM(#REF!)+#REF!+'Single-Family Existing'!#REF!)/1000</f>
        <v>#REF!</v>
      </c>
      <c r="C13" s="123"/>
      <c r="D13" s="123"/>
      <c r="E13" s="123"/>
      <c r="F13" s="22" t="e">
        <f t="shared" si="2"/>
        <v>#REF!</v>
      </c>
      <c r="G13" s="22" t="e">
        <f t="shared" si="2"/>
        <v>#REF!</v>
      </c>
      <c r="H13" s="22" t="e">
        <f t="shared" si="2"/>
        <v>#REF!</v>
      </c>
      <c r="I13" s="22" t="e">
        <f t="shared" si="2"/>
        <v>#REF!</v>
      </c>
      <c r="J13" s="22" t="e">
        <f t="shared" si="2"/>
        <v>#REF!</v>
      </c>
      <c r="K13" s="22" t="e">
        <f t="shared" si="2"/>
        <v>#REF!</v>
      </c>
      <c r="L13" s="22" t="e">
        <f t="shared" si="2"/>
        <v>#REF!</v>
      </c>
      <c r="M13" s="22" t="e">
        <f t="shared" si="2"/>
        <v>#REF!</v>
      </c>
      <c r="N13" s="22" t="e">
        <f t="shared" si="2"/>
        <v>#REF!</v>
      </c>
      <c r="O13" s="22" t="e">
        <f t="shared" si="2"/>
        <v>#REF!</v>
      </c>
      <c r="P13" s="22" t="e">
        <f t="shared" si="2"/>
        <v>#REF!</v>
      </c>
      <c r="Q13" s="28" t="e">
        <f t="shared" si="2"/>
        <v>#REF!</v>
      </c>
      <c r="R13" s="86" t="e">
        <f>SUM(C13:Q13)/B13</f>
        <v>#REF!</v>
      </c>
    </row>
    <row r="14" spans="1:18">
      <c r="A14" s="148" t="s">
        <v>335</v>
      </c>
      <c r="B14" s="151"/>
      <c r="C14" s="158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45"/>
    </row>
    <row r="15" spans="1:18">
      <c r="A15" s="58" t="s">
        <v>260</v>
      </c>
      <c r="B15" s="149" t="e">
        <f>#REF!+#REF!+#REF!+#REF!</f>
        <v>#REF!</v>
      </c>
      <c r="C15" s="22"/>
      <c r="D15" s="22"/>
      <c r="E15" s="22"/>
      <c r="F15" s="22" t="e">
        <f t="shared" ref="F15:Q19" si="3">$B15/12</f>
        <v>#REF!</v>
      </c>
      <c r="G15" s="22" t="e">
        <f t="shared" si="3"/>
        <v>#REF!</v>
      </c>
      <c r="H15" s="22" t="e">
        <f t="shared" si="3"/>
        <v>#REF!</v>
      </c>
      <c r="I15" s="22" t="e">
        <f t="shared" si="3"/>
        <v>#REF!</v>
      </c>
      <c r="J15" s="22" t="e">
        <f t="shared" si="3"/>
        <v>#REF!</v>
      </c>
      <c r="K15" s="22" t="e">
        <f t="shared" si="3"/>
        <v>#REF!</v>
      </c>
      <c r="L15" s="22" t="e">
        <f t="shared" si="3"/>
        <v>#REF!</v>
      </c>
      <c r="M15" s="22" t="e">
        <f t="shared" si="3"/>
        <v>#REF!</v>
      </c>
      <c r="N15" s="22" t="e">
        <f t="shared" si="3"/>
        <v>#REF!</v>
      </c>
      <c r="O15" s="22" t="e">
        <f t="shared" si="3"/>
        <v>#REF!</v>
      </c>
      <c r="P15" s="22" t="e">
        <f t="shared" si="3"/>
        <v>#REF!</v>
      </c>
      <c r="Q15" s="28" t="e">
        <f t="shared" si="3"/>
        <v>#REF!</v>
      </c>
      <c r="R15" s="86" t="e">
        <f>SUM(C15:Q15)/B15</f>
        <v>#REF!</v>
      </c>
    </row>
    <row r="16" spans="1:18">
      <c r="A16" s="58" t="s">
        <v>333</v>
      </c>
      <c r="B16" s="149" t="e">
        <f>(#REF!+#REF!+#REF!+#REF!)/1000</f>
        <v>#REF!</v>
      </c>
      <c r="C16" s="22"/>
      <c r="D16" s="22"/>
      <c r="E16" s="22"/>
      <c r="F16" s="22" t="e">
        <f t="shared" si="3"/>
        <v>#REF!</v>
      </c>
      <c r="G16" s="22" t="e">
        <f t="shared" si="3"/>
        <v>#REF!</v>
      </c>
      <c r="H16" s="22" t="e">
        <f t="shared" si="3"/>
        <v>#REF!</v>
      </c>
      <c r="I16" s="22" t="e">
        <f t="shared" si="3"/>
        <v>#REF!</v>
      </c>
      <c r="J16" s="22" t="e">
        <f t="shared" si="3"/>
        <v>#REF!</v>
      </c>
      <c r="K16" s="22" t="e">
        <f t="shared" si="3"/>
        <v>#REF!</v>
      </c>
      <c r="L16" s="22" t="e">
        <f t="shared" si="3"/>
        <v>#REF!</v>
      </c>
      <c r="M16" s="22" t="e">
        <f t="shared" si="3"/>
        <v>#REF!</v>
      </c>
      <c r="N16" s="22" t="e">
        <f t="shared" si="3"/>
        <v>#REF!</v>
      </c>
      <c r="O16" s="22" t="e">
        <f t="shared" si="3"/>
        <v>#REF!</v>
      </c>
      <c r="P16" s="22" t="e">
        <f t="shared" si="3"/>
        <v>#REF!</v>
      </c>
      <c r="Q16" s="28" t="e">
        <f t="shared" si="3"/>
        <v>#REF!</v>
      </c>
      <c r="R16" s="86" t="e">
        <f>SUM(C16:Q16)/B16</f>
        <v>#REF!</v>
      </c>
    </row>
    <row r="17" spans="1:18">
      <c r="A17" s="121" t="s">
        <v>331</v>
      </c>
      <c r="B17" s="149" t="e">
        <f>(#REF!+#REF!+#REF!+#REF!)*0.8/1000</f>
        <v>#REF!</v>
      </c>
      <c r="C17" s="123"/>
      <c r="D17" s="123"/>
      <c r="E17" s="123"/>
      <c r="F17" s="22" t="e">
        <f t="shared" si="3"/>
        <v>#REF!</v>
      </c>
      <c r="G17" s="22" t="e">
        <f t="shared" si="3"/>
        <v>#REF!</v>
      </c>
      <c r="H17" s="22" t="e">
        <f t="shared" si="3"/>
        <v>#REF!</v>
      </c>
      <c r="I17" s="22" t="e">
        <f t="shared" si="3"/>
        <v>#REF!</v>
      </c>
      <c r="J17" s="22" t="e">
        <f t="shared" si="3"/>
        <v>#REF!</v>
      </c>
      <c r="K17" s="22" t="e">
        <f t="shared" si="3"/>
        <v>#REF!</v>
      </c>
      <c r="L17" s="22" t="e">
        <f t="shared" si="3"/>
        <v>#REF!</v>
      </c>
      <c r="M17" s="22" t="e">
        <f t="shared" si="3"/>
        <v>#REF!</v>
      </c>
      <c r="N17" s="22" t="e">
        <f t="shared" si="3"/>
        <v>#REF!</v>
      </c>
      <c r="O17" s="22" t="e">
        <f t="shared" si="3"/>
        <v>#REF!</v>
      </c>
      <c r="P17" s="22" t="e">
        <f t="shared" si="3"/>
        <v>#REF!</v>
      </c>
      <c r="Q17" s="28" t="e">
        <f t="shared" si="3"/>
        <v>#REF!</v>
      </c>
      <c r="R17" s="86" t="e">
        <f>SUM(C17:Q17)/B17</f>
        <v>#REF!</v>
      </c>
    </row>
    <row r="18" spans="1:18">
      <c r="A18" s="121" t="s">
        <v>332</v>
      </c>
      <c r="B18" s="149" t="e">
        <f>(#REF!+#REF!+#REF!+#REF!)*0.2/1000</f>
        <v>#REF!</v>
      </c>
      <c r="C18" s="123"/>
      <c r="D18" s="123"/>
      <c r="E18" s="123"/>
      <c r="F18" s="22" t="e">
        <f t="shared" si="3"/>
        <v>#REF!</v>
      </c>
      <c r="G18" s="22" t="e">
        <f t="shared" si="3"/>
        <v>#REF!</v>
      </c>
      <c r="H18" s="22" t="e">
        <f t="shared" si="3"/>
        <v>#REF!</v>
      </c>
      <c r="I18" s="22" t="e">
        <f t="shared" si="3"/>
        <v>#REF!</v>
      </c>
      <c r="J18" s="22" t="e">
        <f t="shared" si="3"/>
        <v>#REF!</v>
      </c>
      <c r="K18" s="22" t="e">
        <f t="shared" si="3"/>
        <v>#REF!</v>
      </c>
      <c r="L18" s="22" t="e">
        <f t="shared" si="3"/>
        <v>#REF!</v>
      </c>
      <c r="M18" s="22" t="e">
        <f t="shared" si="3"/>
        <v>#REF!</v>
      </c>
      <c r="N18" s="22" t="e">
        <f t="shared" si="3"/>
        <v>#REF!</v>
      </c>
      <c r="O18" s="22" t="e">
        <f t="shared" si="3"/>
        <v>#REF!</v>
      </c>
      <c r="P18" s="22" t="e">
        <f t="shared" si="3"/>
        <v>#REF!</v>
      </c>
      <c r="Q18" s="28" t="e">
        <f t="shared" si="3"/>
        <v>#REF!</v>
      </c>
      <c r="R18" s="86" t="e">
        <f>SUM(C18:Q18)/B18</f>
        <v>#REF!</v>
      </c>
    </row>
    <row r="19" spans="1:18">
      <c r="A19" s="121" t="s">
        <v>340</v>
      </c>
      <c r="B19" s="149" t="e">
        <f>(#REF!+#REF!+#REF!+#REF!)/1000</f>
        <v>#REF!</v>
      </c>
      <c r="C19" s="123"/>
      <c r="D19" s="123"/>
      <c r="E19" s="123"/>
      <c r="F19" s="22" t="e">
        <f t="shared" si="3"/>
        <v>#REF!</v>
      </c>
      <c r="G19" s="22" t="e">
        <f t="shared" si="3"/>
        <v>#REF!</v>
      </c>
      <c r="H19" s="22" t="e">
        <f t="shared" si="3"/>
        <v>#REF!</v>
      </c>
      <c r="I19" s="22" t="e">
        <f t="shared" si="3"/>
        <v>#REF!</v>
      </c>
      <c r="J19" s="22" t="e">
        <f t="shared" si="3"/>
        <v>#REF!</v>
      </c>
      <c r="K19" s="22" t="e">
        <f t="shared" si="3"/>
        <v>#REF!</v>
      </c>
      <c r="L19" s="22" t="e">
        <f t="shared" si="3"/>
        <v>#REF!</v>
      </c>
      <c r="M19" s="22" t="e">
        <f t="shared" si="3"/>
        <v>#REF!</v>
      </c>
      <c r="N19" s="22" t="e">
        <f t="shared" si="3"/>
        <v>#REF!</v>
      </c>
      <c r="O19" s="22" t="e">
        <f t="shared" si="3"/>
        <v>#REF!</v>
      </c>
      <c r="P19" s="22" t="e">
        <f t="shared" si="3"/>
        <v>#REF!</v>
      </c>
      <c r="Q19" s="28" t="e">
        <f t="shared" si="3"/>
        <v>#REF!</v>
      </c>
      <c r="R19" s="86" t="e">
        <f>SUM(C19:Q19)/B19</f>
        <v>#REF!</v>
      </c>
    </row>
    <row r="20" spans="1:18">
      <c r="A20" s="148" t="s">
        <v>336</v>
      </c>
      <c r="B20" s="151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45"/>
    </row>
    <row r="21" spans="1:18">
      <c r="A21" s="58" t="s">
        <v>260</v>
      </c>
      <c r="B21" s="149" t="e">
        <f>#REF!+SUM(#REF!)+#REF!+SUM(#REF!)</f>
        <v>#REF!</v>
      </c>
      <c r="C21" s="22"/>
      <c r="D21" s="22"/>
      <c r="E21" s="22"/>
      <c r="F21" s="22" t="e">
        <f t="shared" ref="F21:Q25" si="4">$B21/12</f>
        <v>#REF!</v>
      </c>
      <c r="G21" s="22" t="e">
        <f t="shared" si="4"/>
        <v>#REF!</v>
      </c>
      <c r="H21" s="22" t="e">
        <f t="shared" si="4"/>
        <v>#REF!</v>
      </c>
      <c r="I21" s="22" t="e">
        <f t="shared" si="4"/>
        <v>#REF!</v>
      </c>
      <c r="J21" s="22" t="e">
        <f t="shared" si="4"/>
        <v>#REF!</v>
      </c>
      <c r="K21" s="22" t="e">
        <f t="shared" si="4"/>
        <v>#REF!</v>
      </c>
      <c r="L21" s="22" t="e">
        <f t="shared" si="4"/>
        <v>#REF!</v>
      </c>
      <c r="M21" s="22" t="e">
        <f t="shared" si="4"/>
        <v>#REF!</v>
      </c>
      <c r="N21" s="22" t="e">
        <f t="shared" si="4"/>
        <v>#REF!</v>
      </c>
      <c r="O21" s="22" t="e">
        <f t="shared" si="4"/>
        <v>#REF!</v>
      </c>
      <c r="P21" s="22" t="e">
        <f t="shared" si="4"/>
        <v>#REF!</v>
      </c>
      <c r="Q21" s="28" t="e">
        <f t="shared" si="4"/>
        <v>#REF!</v>
      </c>
      <c r="R21" s="86" t="e">
        <f>SUM(C21:Q21)/B21</f>
        <v>#REF!</v>
      </c>
    </row>
    <row r="22" spans="1:18">
      <c r="A22" s="58" t="s">
        <v>333</v>
      </c>
      <c r="B22" s="149" t="e">
        <f>(#REF!+SUM(#REF!)+#REF!+SUM(#REF!))/1000</f>
        <v>#REF!</v>
      </c>
      <c r="C22" s="22"/>
      <c r="D22" s="22"/>
      <c r="E22" s="22"/>
      <c r="F22" s="22" t="e">
        <f t="shared" si="4"/>
        <v>#REF!</v>
      </c>
      <c r="G22" s="22" t="e">
        <f t="shared" si="4"/>
        <v>#REF!</v>
      </c>
      <c r="H22" s="22" t="e">
        <f t="shared" si="4"/>
        <v>#REF!</v>
      </c>
      <c r="I22" s="22" t="e">
        <f t="shared" si="4"/>
        <v>#REF!</v>
      </c>
      <c r="J22" s="22" t="e">
        <f t="shared" si="4"/>
        <v>#REF!</v>
      </c>
      <c r="K22" s="22" t="e">
        <f t="shared" si="4"/>
        <v>#REF!</v>
      </c>
      <c r="L22" s="22" t="e">
        <f t="shared" si="4"/>
        <v>#REF!</v>
      </c>
      <c r="M22" s="22" t="e">
        <f t="shared" si="4"/>
        <v>#REF!</v>
      </c>
      <c r="N22" s="22" t="e">
        <f t="shared" si="4"/>
        <v>#REF!</v>
      </c>
      <c r="O22" s="22" t="e">
        <f t="shared" si="4"/>
        <v>#REF!</v>
      </c>
      <c r="P22" s="22" t="e">
        <f t="shared" si="4"/>
        <v>#REF!</v>
      </c>
      <c r="Q22" s="28" t="e">
        <f t="shared" si="4"/>
        <v>#REF!</v>
      </c>
      <c r="R22" s="86" t="e">
        <f>SUM(C22:Q22)/B22</f>
        <v>#REF!</v>
      </c>
    </row>
    <row r="23" spans="1:18">
      <c r="A23" s="121" t="s">
        <v>331</v>
      </c>
      <c r="B23" s="149" t="e">
        <f>(#REF!+SUM(#REF!)+#REF!+SUM(#REF!))*0.8/1000</f>
        <v>#REF!</v>
      </c>
      <c r="C23" s="22"/>
      <c r="D23" s="123"/>
      <c r="E23" s="123"/>
      <c r="F23" s="22" t="e">
        <f t="shared" si="4"/>
        <v>#REF!</v>
      </c>
      <c r="G23" s="22" t="e">
        <f t="shared" si="4"/>
        <v>#REF!</v>
      </c>
      <c r="H23" s="22" t="e">
        <f t="shared" si="4"/>
        <v>#REF!</v>
      </c>
      <c r="I23" s="22" t="e">
        <f t="shared" si="4"/>
        <v>#REF!</v>
      </c>
      <c r="J23" s="22" t="e">
        <f t="shared" si="4"/>
        <v>#REF!</v>
      </c>
      <c r="K23" s="22" t="e">
        <f t="shared" si="4"/>
        <v>#REF!</v>
      </c>
      <c r="L23" s="22" t="e">
        <f t="shared" si="4"/>
        <v>#REF!</v>
      </c>
      <c r="M23" s="22" t="e">
        <f t="shared" si="4"/>
        <v>#REF!</v>
      </c>
      <c r="N23" s="22" t="e">
        <f t="shared" si="4"/>
        <v>#REF!</v>
      </c>
      <c r="O23" s="22" t="e">
        <f t="shared" si="4"/>
        <v>#REF!</v>
      </c>
      <c r="P23" s="22" t="e">
        <f t="shared" si="4"/>
        <v>#REF!</v>
      </c>
      <c r="Q23" s="28" t="e">
        <f t="shared" si="4"/>
        <v>#REF!</v>
      </c>
      <c r="R23" s="86" t="e">
        <f>SUM(C23:Q23)/B23</f>
        <v>#REF!</v>
      </c>
    </row>
    <row r="24" spans="1:18">
      <c r="A24" s="121" t="s">
        <v>332</v>
      </c>
      <c r="B24" s="149" t="e">
        <f>(#REF!+SUM(#REF!)+#REF!+SUM(#REF!))*0.2/1000</f>
        <v>#REF!</v>
      </c>
      <c r="C24" s="22"/>
      <c r="D24" s="123"/>
      <c r="E24" s="123"/>
      <c r="F24" s="22" t="e">
        <f t="shared" si="4"/>
        <v>#REF!</v>
      </c>
      <c r="G24" s="22" t="e">
        <f t="shared" si="4"/>
        <v>#REF!</v>
      </c>
      <c r="H24" s="22" t="e">
        <f t="shared" si="4"/>
        <v>#REF!</v>
      </c>
      <c r="I24" s="22" t="e">
        <f t="shared" si="4"/>
        <v>#REF!</v>
      </c>
      <c r="J24" s="22" t="e">
        <f t="shared" si="4"/>
        <v>#REF!</v>
      </c>
      <c r="K24" s="22" t="e">
        <f t="shared" si="4"/>
        <v>#REF!</v>
      </c>
      <c r="L24" s="22" t="e">
        <f t="shared" si="4"/>
        <v>#REF!</v>
      </c>
      <c r="M24" s="22" t="e">
        <f t="shared" si="4"/>
        <v>#REF!</v>
      </c>
      <c r="N24" s="22" t="e">
        <f t="shared" si="4"/>
        <v>#REF!</v>
      </c>
      <c r="O24" s="22" t="e">
        <f t="shared" si="4"/>
        <v>#REF!</v>
      </c>
      <c r="P24" s="22" t="e">
        <f t="shared" si="4"/>
        <v>#REF!</v>
      </c>
      <c r="Q24" s="28" t="e">
        <f t="shared" si="4"/>
        <v>#REF!</v>
      </c>
      <c r="R24" s="86"/>
    </row>
    <row r="25" spans="1:18">
      <c r="A25" s="121" t="s">
        <v>340</v>
      </c>
      <c r="B25" s="149" t="e">
        <f>(#REF!+SUM(#REF!)+#REF!+SUM(#REF!))/1000</f>
        <v>#REF!</v>
      </c>
      <c r="C25" s="158"/>
      <c r="D25" s="12"/>
      <c r="E25" s="12"/>
      <c r="F25" s="22" t="e">
        <f t="shared" si="4"/>
        <v>#REF!</v>
      </c>
      <c r="G25" s="22" t="e">
        <f t="shared" si="4"/>
        <v>#REF!</v>
      </c>
      <c r="H25" s="22" t="e">
        <f t="shared" si="4"/>
        <v>#REF!</v>
      </c>
      <c r="I25" s="22" t="e">
        <f t="shared" si="4"/>
        <v>#REF!</v>
      </c>
      <c r="J25" s="22" t="e">
        <f t="shared" si="4"/>
        <v>#REF!</v>
      </c>
      <c r="K25" s="22" t="e">
        <f t="shared" si="4"/>
        <v>#REF!</v>
      </c>
      <c r="L25" s="22" t="e">
        <f t="shared" si="4"/>
        <v>#REF!</v>
      </c>
      <c r="M25" s="22" t="e">
        <f t="shared" si="4"/>
        <v>#REF!</v>
      </c>
      <c r="N25" s="22" t="e">
        <f t="shared" si="4"/>
        <v>#REF!</v>
      </c>
      <c r="O25" s="22" t="e">
        <f t="shared" si="4"/>
        <v>#REF!</v>
      </c>
      <c r="P25" s="22" t="e">
        <f t="shared" si="4"/>
        <v>#REF!</v>
      </c>
      <c r="Q25" s="28" t="e">
        <f t="shared" si="4"/>
        <v>#REF!</v>
      </c>
      <c r="R25" s="86" t="e">
        <f>SUM(C25:Q25)/B25</f>
        <v>#REF!</v>
      </c>
    </row>
    <row r="26" spans="1:18">
      <c r="A26" s="157" t="s">
        <v>337</v>
      </c>
      <c r="B26" s="155"/>
      <c r="C26" s="134"/>
      <c r="D26" s="109"/>
      <c r="E26" s="109"/>
      <c r="F26" s="109"/>
      <c r="G26" s="109"/>
      <c r="H26" s="109"/>
      <c r="I26" s="109"/>
      <c r="J26" s="109"/>
      <c r="K26" s="109"/>
      <c r="L26" s="109"/>
      <c r="M26" s="109"/>
      <c r="N26" s="109"/>
      <c r="O26" s="109"/>
      <c r="P26" s="109"/>
      <c r="Q26" s="133"/>
    </row>
    <row r="27" spans="1:18">
      <c r="A27" s="144" t="s">
        <v>260</v>
      </c>
      <c r="B27" s="153" t="e">
        <f>SUM(#REF!)+SUM('Single-Family Existing'!#REF!)</f>
        <v>#REF!</v>
      </c>
      <c r="C27" s="108"/>
      <c r="D27" s="108"/>
      <c r="E27" s="108"/>
      <c r="F27" s="108" t="e">
        <f t="shared" ref="F27:Q31" si="5">$B27/12</f>
        <v>#REF!</v>
      </c>
      <c r="G27" s="108" t="e">
        <f t="shared" si="5"/>
        <v>#REF!</v>
      </c>
      <c r="H27" s="108" t="e">
        <f t="shared" si="5"/>
        <v>#REF!</v>
      </c>
      <c r="I27" s="108" t="e">
        <f t="shared" si="5"/>
        <v>#REF!</v>
      </c>
      <c r="J27" s="108" t="e">
        <f t="shared" si="5"/>
        <v>#REF!</v>
      </c>
      <c r="K27" s="108" t="e">
        <f t="shared" si="5"/>
        <v>#REF!</v>
      </c>
      <c r="L27" s="108" t="e">
        <f t="shared" si="5"/>
        <v>#REF!</v>
      </c>
      <c r="M27" s="108" t="e">
        <f t="shared" si="5"/>
        <v>#REF!</v>
      </c>
      <c r="N27" s="108" t="e">
        <f t="shared" si="5"/>
        <v>#REF!</v>
      </c>
      <c r="O27" s="108" t="e">
        <f t="shared" si="5"/>
        <v>#REF!</v>
      </c>
      <c r="P27" s="108" t="e">
        <f t="shared" si="5"/>
        <v>#REF!</v>
      </c>
      <c r="Q27" s="112" t="e">
        <f t="shared" si="5"/>
        <v>#REF!</v>
      </c>
      <c r="R27" s="86" t="e">
        <f>SUM(C27:Q27)/B27</f>
        <v>#REF!</v>
      </c>
    </row>
    <row r="28" spans="1:18">
      <c r="A28" s="144" t="s">
        <v>333</v>
      </c>
      <c r="B28" s="153" t="e">
        <f>(SUM(#REF!)+SUM('Single-Family Existing'!#REF!))/1000</f>
        <v>#REF!</v>
      </c>
      <c r="C28" s="108"/>
      <c r="D28" s="108"/>
      <c r="E28" s="108"/>
      <c r="F28" s="108" t="e">
        <f t="shared" si="5"/>
        <v>#REF!</v>
      </c>
      <c r="G28" s="108" t="e">
        <f t="shared" si="5"/>
        <v>#REF!</v>
      </c>
      <c r="H28" s="108" t="e">
        <f t="shared" si="5"/>
        <v>#REF!</v>
      </c>
      <c r="I28" s="108" t="e">
        <f t="shared" si="5"/>
        <v>#REF!</v>
      </c>
      <c r="J28" s="108" t="e">
        <f t="shared" si="5"/>
        <v>#REF!</v>
      </c>
      <c r="K28" s="108" t="e">
        <f t="shared" si="5"/>
        <v>#REF!</v>
      </c>
      <c r="L28" s="108" t="e">
        <f t="shared" si="5"/>
        <v>#REF!</v>
      </c>
      <c r="M28" s="108" t="e">
        <f t="shared" si="5"/>
        <v>#REF!</v>
      </c>
      <c r="N28" s="108" t="e">
        <f t="shared" si="5"/>
        <v>#REF!</v>
      </c>
      <c r="O28" s="108" t="e">
        <f t="shared" si="5"/>
        <v>#REF!</v>
      </c>
      <c r="P28" s="108" t="e">
        <f t="shared" si="5"/>
        <v>#REF!</v>
      </c>
      <c r="Q28" s="112" t="e">
        <f t="shared" si="5"/>
        <v>#REF!</v>
      </c>
      <c r="R28" s="86" t="e">
        <f>SUM(C28:Q28)/B28</f>
        <v>#REF!</v>
      </c>
    </row>
    <row r="29" spans="1:18">
      <c r="A29" s="154" t="s">
        <v>331</v>
      </c>
      <c r="B29" s="153" t="e">
        <f>(SUM(#REF!)+SUM('Single-Family Existing'!#REF!))*0.8/1000</f>
        <v>#REF!</v>
      </c>
      <c r="C29" s="141"/>
      <c r="D29" s="141"/>
      <c r="E29" s="141"/>
      <c r="F29" s="108" t="e">
        <f t="shared" si="5"/>
        <v>#REF!</v>
      </c>
      <c r="G29" s="108" t="e">
        <f t="shared" si="5"/>
        <v>#REF!</v>
      </c>
      <c r="H29" s="108" t="e">
        <f t="shared" si="5"/>
        <v>#REF!</v>
      </c>
      <c r="I29" s="108" t="e">
        <f t="shared" si="5"/>
        <v>#REF!</v>
      </c>
      <c r="J29" s="108" t="e">
        <f t="shared" si="5"/>
        <v>#REF!</v>
      </c>
      <c r="K29" s="108" t="e">
        <f t="shared" si="5"/>
        <v>#REF!</v>
      </c>
      <c r="L29" s="108" t="e">
        <f t="shared" si="5"/>
        <v>#REF!</v>
      </c>
      <c r="M29" s="108" t="e">
        <f t="shared" si="5"/>
        <v>#REF!</v>
      </c>
      <c r="N29" s="108" t="e">
        <f t="shared" si="5"/>
        <v>#REF!</v>
      </c>
      <c r="O29" s="108" t="e">
        <f t="shared" si="5"/>
        <v>#REF!</v>
      </c>
      <c r="P29" s="108" t="e">
        <f t="shared" si="5"/>
        <v>#REF!</v>
      </c>
      <c r="Q29" s="112" t="e">
        <f t="shared" si="5"/>
        <v>#REF!</v>
      </c>
      <c r="R29" s="86" t="e">
        <f>SUM(C29:Q29)/B29</f>
        <v>#REF!</v>
      </c>
    </row>
    <row r="30" spans="1:18">
      <c r="A30" s="154" t="s">
        <v>332</v>
      </c>
      <c r="B30" s="153" t="e">
        <f>(SUM(#REF!)+SUM('Single-Family Existing'!#REF!))*0.2/1000</f>
        <v>#REF!</v>
      </c>
      <c r="C30" s="141"/>
      <c r="D30" s="141"/>
      <c r="E30" s="141"/>
      <c r="F30" s="108" t="e">
        <f t="shared" si="5"/>
        <v>#REF!</v>
      </c>
      <c r="G30" s="108" t="e">
        <f t="shared" si="5"/>
        <v>#REF!</v>
      </c>
      <c r="H30" s="108" t="e">
        <f t="shared" si="5"/>
        <v>#REF!</v>
      </c>
      <c r="I30" s="108" t="e">
        <f t="shared" si="5"/>
        <v>#REF!</v>
      </c>
      <c r="J30" s="108" t="e">
        <f t="shared" si="5"/>
        <v>#REF!</v>
      </c>
      <c r="K30" s="108" t="e">
        <f t="shared" si="5"/>
        <v>#REF!</v>
      </c>
      <c r="L30" s="108" t="e">
        <f t="shared" si="5"/>
        <v>#REF!</v>
      </c>
      <c r="M30" s="108" t="e">
        <f t="shared" si="5"/>
        <v>#REF!</v>
      </c>
      <c r="N30" s="108" t="e">
        <f t="shared" si="5"/>
        <v>#REF!</v>
      </c>
      <c r="O30" s="108" t="e">
        <f t="shared" si="5"/>
        <v>#REF!</v>
      </c>
      <c r="P30" s="108" t="e">
        <f t="shared" si="5"/>
        <v>#REF!</v>
      </c>
      <c r="Q30" s="112" t="e">
        <f t="shared" si="5"/>
        <v>#REF!</v>
      </c>
      <c r="R30" s="86" t="e">
        <f>SUM(C30:Q30)/B30</f>
        <v>#REF!</v>
      </c>
    </row>
    <row r="31" spans="1:18">
      <c r="A31" s="121" t="s">
        <v>340</v>
      </c>
      <c r="B31" s="153" t="e">
        <f>(SUM(#REF!)+SUM('Single-Family Existing'!#REF!))/1000</f>
        <v>#REF!</v>
      </c>
      <c r="C31" s="141"/>
      <c r="D31" s="141"/>
      <c r="E31" s="141"/>
      <c r="F31" s="22" t="e">
        <f t="shared" si="5"/>
        <v>#REF!</v>
      </c>
      <c r="G31" s="22" t="e">
        <f t="shared" si="5"/>
        <v>#REF!</v>
      </c>
      <c r="H31" s="22" t="e">
        <f t="shared" si="5"/>
        <v>#REF!</v>
      </c>
      <c r="I31" s="22" t="e">
        <f t="shared" si="5"/>
        <v>#REF!</v>
      </c>
      <c r="J31" s="22" t="e">
        <f t="shared" si="5"/>
        <v>#REF!</v>
      </c>
      <c r="K31" s="22" t="e">
        <f t="shared" si="5"/>
        <v>#REF!</v>
      </c>
      <c r="L31" s="22" t="e">
        <f t="shared" si="5"/>
        <v>#REF!</v>
      </c>
      <c r="M31" s="22" t="e">
        <f t="shared" si="5"/>
        <v>#REF!</v>
      </c>
      <c r="N31" s="22" t="e">
        <f t="shared" si="5"/>
        <v>#REF!</v>
      </c>
      <c r="O31" s="22" t="e">
        <f t="shared" si="5"/>
        <v>#REF!</v>
      </c>
      <c r="P31" s="22" t="e">
        <f t="shared" si="5"/>
        <v>#REF!</v>
      </c>
      <c r="Q31" s="28" t="e">
        <f t="shared" si="5"/>
        <v>#REF!</v>
      </c>
      <c r="R31" s="86" t="e">
        <f>SUM(C31:Q31)/B31</f>
        <v>#REF!</v>
      </c>
    </row>
    <row r="32" spans="1:18" s="109" customFormat="1">
      <c r="A32" s="157" t="s">
        <v>338</v>
      </c>
      <c r="B32" s="155"/>
      <c r="Q32" s="133"/>
      <c r="R32" s="156"/>
    </row>
    <row r="33" spans="1:18" s="109" customFormat="1">
      <c r="A33" s="144" t="s">
        <v>260</v>
      </c>
      <c r="B33" s="153" t="e">
        <f>#REF!+SUM('Single-Family Existing'!#REF!)</f>
        <v>#REF!</v>
      </c>
      <c r="C33" s="108"/>
      <c r="D33" s="108"/>
      <c r="E33" s="108"/>
      <c r="F33" s="108" t="e">
        <f t="shared" ref="F33:Q37" si="6">$B33/12</f>
        <v>#REF!</v>
      </c>
      <c r="G33" s="108" t="e">
        <f t="shared" si="6"/>
        <v>#REF!</v>
      </c>
      <c r="H33" s="108" t="e">
        <f t="shared" si="6"/>
        <v>#REF!</v>
      </c>
      <c r="I33" s="108" t="e">
        <f t="shared" si="6"/>
        <v>#REF!</v>
      </c>
      <c r="J33" s="108" t="e">
        <f t="shared" si="6"/>
        <v>#REF!</v>
      </c>
      <c r="K33" s="108" t="e">
        <f t="shared" si="6"/>
        <v>#REF!</v>
      </c>
      <c r="L33" s="108" t="e">
        <f t="shared" si="6"/>
        <v>#REF!</v>
      </c>
      <c r="M33" s="108" t="e">
        <f t="shared" si="6"/>
        <v>#REF!</v>
      </c>
      <c r="N33" s="108" t="e">
        <f t="shared" si="6"/>
        <v>#REF!</v>
      </c>
      <c r="O33" s="108" t="e">
        <f t="shared" si="6"/>
        <v>#REF!</v>
      </c>
      <c r="P33" s="108" t="e">
        <f t="shared" si="6"/>
        <v>#REF!</v>
      </c>
      <c r="Q33" s="112" t="e">
        <f t="shared" si="6"/>
        <v>#REF!</v>
      </c>
      <c r="R33" s="86" t="e">
        <f>SUM(C33:Q33)/B33</f>
        <v>#REF!</v>
      </c>
    </row>
    <row r="34" spans="1:18" s="109" customFormat="1">
      <c r="A34" s="144" t="s">
        <v>333</v>
      </c>
      <c r="B34" s="153" t="e">
        <f>(#REF!+SUM('Single-Family Existing'!#REF!))/1000</f>
        <v>#REF!</v>
      </c>
      <c r="C34" s="108"/>
      <c r="D34" s="108"/>
      <c r="E34" s="108"/>
      <c r="F34" s="108" t="e">
        <f t="shared" si="6"/>
        <v>#REF!</v>
      </c>
      <c r="G34" s="108" t="e">
        <f t="shared" si="6"/>
        <v>#REF!</v>
      </c>
      <c r="H34" s="108" t="e">
        <f t="shared" si="6"/>
        <v>#REF!</v>
      </c>
      <c r="I34" s="108" t="e">
        <f t="shared" si="6"/>
        <v>#REF!</v>
      </c>
      <c r="J34" s="108" t="e">
        <f t="shared" si="6"/>
        <v>#REF!</v>
      </c>
      <c r="K34" s="108" t="e">
        <f t="shared" si="6"/>
        <v>#REF!</v>
      </c>
      <c r="L34" s="108" t="e">
        <f t="shared" si="6"/>
        <v>#REF!</v>
      </c>
      <c r="M34" s="108" t="e">
        <f t="shared" si="6"/>
        <v>#REF!</v>
      </c>
      <c r="N34" s="108" t="e">
        <f t="shared" si="6"/>
        <v>#REF!</v>
      </c>
      <c r="O34" s="108" t="e">
        <f t="shared" si="6"/>
        <v>#REF!</v>
      </c>
      <c r="P34" s="108" t="e">
        <f t="shared" si="6"/>
        <v>#REF!</v>
      </c>
      <c r="Q34" s="112" t="e">
        <f t="shared" si="6"/>
        <v>#REF!</v>
      </c>
      <c r="R34" s="86" t="e">
        <f>SUM(C34:Q34)/B34</f>
        <v>#REF!</v>
      </c>
    </row>
    <row r="35" spans="1:18" s="109" customFormat="1">
      <c r="A35" s="154" t="s">
        <v>331</v>
      </c>
      <c r="B35" s="153" t="e">
        <f>(#REF!+SUM('Single-Family Existing'!#REF!))*0.8/1000</f>
        <v>#REF!</v>
      </c>
      <c r="C35" s="141"/>
      <c r="D35" s="141"/>
      <c r="E35" s="141"/>
      <c r="F35" s="108" t="e">
        <f t="shared" si="6"/>
        <v>#REF!</v>
      </c>
      <c r="G35" s="108" t="e">
        <f t="shared" si="6"/>
        <v>#REF!</v>
      </c>
      <c r="H35" s="108" t="e">
        <f t="shared" si="6"/>
        <v>#REF!</v>
      </c>
      <c r="I35" s="108" t="e">
        <f t="shared" si="6"/>
        <v>#REF!</v>
      </c>
      <c r="J35" s="108" t="e">
        <f t="shared" si="6"/>
        <v>#REF!</v>
      </c>
      <c r="K35" s="108" t="e">
        <f t="shared" si="6"/>
        <v>#REF!</v>
      </c>
      <c r="L35" s="108" t="e">
        <f t="shared" si="6"/>
        <v>#REF!</v>
      </c>
      <c r="M35" s="108" t="e">
        <f t="shared" si="6"/>
        <v>#REF!</v>
      </c>
      <c r="N35" s="108" t="e">
        <f t="shared" si="6"/>
        <v>#REF!</v>
      </c>
      <c r="O35" s="108" t="e">
        <f t="shared" si="6"/>
        <v>#REF!</v>
      </c>
      <c r="P35" s="108" t="e">
        <f t="shared" si="6"/>
        <v>#REF!</v>
      </c>
      <c r="Q35" s="112" t="e">
        <f t="shared" si="6"/>
        <v>#REF!</v>
      </c>
      <c r="R35" s="86" t="e">
        <f>SUM(C35:Q35)/B35</f>
        <v>#REF!</v>
      </c>
    </row>
    <row r="36" spans="1:18" s="109" customFormat="1">
      <c r="A36" s="154" t="s">
        <v>332</v>
      </c>
      <c r="B36" s="153" t="e">
        <f>(#REF!+SUM('Single-Family Existing'!#REF!))*0.2/1000</f>
        <v>#REF!</v>
      </c>
      <c r="C36" s="141"/>
      <c r="D36" s="141"/>
      <c r="E36" s="141"/>
      <c r="F36" s="108" t="e">
        <f t="shared" si="6"/>
        <v>#REF!</v>
      </c>
      <c r="G36" s="108" t="e">
        <f t="shared" si="6"/>
        <v>#REF!</v>
      </c>
      <c r="H36" s="108" t="e">
        <f t="shared" si="6"/>
        <v>#REF!</v>
      </c>
      <c r="I36" s="108" t="e">
        <f t="shared" si="6"/>
        <v>#REF!</v>
      </c>
      <c r="J36" s="108" t="e">
        <f t="shared" si="6"/>
        <v>#REF!</v>
      </c>
      <c r="K36" s="108" t="e">
        <f t="shared" si="6"/>
        <v>#REF!</v>
      </c>
      <c r="L36" s="108" t="e">
        <f t="shared" si="6"/>
        <v>#REF!</v>
      </c>
      <c r="M36" s="108" t="e">
        <f t="shared" si="6"/>
        <v>#REF!</v>
      </c>
      <c r="N36" s="108" t="e">
        <f t="shared" si="6"/>
        <v>#REF!</v>
      </c>
      <c r="O36" s="108" t="e">
        <f t="shared" si="6"/>
        <v>#REF!</v>
      </c>
      <c r="P36" s="108" t="e">
        <f t="shared" si="6"/>
        <v>#REF!</v>
      </c>
      <c r="Q36" s="112" t="e">
        <f t="shared" si="6"/>
        <v>#REF!</v>
      </c>
      <c r="R36" s="86"/>
    </row>
    <row r="37" spans="1:18" s="109" customFormat="1">
      <c r="A37" s="121" t="s">
        <v>340</v>
      </c>
      <c r="B37" s="153" t="e">
        <f>(#REF!+SUM('Single-Family Existing'!#REF!))/1000</f>
        <v>#REF!</v>
      </c>
      <c r="C37" s="141"/>
      <c r="D37" s="141"/>
      <c r="E37" s="141"/>
      <c r="F37" s="22" t="e">
        <f t="shared" si="6"/>
        <v>#REF!</v>
      </c>
      <c r="G37" s="22" t="e">
        <f t="shared" si="6"/>
        <v>#REF!</v>
      </c>
      <c r="H37" s="22" t="e">
        <f t="shared" si="6"/>
        <v>#REF!</v>
      </c>
      <c r="I37" s="22" t="e">
        <f t="shared" si="6"/>
        <v>#REF!</v>
      </c>
      <c r="J37" s="22" t="e">
        <f t="shared" si="6"/>
        <v>#REF!</v>
      </c>
      <c r="K37" s="22" t="e">
        <f t="shared" si="6"/>
        <v>#REF!</v>
      </c>
      <c r="L37" s="22" t="e">
        <f t="shared" si="6"/>
        <v>#REF!</v>
      </c>
      <c r="M37" s="22" t="e">
        <f t="shared" si="6"/>
        <v>#REF!</v>
      </c>
      <c r="N37" s="22" t="e">
        <f t="shared" si="6"/>
        <v>#REF!</v>
      </c>
      <c r="O37" s="22" t="e">
        <f t="shared" si="6"/>
        <v>#REF!</v>
      </c>
      <c r="P37" s="22" t="e">
        <f t="shared" si="6"/>
        <v>#REF!</v>
      </c>
      <c r="Q37" s="28" t="e">
        <f t="shared" si="6"/>
        <v>#REF!</v>
      </c>
      <c r="R37" s="86" t="e">
        <f>SUM(C37:Q37)/B37</f>
        <v>#REF!</v>
      </c>
    </row>
    <row r="38" spans="1:18" s="109" customFormat="1">
      <c r="A38" s="157" t="s">
        <v>276</v>
      </c>
      <c r="B38" s="155"/>
      <c r="C38" s="134"/>
      <c r="Q38" s="133"/>
      <c r="R38" s="156"/>
    </row>
    <row r="39" spans="1:18" s="109" customFormat="1">
      <c r="A39" s="144" t="s">
        <v>260</v>
      </c>
      <c r="B39" s="153" t="e">
        <f>#REF!+#REF!</f>
        <v>#REF!</v>
      </c>
      <c r="C39" s="108"/>
      <c r="D39" s="108"/>
      <c r="E39" s="108"/>
      <c r="F39" s="108" t="e">
        <f t="shared" ref="F39:Q43" si="7">$B39/12</f>
        <v>#REF!</v>
      </c>
      <c r="G39" s="108" t="e">
        <f t="shared" si="7"/>
        <v>#REF!</v>
      </c>
      <c r="H39" s="108" t="e">
        <f t="shared" si="7"/>
        <v>#REF!</v>
      </c>
      <c r="I39" s="108" t="e">
        <f t="shared" si="7"/>
        <v>#REF!</v>
      </c>
      <c r="J39" s="108" t="e">
        <f t="shared" si="7"/>
        <v>#REF!</v>
      </c>
      <c r="K39" s="108" t="e">
        <f t="shared" si="7"/>
        <v>#REF!</v>
      </c>
      <c r="L39" s="108" t="e">
        <f t="shared" si="7"/>
        <v>#REF!</v>
      </c>
      <c r="M39" s="108" t="e">
        <f t="shared" si="7"/>
        <v>#REF!</v>
      </c>
      <c r="N39" s="108" t="e">
        <f t="shared" si="7"/>
        <v>#REF!</v>
      </c>
      <c r="O39" s="108" t="e">
        <f t="shared" si="7"/>
        <v>#REF!</v>
      </c>
      <c r="P39" s="108" t="e">
        <f t="shared" si="7"/>
        <v>#REF!</v>
      </c>
      <c r="Q39" s="112" t="e">
        <f t="shared" si="7"/>
        <v>#REF!</v>
      </c>
      <c r="R39" s="86" t="e">
        <f>SUM(C39:Q39)/B39</f>
        <v>#REF!</v>
      </c>
    </row>
    <row r="40" spans="1:18" s="109" customFormat="1">
      <c r="A40" s="144" t="s">
        <v>333</v>
      </c>
      <c r="B40" s="153" t="e">
        <f>(#REF!+#REF!)</f>
        <v>#REF!</v>
      </c>
      <c r="C40" s="108"/>
      <c r="D40" s="108"/>
      <c r="E40" s="108"/>
      <c r="F40" s="108" t="e">
        <f t="shared" si="7"/>
        <v>#REF!</v>
      </c>
      <c r="G40" s="108" t="e">
        <f t="shared" si="7"/>
        <v>#REF!</v>
      </c>
      <c r="H40" s="108" t="e">
        <f t="shared" si="7"/>
        <v>#REF!</v>
      </c>
      <c r="I40" s="108" t="e">
        <f t="shared" si="7"/>
        <v>#REF!</v>
      </c>
      <c r="J40" s="108" t="e">
        <f t="shared" si="7"/>
        <v>#REF!</v>
      </c>
      <c r="K40" s="108" t="e">
        <f t="shared" si="7"/>
        <v>#REF!</v>
      </c>
      <c r="L40" s="108" t="e">
        <f t="shared" si="7"/>
        <v>#REF!</v>
      </c>
      <c r="M40" s="108" t="e">
        <f t="shared" si="7"/>
        <v>#REF!</v>
      </c>
      <c r="N40" s="108" t="e">
        <f t="shared" si="7"/>
        <v>#REF!</v>
      </c>
      <c r="O40" s="108" t="e">
        <f t="shared" si="7"/>
        <v>#REF!</v>
      </c>
      <c r="P40" s="108" t="e">
        <f t="shared" si="7"/>
        <v>#REF!</v>
      </c>
      <c r="Q40" s="112" t="e">
        <f t="shared" si="7"/>
        <v>#REF!</v>
      </c>
      <c r="R40" s="86" t="e">
        <f>SUM(C40:Q40)/B40</f>
        <v>#REF!</v>
      </c>
    </row>
    <row r="41" spans="1:18" s="109" customFormat="1">
      <c r="A41" s="154" t="s">
        <v>331</v>
      </c>
      <c r="B41" s="153" t="e">
        <f>(#REF!+#REF!)*0.8/1000</f>
        <v>#REF!</v>
      </c>
      <c r="C41" s="141"/>
      <c r="D41" s="141"/>
      <c r="E41" s="141"/>
      <c r="F41" s="108" t="e">
        <f t="shared" si="7"/>
        <v>#REF!</v>
      </c>
      <c r="G41" s="108" t="e">
        <f t="shared" si="7"/>
        <v>#REF!</v>
      </c>
      <c r="H41" s="108" t="e">
        <f t="shared" si="7"/>
        <v>#REF!</v>
      </c>
      <c r="I41" s="108" t="e">
        <f t="shared" si="7"/>
        <v>#REF!</v>
      </c>
      <c r="J41" s="108" t="e">
        <f t="shared" si="7"/>
        <v>#REF!</v>
      </c>
      <c r="K41" s="108" t="e">
        <f t="shared" si="7"/>
        <v>#REF!</v>
      </c>
      <c r="L41" s="108" t="e">
        <f t="shared" si="7"/>
        <v>#REF!</v>
      </c>
      <c r="M41" s="108" t="e">
        <f t="shared" si="7"/>
        <v>#REF!</v>
      </c>
      <c r="N41" s="108" t="e">
        <f t="shared" si="7"/>
        <v>#REF!</v>
      </c>
      <c r="O41" s="108" t="e">
        <f t="shared" si="7"/>
        <v>#REF!</v>
      </c>
      <c r="P41" s="108" t="e">
        <f t="shared" si="7"/>
        <v>#REF!</v>
      </c>
      <c r="Q41" s="112" t="e">
        <f t="shared" si="7"/>
        <v>#REF!</v>
      </c>
      <c r="R41" s="86" t="e">
        <f>SUM(C41:Q41)/B41</f>
        <v>#REF!</v>
      </c>
    </row>
    <row r="42" spans="1:18" s="109" customFormat="1">
      <c r="A42" s="154" t="s">
        <v>332</v>
      </c>
      <c r="B42" s="153" t="e">
        <f>(#REF!+#REF!)*0.2/1000</f>
        <v>#REF!</v>
      </c>
      <c r="C42" s="141"/>
      <c r="D42" s="141"/>
      <c r="E42" s="141"/>
      <c r="F42" s="108" t="e">
        <f t="shared" si="7"/>
        <v>#REF!</v>
      </c>
      <c r="G42" s="108" t="e">
        <f t="shared" si="7"/>
        <v>#REF!</v>
      </c>
      <c r="H42" s="108" t="e">
        <f t="shared" si="7"/>
        <v>#REF!</v>
      </c>
      <c r="I42" s="108" t="e">
        <f t="shared" si="7"/>
        <v>#REF!</v>
      </c>
      <c r="J42" s="108" t="e">
        <f t="shared" si="7"/>
        <v>#REF!</v>
      </c>
      <c r="K42" s="108" t="e">
        <f t="shared" si="7"/>
        <v>#REF!</v>
      </c>
      <c r="L42" s="108" t="e">
        <f t="shared" si="7"/>
        <v>#REF!</v>
      </c>
      <c r="M42" s="108" t="e">
        <f t="shared" si="7"/>
        <v>#REF!</v>
      </c>
      <c r="N42" s="108" t="e">
        <f t="shared" si="7"/>
        <v>#REF!</v>
      </c>
      <c r="O42" s="108" t="e">
        <f t="shared" si="7"/>
        <v>#REF!</v>
      </c>
      <c r="P42" s="108" t="e">
        <f t="shared" si="7"/>
        <v>#REF!</v>
      </c>
      <c r="Q42" s="112" t="e">
        <f t="shared" si="7"/>
        <v>#REF!</v>
      </c>
      <c r="R42" s="86" t="e">
        <f>SUM(C42:Q42)/B42</f>
        <v>#REF!</v>
      </c>
    </row>
    <row r="43" spans="1:18" s="109" customFormat="1">
      <c r="A43" s="121" t="s">
        <v>340</v>
      </c>
      <c r="B43" s="153" t="e">
        <f>(SUM(#REF!)+SUM(#REF!)+SUM(#REF!)+SUM('Single-Family Existing'!#REF!))/1000</f>
        <v>#REF!</v>
      </c>
      <c r="C43" s="141"/>
      <c r="D43" s="141"/>
      <c r="E43" s="141"/>
      <c r="F43" s="22" t="e">
        <f t="shared" si="7"/>
        <v>#REF!</v>
      </c>
      <c r="G43" s="22" t="e">
        <f t="shared" si="7"/>
        <v>#REF!</v>
      </c>
      <c r="H43" s="22" t="e">
        <f t="shared" si="7"/>
        <v>#REF!</v>
      </c>
      <c r="I43" s="22" t="e">
        <f t="shared" si="7"/>
        <v>#REF!</v>
      </c>
      <c r="J43" s="22" t="e">
        <f t="shared" si="7"/>
        <v>#REF!</v>
      </c>
      <c r="K43" s="22" t="e">
        <f t="shared" si="7"/>
        <v>#REF!</v>
      </c>
      <c r="L43" s="22" t="e">
        <f t="shared" si="7"/>
        <v>#REF!</v>
      </c>
      <c r="M43" s="22" t="e">
        <f t="shared" si="7"/>
        <v>#REF!</v>
      </c>
      <c r="N43" s="22" t="e">
        <f t="shared" si="7"/>
        <v>#REF!</v>
      </c>
      <c r="O43" s="22" t="e">
        <f t="shared" si="7"/>
        <v>#REF!</v>
      </c>
      <c r="P43" s="22" t="e">
        <f t="shared" si="7"/>
        <v>#REF!</v>
      </c>
      <c r="Q43" s="28" t="e">
        <f t="shared" si="7"/>
        <v>#REF!</v>
      </c>
      <c r="R43" s="86" t="e">
        <f>SUM(C43:Q43)/B43</f>
        <v>#REF!</v>
      </c>
    </row>
    <row r="44" spans="1:18" s="109" customFormat="1">
      <c r="A44" s="157" t="s">
        <v>278</v>
      </c>
      <c r="B44" s="155"/>
      <c r="Q44" s="133"/>
      <c r="R44" s="156"/>
    </row>
    <row r="45" spans="1:18" s="109" customFormat="1">
      <c r="A45" s="144" t="s">
        <v>260</v>
      </c>
      <c r="B45" s="153" t="e">
        <f>#REF!</f>
        <v>#REF!</v>
      </c>
      <c r="C45" s="108"/>
      <c r="D45" s="108"/>
      <c r="E45" s="108"/>
      <c r="F45" s="108" t="e">
        <f t="shared" ref="F45:Q49" si="8">$B45/12</f>
        <v>#REF!</v>
      </c>
      <c r="G45" s="108" t="e">
        <f t="shared" si="8"/>
        <v>#REF!</v>
      </c>
      <c r="H45" s="108" t="e">
        <f t="shared" si="8"/>
        <v>#REF!</v>
      </c>
      <c r="I45" s="108" t="e">
        <f t="shared" si="8"/>
        <v>#REF!</v>
      </c>
      <c r="J45" s="108" t="e">
        <f t="shared" si="8"/>
        <v>#REF!</v>
      </c>
      <c r="K45" s="108" t="e">
        <f t="shared" si="8"/>
        <v>#REF!</v>
      </c>
      <c r="L45" s="108" t="e">
        <f t="shared" si="8"/>
        <v>#REF!</v>
      </c>
      <c r="M45" s="108" t="e">
        <f t="shared" si="8"/>
        <v>#REF!</v>
      </c>
      <c r="N45" s="108" t="e">
        <f t="shared" si="8"/>
        <v>#REF!</v>
      </c>
      <c r="O45" s="108" t="e">
        <f t="shared" si="8"/>
        <v>#REF!</v>
      </c>
      <c r="P45" s="108" t="e">
        <f t="shared" si="8"/>
        <v>#REF!</v>
      </c>
      <c r="Q45" s="112" t="e">
        <f t="shared" si="8"/>
        <v>#REF!</v>
      </c>
      <c r="R45" s="86" t="e">
        <f>SUM(C45:Q45)/B45</f>
        <v>#REF!</v>
      </c>
    </row>
    <row r="46" spans="1:18" s="109" customFormat="1">
      <c r="A46" s="144" t="s">
        <v>333</v>
      </c>
      <c r="B46" s="153" t="e">
        <f>#REF!</f>
        <v>#REF!</v>
      </c>
      <c r="C46" s="108"/>
      <c r="D46" s="108"/>
      <c r="E46" s="108"/>
      <c r="F46" s="108" t="e">
        <f t="shared" si="8"/>
        <v>#REF!</v>
      </c>
      <c r="G46" s="108" t="e">
        <f t="shared" si="8"/>
        <v>#REF!</v>
      </c>
      <c r="H46" s="108" t="e">
        <f t="shared" si="8"/>
        <v>#REF!</v>
      </c>
      <c r="I46" s="108" t="e">
        <f t="shared" si="8"/>
        <v>#REF!</v>
      </c>
      <c r="J46" s="108" t="e">
        <f t="shared" si="8"/>
        <v>#REF!</v>
      </c>
      <c r="K46" s="108" t="e">
        <f t="shared" si="8"/>
        <v>#REF!</v>
      </c>
      <c r="L46" s="108" t="e">
        <f t="shared" si="8"/>
        <v>#REF!</v>
      </c>
      <c r="M46" s="108" t="e">
        <f t="shared" si="8"/>
        <v>#REF!</v>
      </c>
      <c r="N46" s="108" t="e">
        <f t="shared" si="8"/>
        <v>#REF!</v>
      </c>
      <c r="O46" s="108" t="e">
        <f t="shared" si="8"/>
        <v>#REF!</v>
      </c>
      <c r="P46" s="108" t="e">
        <f t="shared" si="8"/>
        <v>#REF!</v>
      </c>
      <c r="Q46" s="112" t="e">
        <f t="shared" si="8"/>
        <v>#REF!</v>
      </c>
      <c r="R46" s="86" t="e">
        <f>SUM(C46:Q46)/B46</f>
        <v>#REF!</v>
      </c>
    </row>
    <row r="47" spans="1:18" s="109" customFormat="1">
      <c r="A47" s="154" t="s">
        <v>331</v>
      </c>
      <c r="B47" s="153" t="e">
        <f>#REF!*0.8/1000</f>
        <v>#REF!</v>
      </c>
      <c r="C47" s="141"/>
      <c r="D47" s="141"/>
      <c r="E47" s="141"/>
      <c r="F47" s="108" t="e">
        <f t="shared" si="8"/>
        <v>#REF!</v>
      </c>
      <c r="G47" s="108" t="e">
        <f t="shared" si="8"/>
        <v>#REF!</v>
      </c>
      <c r="H47" s="108" t="e">
        <f t="shared" si="8"/>
        <v>#REF!</v>
      </c>
      <c r="I47" s="108" t="e">
        <f t="shared" si="8"/>
        <v>#REF!</v>
      </c>
      <c r="J47" s="108" t="e">
        <f t="shared" si="8"/>
        <v>#REF!</v>
      </c>
      <c r="K47" s="108" t="e">
        <f t="shared" si="8"/>
        <v>#REF!</v>
      </c>
      <c r="L47" s="108" t="e">
        <f t="shared" si="8"/>
        <v>#REF!</v>
      </c>
      <c r="M47" s="108" t="e">
        <f t="shared" si="8"/>
        <v>#REF!</v>
      </c>
      <c r="N47" s="108" t="e">
        <f t="shared" si="8"/>
        <v>#REF!</v>
      </c>
      <c r="O47" s="108" t="e">
        <f t="shared" si="8"/>
        <v>#REF!</v>
      </c>
      <c r="P47" s="108" t="e">
        <f t="shared" si="8"/>
        <v>#REF!</v>
      </c>
      <c r="Q47" s="112" t="e">
        <f t="shared" si="8"/>
        <v>#REF!</v>
      </c>
      <c r="R47" s="86" t="e">
        <f>SUM(C47:Q47)/B47</f>
        <v>#REF!</v>
      </c>
    </row>
    <row r="48" spans="1:18" s="109" customFormat="1">
      <c r="A48" s="154" t="s">
        <v>332</v>
      </c>
      <c r="B48" s="153" t="e">
        <f>#REF!*0.2/1000</f>
        <v>#REF!</v>
      </c>
      <c r="C48" s="141"/>
      <c r="D48" s="141"/>
      <c r="E48" s="141"/>
      <c r="F48" s="108" t="e">
        <f t="shared" si="8"/>
        <v>#REF!</v>
      </c>
      <c r="G48" s="108" t="e">
        <f t="shared" si="8"/>
        <v>#REF!</v>
      </c>
      <c r="H48" s="108" t="e">
        <f t="shared" si="8"/>
        <v>#REF!</v>
      </c>
      <c r="I48" s="108" t="e">
        <f t="shared" si="8"/>
        <v>#REF!</v>
      </c>
      <c r="J48" s="108" t="e">
        <f t="shared" si="8"/>
        <v>#REF!</v>
      </c>
      <c r="K48" s="108" t="e">
        <f t="shared" si="8"/>
        <v>#REF!</v>
      </c>
      <c r="L48" s="108" t="e">
        <f t="shared" si="8"/>
        <v>#REF!</v>
      </c>
      <c r="M48" s="108" t="e">
        <f t="shared" si="8"/>
        <v>#REF!</v>
      </c>
      <c r="N48" s="108" t="e">
        <f t="shared" si="8"/>
        <v>#REF!</v>
      </c>
      <c r="O48" s="108" t="e">
        <f t="shared" si="8"/>
        <v>#REF!</v>
      </c>
      <c r="P48" s="108" t="e">
        <f t="shared" si="8"/>
        <v>#REF!</v>
      </c>
      <c r="Q48" s="112" t="e">
        <f t="shared" si="8"/>
        <v>#REF!</v>
      </c>
      <c r="R48" s="86"/>
    </row>
    <row r="49" spans="1:18" s="109" customFormat="1">
      <c r="A49" s="121" t="s">
        <v>340</v>
      </c>
      <c r="B49" s="153" t="e">
        <f>(SUM(#REF!)+SUM(#REF!))/1000</f>
        <v>#REF!</v>
      </c>
      <c r="C49" s="141"/>
      <c r="D49" s="141"/>
      <c r="E49" s="141"/>
      <c r="F49" s="22" t="e">
        <f t="shared" si="8"/>
        <v>#REF!</v>
      </c>
      <c r="G49" s="22" t="e">
        <f t="shared" si="8"/>
        <v>#REF!</v>
      </c>
      <c r="H49" s="22" t="e">
        <f t="shared" si="8"/>
        <v>#REF!</v>
      </c>
      <c r="I49" s="22" t="e">
        <f t="shared" si="8"/>
        <v>#REF!</v>
      </c>
      <c r="J49" s="22" t="e">
        <f t="shared" si="8"/>
        <v>#REF!</v>
      </c>
      <c r="K49" s="22" t="e">
        <f t="shared" si="8"/>
        <v>#REF!</v>
      </c>
      <c r="L49" s="22" t="e">
        <f t="shared" si="8"/>
        <v>#REF!</v>
      </c>
      <c r="M49" s="22" t="e">
        <f t="shared" si="8"/>
        <v>#REF!</v>
      </c>
      <c r="N49" s="22" t="e">
        <f t="shared" si="8"/>
        <v>#REF!</v>
      </c>
      <c r="O49" s="22" t="e">
        <f t="shared" si="8"/>
        <v>#REF!</v>
      </c>
      <c r="P49" s="22" t="e">
        <f t="shared" si="8"/>
        <v>#REF!</v>
      </c>
      <c r="Q49" s="28" t="e">
        <f t="shared" si="8"/>
        <v>#REF!</v>
      </c>
      <c r="R49" s="86" t="e">
        <f>SUM(C49:Q49)/B49</f>
        <v>#REF!</v>
      </c>
    </row>
    <row r="50" spans="1:18" s="109" customFormat="1">
      <c r="A50" s="157" t="s">
        <v>339</v>
      </c>
      <c r="B50" s="155"/>
      <c r="Q50" s="133"/>
      <c r="R50" s="156"/>
    </row>
    <row r="51" spans="1:18" s="109" customFormat="1">
      <c r="A51" s="144" t="s">
        <v>260</v>
      </c>
      <c r="B51" s="153" t="e">
        <f>#REF!</f>
        <v>#REF!</v>
      </c>
      <c r="C51" s="108"/>
      <c r="D51" s="108"/>
      <c r="E51" s="108"/>
      <c r="F51" s="108" t="e">
        <f t="shared" ref="F51:Q55" si="9">$B51/12</f>
        <v>#REF!</v>
      </c>
      <c r="G51" s="108" t="e">
        <f t="shared" si="9"/>
        <v>#REF!</v>
      </c>
      <c r="H51" s="108" t="e">
        <f t="shared" si="9"/>
        <v>#REF!</v>
      </c>
      <c r="I51" s="108" t="e">
        <f t="shared" si="9"/>
        <v>#REF!</v>
      </c>
      <c r="J51" s="108" t="e">
        <f t="shared" si="9"/>
        <v>#REF!</v>
      </c>
      <c r="K51" s="108" t="e">
        <f t="shared" si="9"/>
        <v>#REF!</v>
      </c>
      <c r="L51" s="108" t="e">
        <f t="shared" si="9"/>
        <v>#REF!</v>
      </c>
      <c r="M51" s="108" t="e">
        <f t="shared" si="9"/>
        <v>#REF!</v>
      </c>
      <c r="N51" s="108" t="e">
        <f t="shared" si="9"/>
        <v>#REF!</v>
      </c>
      <c r="O51" s="108" t="e">
        <f t="shared" si="9"/>
        <v>#REF!</v>
      </c>
      <c r="P51" s="108" t="e">
        <f t="shared" si="9"/>
        <v>#REF!</v>
      </c>
      <c r="Q51" s="112" t="e">
        <f t="shared" si="9"/>
        <v>#REF!</v>
      </c>
      <c r="R51" s="86" t="e">
        <f>SUM(C51:Q51)/B51</f>
        <v>#REF!</v>
      </c>
    </row>
    <row r="52" spans="1:18" s="109" customFormat="1">
      <c r="A52" s="144" t="s">
        <v>333</v>
      </c>
      <c r="B52" s="153" t="e">
        <f>#REF!</f>
        <v>#REF!</v>
      </c>
      <c r="C52" s="108"/>
      <c r="D52" s="108"/>
      <c r="E52" s="108"/>
      <c r="F52" s="108" t="e">
        <f t="shared" si="9"/>
        <v>#REF!</v>
      </c>
      <c r="G52" s="108" t="e">
        <f t="shared" si="9"/>
        <v>#REF!</v>
      </c>
      <c r="H52" s="108" t="e">
        <f t="shared" si="9"/>
        <v>#REF!</v>
      </c>
      <c r="I52" s="108" t="e">
        <f t="shared" si="9"/>
        <v>#REF!</v>
      </c>
      <c r="J52" s="108" t="e">
        <f t="shared" si="9"/>
        <v>#REF!</v>
      </c>
      <c r="K52" s="108" t="e">
        <f t="shared" si="9"/>
        <v>#REF!</v>
      </c>
      <c r="L52" s="108" t="e">
        <f t="shared" si="9"/>
        <v>#REF!</v>
      </c>
      <c r="M52" s="108" t="e">
        <f t="shared" si="9"/>
        <v>#REF!</v>
      </c>
      <c r="N52" s="108" t="e">
        <f t="shared" si="9"/>
        <v>#REF!</v>
      </c>
      <c r="O52" s="108" t="e">
        <f t="shared" si="9"/>
        <v>#REF!</v>
      </c>
      <c r="P52" s="108" t="e">
        <f t="shared" si="9"/>
        <v>#REF!</v>
      </c>
      <c r="Q52" s="112" t="e">
        <f t="shared" si="9"/>
        <v>#REF!</v>
      </c>
      <c r="R52" s="86" t="e">
        <f>SUM(C52:Q52)/B52</f>
        <v>#REF!</v>
      </c>
    </row>
    <row r="53" spans="1:18" s="109" customFormat="1">
      <c r="A53" s="154" t="s">
        <v>331</v>
      </c>
      <c r="B53" s="153" t="e">
        <f>#REF!*0.8/1000</f>
        <v>#REF!</v>
      </c>
      <c r="C53" s="141"/>
      <c r="D53" s="141"/>
      <c r="E53" s="141"/>
      <c r="F53" s="108" t="e">
        <f t="shared" si="9"/>
        <v>#REF!</v>
      </c>
      <c r="G53" s="108" t="e">
        <f t="shared" si="9"/>
        <v>#REF!</v>
      </c>
      <c r="H53" s="108" t="e">
        <f t="shared" si="9"/>
        <v>#REF!</v>
      </c>
      <c r="I53" s="108" t="e">
        <f t="shared" si="9"/>
        <v>#REF!</v>
      </c>
      <c r="J53" s="108" t="e">
        <f t="shared" si="9"/>
        <v>#REF!</v>
      </c>
      <c r="K53" s="108" t="e">
        <f t="shared" si="9"/>
        <v>#REF!</v>
      </c>
      <c r="L53" s="108" t="e">
        <f t="shared" si="9"/>
        <v>#REF!</v>
      </c>
      <c r="M53" s="108" t="e">
        <f t="shared" si="9"/>
        <v>#REF!</v>
      </c>
      <c r="N53" s="108" t="e">
        <f t="shared" si="9"/>
        <v>#REF!</v>
      </c>
      <c r="O53" s="108" t="e">
        <f t="shared" si="9"/>
        <v>#REF!</v>
      </c>
      <c r="P53" s="108" t="e">
        <f t="shared" si="9"/>
        <v>#REF!</v>
      </c>
      <c r="Q53" s="112" t="e">
        <f t="shared" si="9"/>
        <v>#REF!</v>
      </c>
      <c r="R53" s="86" t="e">
        <f>SUM(C53:Q53)/B53</f>
        <v>#REF!</v>
      </c>
    </row>
    <row r="54" spans="1:18" s="109" customFormat="1">
      <c r="A54" s="154" t="s">
        <v>332</v>
      </c>
      <c r="B54" s="153" t="e">
        <f>#REF!*0.2/1000</f>
        <v>#REF!</v>
      </c>
      <c r="C54" s="141"/>
      <c r="D54" s="141"/>
      <c r="E54" s="141"/>
      <c r="F54" s="108" t="e">
        <f t="shared" si="9"/>
        <v>#REF!</v>
      </c>
      <c r="G54" s="108" t="e">
        <f t="shared" si="9"/>
        <v>#REF!</v>
      </c>
      <c r="H54" s="108" t="e">
        <f t="shared" si="9"/>
        <v>#REF!</v>
      </c>
      <c r="I54" s="108" t="e">
        <f t="shared" si="9"/>
        <v>#REF!</v>
      </c>
      <c r="J54" s="108" t="e">
        <f t="shared" si="9"/>
        <v>#REF!</v>
      </c>
      <c r="K54" s="108" t="e">
        <f t="shared" si="9"/>
        <v>#REF!</v>
      </c>
      <c r="L54" s="108" t="e">
        <f t="shared" si="9"/>
        <v>#REF!</v>
      </c>
      <c r="M54" s="108" t="e">
        <f t="shared" si="9"/>
        <v>#REF!</v>
      </c>
      <c r="N54" s="108" t="e">
        <f t="shared" si="9"/>
        <v>#REF!</v>
      </c>
      <c r="O54" s="108" t="e">
        <f t="shared" si="9"/>
        <v>#REF!</v>
      </c>
      <c r="P54" s="108" t="e">
        <f t="shared" si="9"/>
        <v>#REF!</v>
      </c>
      <c r="Q54" s="112" t="e">
        <f t="shared" si="9"/>
        <v>#REF!</v>
      </c>
      <c r="R54" s="86" t="e">
        <f>SUM(C54:Q54)/B54</f>
        <v>#REF!</v>
      </c>
    </row>
    <row r="55" spans="1:18" s="109" customFormat="1">
      <c r="A55" s="121" t="s">
        <v>340</v>
      </c>
      <c r="B55" s="153" t="e">
        <f>(SUM(#REF!)+SUM(#REF!))/1000</f>
        <v>#REF!</v>
      </c>
      <c r="C55" s="141"/>
      <c r="D55" s="141"/>
      <c r="E55" s="141"/>
      <c r="F55" s="22" t="e">
        <f t="shared" si="9"/>
        <v>#REF!</v>
      </c>
      <c r="G55" s="22" t="e">
        <f t="shared" si="9"/>
        <v>#REF!</v>
      </c>
      <c r="H55" s="22" t="e">
        <f t="shared" si="9"/>
        <v>#REF!</v>
      </c>
      <c r="I55" s="22" t="e">
        <f t="shared" si="9"/>
        <v>#REF!</v>
      </c>
      <c r="J55" s="22" t="e">
        <f t="shared" si="9"/>
        <v>#REF!</v>
      </c>
      <c r="K55" s="22" t="e">
        <f t="shared" si="9"/>
        <v>#REF!</v>
      </c>
      <c r="L55" s="22" t="e">
        <f t="shared" si="9"/>
        <v>#REF!</v>
      </c>
      <c r="M55" s="22" t="e">
        <f t="shared" si="9"/>
        <v>#REF!</v>
      </c>
      <c r="N55" s="22" t="e">
        <f t="shared" si="9"/>
        <v>#REF!</v>
      </c>
      <c r="O55" s="22" t="e">
        <f t="shared" si="9"/>
        <v>#REF!</v>
      </c>
      <c r="P55" s="22" t="e">
        <f t="shared" si="9"/>
        <v>#REF!</v>
      </c>
      <c r="Q55" s="28" t="e">
        <f t="shared" si="9"/>
        <v>#REF!</v>
      </c>
      <c r="R55" s="86" t="e">
        <f>SUM(C55:Q55)/B55</f>
        <v>#REF!</v>
      </c>
    </row>
    <row r="56" spans="1:18" s="109" customFormat="1">
      <c r="A56" s="157" t="s">
        <v>295</v>
      </c>
      <c r="B56" s="155"/>
      <c r="Q56" s="133"/>
      <c r="R56" s="156"/>
    </row>
    <row r="57" spans="1:18" s="109" customFormat="1">
      <c r="A57" s="144" t="s">
        <v>260</v>
      </c>
      <c r="B57" s="153" t="e">
        <f>#REF!+#REF!</f>
        <v>#REF!</v>
      </c>
      <c r="C57" s="108"/>
      <c r="D57" s="108"/>
      <c r="E57" s="108"/>
      <c r="F57" s="108" t="e">
        <f t="shared" ref="F57:Q60" si="10">$B57/12</f>
        <v>#REF!</v>
      </c>
      <c r="G57" s="108" t="e">
        <f t="shared" si="10"/>
        <v>#REF!</v>
      </c>
      <c r="H57" s="108" t="e">
        <f t="shared" si="10"/>
        <v>#REF!</v>
      </c>
      <c r="I57" s="108" t="e">
        <f t="shared" si="10"/>
        <v>#REF!</v>
      </c>
      <c r="J57" s="108" t="e">
        <f t="shared" si="10"/>
        <v>#REF!</v>
      </c>
      <c r="K57" s="108" t="e">
        <f t="shared" si="10"/>
        <v>#REF!</v>
      </c>
      <c r="L57" s="108" t="e">
        <f t="shared" si="10"/>
        <v>#REF!</v>
      </c>
      <c r="M57" s="108" t="e">
        <f t="shared" si="10"/>
        <v>#REF!</v>
      </c>
      <c r="N57" s="108" t="e">
        <f t="shared" si="10"/>
        <v>#REF!</v>
      </c>
      <c r="O57" s="108" t="e">
        <f t="shared" si="10"/>
        <v>#REF!</v>
      </c>
      <c r="P57" s="108" t="e">
        <f t="shared" si="10"/>
        <v>#REF!</v>
      </c>
      <c r="Q57" s="112" t="e">
        <f t="shared" si="10"/>
        <v>#REF!</v>
      </c>
      <c r="R57" s="86" t="e">
        <f>SUM(C57:Q57)/B57</f>
        <v>#REF!</v>
      </c>
    </row>
    <row r="58" spans="1:18" s="109" customFormat="1">
      <c r="A58" s="144" t="s">
        <v>333</v>
      </c>
      <c r="B58" s="153" t="e">
        <f>#REF!+#REF!</f>
        <v>#REF!</v>
      </c>
      <c r="C58" s="108"/>
      <c r="D58" s="108"/>
      <c r="E58" s="108"/>
      <c r="F58" s="108" t="e">
        <f t="shared" si="10"/>
        <v>#REF!</v>
      </c>
      <c r="G58" s="108" t="e">
        <f t="shared" si="10"/>
        <v>#REF!</v>
      </c>
      <c r="H58" s="108" t="e">
        <f t="shared" si="10"/>
        <v>#REF!</v>
      </c>
      <c r="I58" s="108" t="e">
        <f t="shared" si="10"/>
        <v>#REF!</v>
      </c>
      <c r="J58" s="108" t="e">
        <f t="shared" si="10"/>
        <v>#REF!</v>
      </c>
      <c r="K58" s="108" t="e">
        <f t="shared" si="10"/>
        <v>#REF!</v>
      </c>
      <c r="L58" s="108" t="e">
        <f t="shared" si="10"/>
        <v>#REF!</v>
      </c>
      <c r="M58" s="108" t="e">
        <f t="shared" si="10"/>
        <v>#REF!</v>
      </c>
      <c r="N58" s="108" t="e">
        <f t="shared" si="10"/>
        <v>#REF!</v>
      </c>
      <c r="O58" s="108" t="e">
        <f t="shared" si="10"/>
        <v>#REF!</v>
      </c>
      <c r="P58" s="108" t="e">
        <f t="shared" si="10"/>
        <v>#REF!</v>
      </c>
      <c r="Q58" s="112" t="e">
        <f t="shared" si="10"/>
        <v>#REF!</v>
      </c>
      <c r="R58" s="86" t="e">
        <f>SUM(C58:Q58)/B58</f>
        <v>#REF!</v>
      </c>
    </row>
    <row r="59" spans="1:18" s="109" customFormat="1">
      <c r="A59" s="154" t="s">
        <v>331</v>
      </c>
      <c r="B59" s="153" t="e">
        <f>(#REF!+#REF!)*0.8/1000</f>
        <v>#REF!</v>
      </c>
      <c r="C59" s="141"/>
      <c r="D59" s="141"/>
      <c r="E59" s="141"/>
      <c r="F59" s="108" t="e">
        <f t="shared" si="10"/>
        <v>#REF!</v>
      </c>
      <c r="G59" s="108" t="e">
        <f t="shared" si="10"/>
        <v>#REF!</v>
      </c>
      <c r="H59" s="108" t="e">
        <f t="shared" si="10"/>
        <v>#REF!</v>
      </c>
      <c r="I59" s="108" t="e">
        <f t="shared" si="10"/>
        <v>#REF!</v>
      </c>
      <c r="J59" s="108" t="e">
        <f t="shared" si="10"/>
        <v>#REF!</v>
      </c>
      <c r="K59" s="108" t="e">
        <f t="shared" si="10"/>
        <v>#REF!</v>
      </c>
      <c r="L59" s="108" t="e">
        <f t="shared" si="10"/>
        <v>#REF!</v>
      </c>
      <c r="M59" s="108" t="e">
        <f t="shared" si="10"/>
        <v>#REF!</v>
      </c>
      <c r="N59" s="108" t="e">
        <f t="shared" si="10"/>
        <v>#REF!</v>
      </c>
      <c r="O59" s="108" t="e">
        <f t="shared" si="10"/>
        <v>#REF!</v>
      </c>
      <c r="P59" s="108" t="e">
        <f t="shared" si="10"/>
        <v>#REF!</v>
      </c>
      <c r="Q59" s="112" t="e">
        <f t="shared" si="10"/>
        <v>#REF!</v>
      </c>
      <c r="R59" s="86" t="e">
        <f>SUM(C59:Q59)/B59</f>
        <v>#REF!</v>
      </c>
    </row>
    <row r="60" spans="1:18" s="109" customFormat="1">
      <c r="A60" s="154" t="s">
        <v>332</v>
      </c>
      <c r="B60" s="153" t="e">
        <f>(#REF!+#REF!)*0.2/1000</f>
        <v>#REF!</v>
      </c>
      <c r="C60" s="141"/>
      <c r="D60" s="141"/>
      <c r="E60" s="141"/>
      <c r="F60" s="108" t="e">
        <f t="shared" si="10"/>
        <v>#REF!</v>
      </c>
      <c r="G60" s="108" t="e">
        <f t="shared" si="10"/>
        <v>#REF!</v>
      </c>
      <c r="H60" s="108" t="e">
        <f t="shared" si="10"/>
        <v>#REF!</v>
      </c>
      <c r="I60" s="108" t="e">
        <f t="shared" si="10"/>
        <v>#REF!</v>
      </c>
      <c r="J60" s="108" t="e">
        <f t="shared" si="10"/>
        <v>#REF!</v>
      </c>
      <c r="K60" s="108" t="e">
        <f t="shared" si="10"/>
        <v>#REF!</v>
      </c>
      <c r="L60" s="108" t="e">
        <f t="shared" si="10"/>
        <v>#REF!</v>
      </c>
      <c r="M60" s="108" t="e">
        <f t="shared" si="10"/>
        <v>#REF!</v>
      </c>
      <c r="N60" s="108" t="e">
        <f t="shared" si="10"/>
        <v>#REF!</v>
      </c>
      <c r="O60" s="108" t="e">
        <f t="shared" si="10"/>
        <v>#REF!</v>
      </c>
      <c r="P60" s="108" t="e">
        <f t="shared" si="10"/>
        <v>#REF!</v>
      </c>
      <c r="Q60" s="112" t="e">
        <f t="shared" si="10"/>
        <v>#REF!</v>
      </c>
      <c r="R60" s="86"/>
    </row>
    <row r="61" spans="1:18" hidden="1">
      <c r="A61" s="83" t="str">
        <f>'Single-Family Existing'!$A$49</f>
        <v>Refrigeration and Miscellaneous</v>
      </c>
      <c r="B61" s="84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45"/>
    </row>
    <row r="62" spans="1:18" hidden="1">
      <c r="A62" s="142" t="s">
        <v>260</v>
      </c>
      <c r="B62" s="143" t="e">
        <f>'Single-Family Existing'!#REF!</f>
        <v>#REF!</v>
      </c>
      <c r="C62" s="135"/>
      <c r="D62" s="135"/>
      <c r="E62" s="135"/>
      <c r="F62" s="135" t="e">
        <f t="shared" ref="F62:Q63" si="11">$B62/12</f>
        <v>#REF!</v>
      </c>
      <c r="G62" s="135" t="e">
        <f t="shared" si="11"/>
        <v>#REF!</v>
      </c>
      <c r="H62" s="135" t="e">
        <f t="shared" si="11"/>
        <v>#REF!</v>
      </c>
      <c r="I62" s="135" t="e">
        <f t="shared" si="11"/>
        <v>#REF!</v>
      </c>
      <c r="J62" s="135" t="e">
        <f t="shared" si="11"/>
        <v>#REF!</v>
      </c>
      <c r="K62" s="135" t="e">
        <f t="shared" si="11"/>
        <v>#REF!</v>
      </c>
      <c r="L62" s="135" t="e">
        <f t="shared" si="11"/>
        <v>#REF!</v>
      </c>
      <c r="M62" s="135" t="e">
        <f t="shared" si="11"/>
        <v>#REF!</v>
      </c>
      <c r="N62" s="135" t="e">
        <f t="shared" si="11"/>
        <v>#REF!</v>
      </c>
      <c r="O62" s="135" t="e">
        <f t="shared" si="11"/>
        <v>#REF!</v>
      </c>
      <c r="P62" s="135" t="e">
        <f t="shared" si="11"/>
        <v>#REF!</v>
      </c>
      <c r="Q62" s="136" t="e">
        <f t="shared" si="11"/>
        <v>#REF!</v>
      </c>
      <c r="R62" s="86" t="e">
        <f>SUM(C62:Q62)/B62</f>
        <v>#REF!</v>
      </c>
    </row>
    <row r="63" spans="1:18" hidden="1">
      <c r="A63" s="142" t="s">
        <v>288</v>
      </c>
      <c r="B63" s="143" t="e">
        <f>'Single-Family Existing'!#REF!</f>
        <v>#REF!</v>
      </c>
      <c r="C63" s="135"/>
      <c r="D63" s="135"/>
      <c r="E63" s="135"/>
      <c r="F63" s="135" t="e">
        <f t="shared" si="11"/>
        <v>#REF!</v>
      </c>
      <c r="G63" s="135" t="e">
        <f t="shared" si="11"/>
        <v>#REF!</v>
      </c>
      <c r="H63" s="135" t="e">
        <f t="shared" si="11"/>
        <v>#REF!</v>
      </c>
      <c r="I63" s="135" t="e">
        <f t="shared" si="11"/>
        <v>#REF!</v>
      </c>
      <c r="J63" s="135" t="e">
        <f t="shared" si="11"/>
        <v>#REF!</v>
      </c>
      <c r="K63" s="135" t="e">
        <f t="shared" si="11"/>
        <v>#REF!</v>
      </c>
      <c r="L63" s="135" t="e">
        <f t="shared" si="11"/>
        <v>#REF!</v>
      </c>
      <c r="M63" s="135" t="e">
        <f t="shared" si="11"/>
        <v>#REF!</v>
      </c>
      <c r="N63" s="135" t="e">
        <f t="shared" si="11"/>
        <v>#REF!</v>
      </c>
      <c r="O63" s="135" t="e">
        <f t="shared" si="11"/>
        <v>#REF!</v>
      </c>
      <c r="P63" s="135" t="e">
        <f t="shared" si="11"/>
        <v>#REF!</v>
      </c>
      <c r="Q63" s="136" t="e">
        <f t="shared" si="11"/>
        <v>#REF!</v>
      </c>
      <c r="R63" s="86" t="e">
        <f>SUM(C63:Q63)/B63</f>
        <v>#REF!</v>
      </c>
    </row>
    <row r="64" spans="1:18" hidden="1">
      <c r="A64" s="83"/>
      <c r="B64" s="84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45"/>
    </row>
    <row r="65" spans="1:18" hidden="1">
      <c r="A65" s="58"/>
      <c r="B65" s="85"/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8"/>
      <c r="R65" s="86"/>
    </row>
    <row r="66" spans="1:18" hidden="1">
      <c r="A66" s="58"/>
      <c r="B66" s="85"/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8"/>
      <c r="R66" s="86"/>
    </row>
    <row r="67" spans="1:18" hidden="1">
      <c r="A67" s="58"/>
      <c r="B67" s="85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8"/>
      <c r="R67" s="86"/>
    </row>
    <row r="68" spans="1:18" ht="13.5" thickBot="1">
      <c r="A68" s="124" t="s">
        <v>340</v>
      </c>
      <c r="B68" s="132" t="e">
        <f>(SUM(#REF!)+SUM(#REF!)+SUM(#REF!)+SUM('Single-Family Existing'!#REF!))/1000</f>
        <v>#REF!</v>
      </c>
      <c r="C68" s="59"/>
      <c r="D68" s="59"/>
      <c r="E68" s="59"/>
      <c r="F68" s="59" t="e">
        <f t="shared" ref="F68:Q68" si="12">$B68/12</f>
        <v>#REF!</v>
      </c>
      <c r="G68" s="59" t="e">
        <f t="shared" si="12"/>
        <v>#REF!</v>
      </c>
      <c r="H68" s="59" t="e">
        <f t="shared" si="12"/>
        <v>#REF!</v>
      </c>
      <c r="I68" s="59" t="e">
        <f t="shared" si="12"/>
        <v>#REF!</v>
      </c>
      <c r="J68" s="59" t="e">
        <f t="shared" si="12"/>
        <v>#REF!</v>
      </c>
      <c r="K68" s="59" t="e">
        <f t="shared" si="12"/>
        <v>#REF!</v>
      </c>
      <c r="L68" s="59" t="e">
        <f t="shared" si="12"/>
        <v>#REF!</v>
      </c>
      <c r="M68" s="59" t="e">
        <f t="shared" si="12"/>
        <v>#REF!</v>
      </c>
      <c r="N68" s="59" t="e">
        <f t="shared" si="12"/>
        <v>#REF!</v>
      </c>
      <c r="O68" s="59" t="e">
        <f t="shared" si="12"/>
        <v>#REF!</v>
      </c>
      <c r="P68" s="59" t="e">
        <f t="shared" si="12"/>
        <v>#REF!</v>
      </c>
      <c r="Q68" s="60" t="e">
        <f t="shared" si="12"/>
        <v>#REF!</v>
      </c>
      <c r="R68" s="86" t="e">
        <f>SUM(C68:Q68)/B68</f>
        <v>#REF!</v>
      </c>
    </row>
    <row r="69" spans="1:18">
      <c r="A69" s="49"/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</row>
    <row r="70" spans="1:18">
      <c r="A70" s="58"/>
      <c r="B70" s="85"/>
      <c r="C70" s="85"/>
      <c r="D70" s="85"/>
      <c r="E70" s="85"/>
      <c r="F70" s="85"/>
      <c r="G70" s="85"/>
      <c r="H70" s="85"/>
      <c r="I70" s="85"/>
      <c r="J70" s="85"/>
      <c r="K70" s="85"/>
      <c r="L70" s="85"/>
      <c r="M70" s="85"/>
      <c r="N70" s="85"/>
      <c r="O70" s="85"/>
      <c r="P70" s="85"/>
      <c r="Q70" s="85"/>
      <c r="R70" s="12"/>
    </row>
    <row r="71" spans="1:18">
      <c r="A71" s="58"/>
      <c r="B71" s="85"/>
      <c r="C71" s="85"/>
      <c r="D71" s="85"/>
      <c r="E71" s="85"/>
      <c r="F71" s="85"/>
      <c r="G71" s="85"/>
      <c r="H71" s="85"/>
      <c r="I71" s="85"/>
      <c r="J71" s="85"/>
      <c r="K71" s="85"/>
      <c r="L71" s="85"/>
      <c r="M71" s="85"/>
      <c r="N71" s="85"/>
      <c r="O71" s="85"/>
      <c r="P71" s="85"/>
      <c r="Q71" s="85"/>
      <c r="R71" s="12"/>
    </row>
    <row r="72" spans="1:18">
      <c r="A72" s="121"/>
      <c r="B72" s="85"/>
      <c r="C72" s="122"/>
      <c r="D72" s="122"/>
      <c r="E72" s="122"/>
      <c r="F72" s="122"/>
      <c r="G72" s="122"/>
      <c r="H72" s="122"/>
      <c r="I72" s="122"/>
      <c r="J72" s="122"/>
      <c r="K72" s="122"/>
      <c r="L72" s="122"/>
      <c r="M72" s="122"/>
      <c r="N72" s="122"/>
      <c r="O72" s="122"/>
      <c r="P72" s="122"/>
      <c r="Q72" s="122"/>
      <c r="R72" s="12"/>
    </row>
    <row r="73" spans="1:18">
      <c r="R73" s="12"/>
    </row>
    <row r="74" spans="1:18">
      <c r="B74" s="146"/>
      <c r="C74" s="146"/>
      <c r="D74" s="146"/>
      <c r="E74" s="146"/>
      <c r="F74" s="146"/>
      <c r="G74" s="146"/>
      <c r="H74" s="146"/>
      <c r="I74" s="146"/>
      <c r="J74" s="146"/>
      <c r="K74" s="146"/>
      <c r="L74" s="146"/>
      <c r="M74" s="146"/>
      <c r="N74" s="146"/>
      <c r="O74" s="146"/>
      <c r="P74" s="146"/>
      <c r="Q74" s="146"/>
      <c r="R74" s="12"/>
    </row>
    <row r="75" spans="1:18">
      <c r="R75" s="12"/>
    </row>
  </sheetData>
  <phoneticPr fontId="0" type="noConversion"/>
  <pageMargins left="0.75" right="0.75" top="1" bottom="1" header="0.5" footer="0.5"/>
  <pageSetup scale="8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>
    <pageSetUpPr fitToPage="1"/>
  </sheetPr>
  <dimension ref="A1:AF266"/>
  <sheetViews>
    <sheetView zoomScale="75" workbookViewId="0">
      <pane xSplit="1" ySplit="7" topLeftCell="I8" activePane="bottomRight" state="frozen"/>
      <selection activeCell="B8" sqref="B8"/>
      <selection pane="topRight" activeCell="B8" sqref="B8"/>
      <selection pane="bottomLeft" activeCell="B8" sqref="B8"/>
      <selection pane="bottomRight" activeCell="T23" sqref="T23"/>
    </sheetView>
  </sheetViews>
  <sheetFormatPr defaultColWidth="8.7109375" defaultRowHeight="12.75"/>
  <cols>
    <col min="1" max="1" width="24.42578125" style="12" customWidth="1"/>
    <col min="2" max="11" width="15.5703125" style="12" customWidth="1"/>
    <col min="12" max="12" width="29.42578125" style="12" customWidth="1"/>
    <col min="13" max="15" width="16" style="7" customWidth="1"/>
    <col min="16" max="16" width="16" style="7" hidden="1" customWidth="1"/>
    <col min="17" max="20" width="15.5703125" style="12" customWidth="1"/>
    <col min="21" max="21" width="15.5703125" style="12" hidden="1" customWidth="1"/>
    <col min="22" max="22" width="15.5703125" style="12" customWidth="1"/>
    <col min="23" max="23" width="15.5703125" style="54" customWidth="1"/>
    <col min="24" max="26" width="15.5703125" style="12" customWidth="1"/>
    <col min="27" max="27" width="15.5703125" style="12" hidden="1" customWidth="1"/>
    <col min="28" max="28" width="15.5703125" customWidth="1"/>
    <col min="29" max="32" width="15.5703125" style="12" customWidth="1"/>
    <col min="33" max="16384" width="8.7109375" style="12"/>
  </cols>
  <sheetData>
    <row r="1" spans="1:32" ht="30">
      <c r="A1" s="51" t="s">
        <v>271</v>
      </c>
    </row>
    <row r="2" spans="1:32" ht="30">
      <c r="A2" s="51"/>
    </row>
    <row r="3" spans="1:32">
      <c r="E3" s="65" t="s">
        <v>262</v>
      </c>
    </row>
    <row r="4" spans="1:32" ht="13.5" thickBot="1">
      <c r="E4" s="76" t="s">
        <v>272</v>
      </c>
    </row>
    <row r="5" spans="1:32" ht="13.5" thickBot="1">
      <c r="A5" s="80">
        <v>1.8517394748624221E-2</v>
      </c>
      <c r="B5" s="81" t="s">
        <v>282</v>
      </c>
      <c r="C5" s="82"/>
    </row>
    <row r="6" spans="1:32">
      <c r="B6" s="487" t="s">
        <v>229</v>
      </c>
      <c r="C6" s="488"/>
      <c r="D6" s="488"/>
      <c r="E6" s="488"/>
      <c r="F6" s="488"/>
      <c r="G6" s="488"/>
      <c r="H6" s="488"/>
      <c r="I6" s="488"/>
      <c r="J6" s="489"/>
      <c r="K6" s="490" t="s">
        <v>231</v>
      </c>
      <c r="L6" s="491"/>
      <c r="M6" s="491"/>
      <c r="N6" s="491"/>
      <c r="O6" s="491"/>
      <c r="P6" s="492"/>
      <c r="Q6" s="17"/>
      <c r="R6" s="490" t="s">
        <v>250</v>
      </c>
      <c r="S6" s="491"/>
      <c r="T6" s="491"/>
      <c r="U6" s="492"/>
      <c r="V6" s="487" t="s">
        <v>252</v>
      </c>
      <c r="W6" s="488"/>
      <c r="X6" s="488"/>
      <c r="Y6" s="488"/>
      <c r="Z6" s="488"/>
      <c r="AA6" s="489"/>
      <c r="AB6" s="93"/>
      <c r="AC6"/>
      <c r="AD6"/>
      <c r="AE6"/>
      <c r="AF6"/>
    </row>
    <row r="7" spans="1:32" s="14" customFormat="1" ht="102.75" thickBot="1">
      <c r="A7" s="14" t="s">
        <v>275</v>
      </c>
      <c r="B7" s="1" t="s">
        <v>264</v>
      </c>
      <c r="C7" s="2" t="s">
        <v>265</v>
      </c>
      <c r="D7" s="3" t="s">
        <v>266</v>
      </c>
      <c r="E7" s="3" t="s">
        <v>267</v>
      </c>
      <c r="F7" s="3" t="s">
        <v>268</v>
      </c>
      <c r="G7" s="89" t="s">
        <v>237</v>
      </c>
      <c r="H7" s="2" t="s">
        <v>269</v>
      </c>
      <c r="I7" s="89" t="s">
        <v>238</v>
      </c>
      <c r="J7" s="4" t="s">
        <v>270</v>
      </c>
      <c r="K7" s="11" t="s">
        <v>232</v>
      </c>
      <c r="L7" s="3" t="s">
        <v>233</v>
      </c>
      <c r="M7" s="2" t="s">
        <v>240</v>
      </c>
      <c r="N7" s="3" t="s">
        <v>246</v>
      </c>
      <c r="O7" s="2" t="s">
        <v>286</v>
      </c>
      <c r="P7" s="2" t="s">
        <v>247</v>
      </c>
      <c r="Q7" s="18" t="s">
        <v>234</v>
      </c>
      <c r="R7" s="1" t="s">
        <v>236</v>
      </c>
      <c r="S7" s="3" t="s">
        <v>248</v>
      </c>
      <c r="T7" s="2" t="s">
        <v>284</v>
      </c>
      <c r="U7" s="4" t="s">
        <v>249</v>
      </c>
      <c r="V7" s="1" t="s">
        <v>256</v>
      </c>
      <c r="W7" s="55" t="s">
        <v>261</v>
      </c>
      <c r="X7" s="2" t="s">
        <v>235</v>
      </c>
      <c r="Y7" s="3" t="s">
        <v>253</v>
      </c>
      <c r="Z7" s="2" t="s">
        <v>285</v>
      </c>
      <c r="AA7" s="15" t="s">
        <v>254</v>
      </c>
      <c r="AB7" s="93"/>
      <c r="AC7"/>
      <c r="AD7"/>
      <c r="AE7"/>
      <c r="AF7"/>
    </row>
    <row r="8" spans="1:32">
      <c r="A8" s="12" t="s">
        <v>276</v>
      </c>
      <c r="B8" s="88">
        <f>C8*1935/1000000</f>
        <v>204.88941</v>
      </c>
      <c r="C8" s="77">
        <v>105886</v>
      </c>
      <c r="D8" s="64">
        <f>E8*1935/1000000</f>
        <v>264.89762999999999</v>
      </c>
      <c r="E8" s="77">
        <v>136898</v>
      </c>
      <c r="F8" s="66">
        <f>D8*1000000/E8</f>
        <v>1935</v>
      </c>
      <c r="G8" s="78">
        <v>18.48</v>
      </c>
      <c r="H8" s="66">
        <f>D8*1000000*G8</f>
        <v>4895308202.4000006</v>
      </c>
      <c r="I8" s="79">
        <v>7.74</v>
      </c>
      <c r="J8" s="67">
        <f>D8*1000000*I8/1000</f>
        <v>2050307.6562000001</v>
      </c>
      <c r="K8" s="16">
        <v>101</v>
      </c>
      <c r="L8" s="68" t="str">
        <f t="shared" ref="L8:L17" si="0">VLOOKUP(K8,$B$82:$G$264,2,FALSE)</f>
        <v>EEM101</v>
      </c>
      <c r="M8" s="61">
        <v>1</v>
      </c>
      <c r="N8" s="69">
        <f t="shared" ref="N8:N17" si="1">IF(ISNA(VLOOKUP($K8,$B$82:$G$264,3,TRUE)),0,VLOOKUP($K8,$B$82:$G$264,3,TRUE))</f>
        <v>0</v>
      </c>
      <c r="O8" s="69">
        <f t="shared" ref="O8:O17" si="2">IF(ISNA(VLOOKUP($K8,$B$82:$G$264,4,TRUE)),0,VLOOKUP($K8,$B$82:$G$264,4,TRUE))</f>
        <v>0</v>
      </c>
      <c r="P8" s="69">
        <f t="shared" ref="P8:P17" si="3">IF(ISNA(VLOOKUP($K8,$B$82:$G$264,5,TRUE)),0,VLOOKUP($K8,$B$82:$G$264,5,TRUE))</f>
        <v>0</v>
      </c>
      <c r="Q8" s="103">
        <f>IF(ISNA(VLOOKUP($K8,$B$82:$H$264,7,TRUE)),0,VLOOKUP($K8,$B$82:$H$264,7,TRUE))</f>
        <v>0</v>
      </c>
      <c r="R8" s="71">
        <f>1-Q8</f>
        <v>1</v>
      </c>
      <c r="S8" s="26">
        <f>$E$8*$M8*$N8*$R8</f>
        <v>0</v>
      </c>
      <c r="T8" s="26">
        <f>$E$8*$M8*$O8*$R8</f>
        <v>0</v>
      </c>
      <c r="U8" s="73">
        <f>$E$8*$M8*$P8*$R8</f>
        <v>0</v>
      </c>
      <c r="V8" s="90">
        <f t="shared" ref="V8:V17" si="4">IF(ISNA(VLOOKUP($K8,$B$82:$G$264,6,TRUE)),0,VLOOKUP($K8,$B$82:$G$264,6,TRUE))</f>
        <v>0</v>
      </c>
      <c r="W8" s="56">
        <v>0.05</v>
      </c>
      <c r="X8" s="74">
        <f>IF(V8=0,0,(0.2*1/V8)+W8)</f>
        <v>0</v>
      </c>
      <c r="Y8" s="26">
        <f>$X8*S8</f>
        <v>0</v>
      </c>
      <c r="Z8" s="26">
        <f>$X8*T8</f>
        <v>0</v>
      </c>
      <c r="AA8" s="75">
        <f>$X8*U8</f>
        <v>0</v>
      </c>
      <c r="AB8" s="93"/>
    </row>
    <row r="9" spans="1:32">
      <c r="B9" s="5"/>
      <c r="C9" s="8"/>
      <c r="D9" s="6"/>
      <c r="E9" s="8"/>
      <c r="F9" s="8"/>
      <c r="G9" s="7"/>
      <c r="H9" s="8"/>
      <c r="I9" s="9"/>
      <c r="J9" s="10"/>
      <c r="K9" s="16">
        <f>K8+1</f>
        <v>102</v>
      </c>
      <c r="L9" s="68" t="str">
        <f t="shared" si="0"/>
        <v>EEM102</v>
      </c>
      <c r="M9" s="61">
        <v>1</v>
      </c>
      <c r="N9" s="69">
        <f t="shared" si="1"/>
        <v>0</v>
      </c>
      <c r="O9" s="69">
        <f t="shared" si="2"/>
        <v>0</v>
      </c>
      <c r="P9" s="69">
        <f t="shared" si="3"/>
        <v>0</v>
      </c>
      <c r="Q9" s="104">
        <f t="shared" ref="Q9:Q17" si="5">IF(ISNA(VLOOKUP($K9,$B$82:$H$264,7,TRUE)),0,VLOOKUP($K9,$B$82:$H$264,7,TRUE))</f>
        <v>0</v>
      </c>
      <c r="R9" s="72">
        <f t="shared" ref="R9:R17" si="6">1-Q9</f>
        <v>1</v>
      </c>
      <c r="S9" s="26">
        <f t="shared" ref="S9:S17" si="7">$E$8*$M9*$N9*$R9</f>
        <v>0</v>
      </c>
      <c r="T9" s="26">
        <f t="shared" ref="T9:T17" si="8">$E$8*$M9*$O9*$R9</f>
        <v>0</v>
      </c>
      <c r="U9" s="73">
        <f t="shared" ref="U9:U17" si="9">$E$8*$M9*$P9*$R9</f>
        <v>0</v>
      </c>
      <c r="V9" s="90">
        <f t="shared" si="4"/>
        <v>0</v>
      </c>
      <c r="W9" s="56">
        <v>0.05</v>
      </c>
      <c r="X9" s="74">
        <f t="shared" ref="X9:X17" si="10">IF(V9=0,0,(0.2*1/V9)+W9)</f>
        <v>0</v>
      </c>
      <c r="Y9" s="26">
        <f t="shared" ref="Y9:AA17" si="11">$X9*S9</f>
        <v>0</v>
      </c>
      <c r="Z9" s="26">
        <f t="shared" si="11"/>
        <v>0</v>
      </c>
      <c r="AA9" s="73">
        <f t="shared" si="11"/>
        <v>0</v>
      </c>
      <c r="AB9" s="93"/>
    </row>
    <row r="10" spans="1:32">
      <c r="B10" s="5"/>
      <c r="C10" s="8"/>
      <c r="D10" s="6"/>
      <c r="E10" s="8"/>
      <c r="F10" s="8"/>
      <c r="G10" s="7"/>
      <c r="H10" s="8"/>
      <c r="I10" s="9"/>
      <c r="J10" s="10"/>
      <c r="K10" s="16">
        <f t="shared" ref="K10:K16" si="12">K9+1</f>
        <v>103</v>
      </c>
      <c r="L10" s="68" t="str">
        <f t="shared" si="0"/>
        <v>EEM103</v>
      </c>
      <c r="M10" s="61">
        <v>1</v>
      </c>
      <c r="N10" s="69">
        <f t="shared" si="1"/>
        <v>0</v>
      </c>
      <c r="O10" s="69">
        <f t="shared" si="2"/>
        <v>0</v>
      </c>
      <c r="P10" s="69">
        <f t="shared" si="3"/>
        <v>0</v>
      </c>
      <c r="Q10" s="104">
        <f t="shared" si="5"/>
        <v>0</v>
      </c>
      <c r="R10" s="72">
        <f t="shared" si="6"/>
        <v>1</v>
      </c>
      <c r="S10" s="26">
        <f t="shared" si="7"/>
        <v>0</v>
      </c>
      <c r="T10" s="26">
        <f t="shared" si="8"/>
        <v>0</v>
      </c>
      <c r="U10" s="73">
        <f t="shared" si="9"/>
        <v>0</v>
      </c>
      <c r="V10" s="90">
        <f t="shared" si="4"/>
        <v>0</v>
      </c>
      <c r="W10" s="56">
        <v>0.05</v>
      </c>
      <c r="X10" s="74">
        <f t="shared" si="10"/>
        <v>0</v>
      </c>
      <c r="Y10" s="26">
        <f t="shared" si="11"/>
        <v>0</v>
      </c>
      <c r="Z10" s="26">
        <f t="shared" si="11"/>
        <v>0</v>
      </c>
      <c r="AA10" s="73">
        <f t="shared" si="11"/>
        <v>0</v>
      </c>
      <c r="AB10" s="93"/>
    </row>
    <row r="11" spans="1:32">
      <c r="B11" s="5"/>
      <c r="C11" s="8"/>
      <c r="D11" s="6"/>
      <c r="E11" s="8"/>
      <c r="F11" s="8"/>
      <c r="G11" s="7"/>
      <c r="H11" s="8"/>
      <c r="I11" s="9"/>
      <c r="J11" s="10"/>
      <c r="K11" s="16">
        <f t="shared" si="12"/>
        <v>104</v>
      </c>
      <c r="L11" s="68" t="str">
        <f t="shared" si="0"/>
        <v>EEM104</v>
      </c>
      <c r="M11" s="61">
        <v>1</v>
      </c>
      <c r="N11" s="69">
        <f t="shared" si="1"/>
        <v>0</v>
      </c>
      <c r="O11" s="69">
        <f t="shared" si="2"/>
        <v>0</v>
      </c>
      <c r="P11" s="69">
        <f t="shared" si="3"/>
        <v>0</v>
      </c>
      <c r="Q11" s="104">
        <f t="shared" si="5"/>
        <v>0</v>
      </c>
      <c r="R11" s="72">
        <f t="shared" si="6"/>
        <v>1</v>
      </c>
      <c r="S11" s="26">
        <f t="shared" si="7"/>
        <v>0</v>
      </c>
      <c r="T11" s="26">
        <f t="shared" si="8"/>
        <v>0</v>
      </c>
      <c r="U11" s="73">
        <f t="shared" si="9"/>
        <v>0</v>
      </c>
      <c r="V11" s="90">
        <f t="shared" si="4"/>
        <v>0</v>
      </c>
      <c r="W11" s="56">
        <v>0.05</v>
      </c>
      <c r="X11" s="74">
        <f t="shared" si="10"/>
        <v>0</v>
      </c>
      <c r="Y11" s="26">
        <f t="shared" si="11"/>
        <v>0</v>
      </c>
      <c r="Z11" s="26">
        <f t="shared" si="11"/>
        <v>0</v>
      </c>
      <c r="AA11" s="73">
        <f t="shared" si="11"/>
        <v>0</v>
      </c>
      <c r="AB11" s="93"/>
    </row>
    <row r="12" spans="1:32">
      <c r="B12" s="5"/>
      <c r="C12" s="8"/>
      <c r="D12" s="6"/>
      <c r="E12" s="8"/>
      <c r="F12" s="8"/>
      <c r="G12" s="7"/>
      <c r="H12" s="8"/>
      <c r="I12" s="9"/>
      <c r="J12" s="10"/>
      <c r="K12" s="16">
        <f t="shared" si="12"/>
        <v>105</v>
      </c>
      <c r="L12" s="68" t="str">
        <f t="shared" si="0"/>
        <v>EEM105</v>
      </c>
      <c r="M12" s="61">
        <v>1</v>
      </c>
      <c r="N12" s="69">
        <f t="shared" si="1"/>
        <v>0</v>
      </c>
      <c r="O12" s="69">
        <f t="shared" si="2"/>
        <v>0</v>
      </c>
      <c r="P12" s="69">
        <f t="shared" si="3"/>
        <v>0</v>
      </c>
      <c r="Q12" s="104">
        <f t="shared" si="5"/>
        <v>0</v>
      </c>
      <c r="R12" s="72">
        <f t="shared" si="6"/>
        <v>1</v>
      </c>
      <c r="S12" s="26">
        <f t="shared" si="7"/>
        <v>0</v>
      </c>
      <c r="T12" s="26">
        <f t="shared" si="8"/>
        <v>0</v>
      </c>
      <c r="U12" s="73">
        <f t="shared" si="9"/>
        <v>0</v>
      </c>
      <c r="V12" s="90">
        <f t="shared" si="4"/>
        <v>0</v>
      </c>
      <c r="W12" s="56">
        <v>0.05</v>
      </c>
      <c r="X12" s="74">
        <f t="shared" si="10"/>
        <v>0</v>
      </c>
      <c r="Y12" s="26">
        <f t="shared" si="11"/>
        <v>0</v>
      </c>
      <c r="Z12" s="26">
        <f t="shared" si="11"/>
        <v>0</v>
      </c>
      <c r="AA12" s="73">
        <f t="shared" si="11"/>
        <v>0</v>
      </c>
      <c r="AB12" s="93"/>
    </row>
    <row r="13" spans="1:32">
      <c r="B13" s="5"/>
      <c r="C13" s="8"/>
      <c r="D13" s="6"/>
      <c r="E13" s="8"/>
      <c r="F13" s="8"/>
      <c r="G13" s="7"/>
      <c r="H13" s="8"/>
      <c r="I13" s="9"/>
      <c r="J13" s="10"/>
      <c r="K13" s="16">
        <f t="shared" si="12"/>
        <v>106</v>
      </c>
      <c r="L13" s="68" t="str">
        <f t="shared" si="0"/>
        <v>EEM106</v>
      </c>
      <c r="M13" s="61">
        <v>1</v>
      </c>
      <c r="N13" s="69">
        <f t="shared" si="1"/>
        <v>0</v>
      </c>
      <c r="O13" s="69">
        <f t="shared" si="2"/>
        <v>0</v>
      </c>
      <c r="P13" s="69">
        <f t="shared" si="3"/>
        <v>0</v>
      </c>
      <c r="Q13" s="104">
        <f t="shared" si="5"/>
        <v>0</v>
      </c>
      <c r="R13" s="72">
        <f t="shared" si="6"/>
        <v>1</v>
      </c>
      <c r="S13" s="26">
        <f t="shared" si="7"/>
        <v>0</v>
      </c>
      <c r="T13" s="26">
        <f t="shared" si="8"/>
        <v>0</v>
      </c>
      <c r="U13" s="73">
        <f t="shared" si="9"/>
        <v>0</v>
      </c>
      <c r="V13" s="90">
        <f t="shared" si="4"/>
        <v>0</v>
      </c>
      <c r="W13" s="56">
        <v>0.05</v>
      </c>
      <c r="X13" s="74">
        <f t="shared" si="10"/>
        <v>0</v>
      </c>
      <c r="Y13" s="26">
        <f t="shared" si="11"/>
        <v>0</v>
      </c>
      <c r="Z13" s="26">
        <f t="shared" si="11"/>
        <v>0</v>
      </c>
      <c r="AA13" s="73">
        <f t="shared" si="11"/>
        <v>0</v>
      </c>
      <c r="AB13" s="93"/>
    </row>
    <row r="14" spans="1:32">
      <c r="B14" s="5"/>
      <c r="C14" s="8"/>
      <c r="D14" s="6"/>
      <c r="E14" s="8"/>
      <c r="F14" s="8"/>
      <c r="G14" s="7"/>
      <c r="H14" s="8"/>
      <c r="I14" s="9"/>
      <c r="J14" s="10"/>
      <c r="K14" s="16">
        <f t="shared" si="12"/>
        <v>107</v>
      </c>
      <c r="L14" s="68" t="str">
        <f t="shared" si="0"/>
        <v>EEM107</v>
      </c>
      <c r="M14" s="61">
        <v>1</v>
      </c>
      <c r="N14" s="69">
        <f t="shared" si="1"/>
        <v>0</v>
      </c>
      <c r="O14" s="69">
        <f t="shared" si="2"/>
        <v>0</v>
      </c>
      <c r="P14" s="69">
        <f t="shared" si="3"/>
        <v>0</v>
      </c>
      <c r="Q14" s="104">
        <f t="shared" si="5"/>
        <v>0</v>
      </c>
      <c r="R14" s="72">
        <f t="shared" si="6"/>
        <v>1</v>
      </c>
      <c r="S14" s="26">
        <f t="shared" si="7"/>
        <v>0</v>
      </c>
      <c r="T14" s="26">
        <f t="shared" si="8"/>
        <v>0</v>
      </c>
      <c r="U14" s="73">
        <f t="shared" si="9"/>
        <v>0</v>
      </c>
      <c r="V14" s="90">
        <f t="shared" si="4"/>
        <v>0</v>
      </c>
      <c r="W14" s="56">
        <v>0.05</v>
      </c>
      <c r="X14" s="74">
        <f t="shared" si="10"/>
        <v>0</v>
      </c>
      <c r="Y14" s="26">
        <f t="shared" si="11"/>
        <v>0</v>
      </c>
      <c r="Z14" s="26">
        <f t="shared" si="11"/>
        <v>0</v>
      </c>
      <c r="AA14" s="73">
        <f t="shared" si="11"/>
        <v>0</v>
      </c>
      <c r="AB14" s="93"/>
    </row>
    <row r="15" spans="1:32">
      <c r="B15" s="5"/>
      <c r="C15" s="8"/>
      <c r="D15" s="6"/>
      <c r="E15" s="8"/>
      <c r="F15" s="8"/>
      <c r="G15" s="7"/>
      <c r="H15" s="8"/>
      <c r="I15" s="9"/>
      <c r="J15" s="10"/>
      <c r="K15" s="16">
        <f t="shared" si="12"/>
        <v>108</v>
      </c>
      <c r="L15" s="68" t="str">
        <f t="shared" si="0"/>
        <v>EEM108</v>
      </c>
      <c r="M15" s="61">
        <v>1</v>
      </c>
      <c r="N15" s="69">
        <f t="shared" si="1"/>
        <v>0</v>
      </c>
      <c r="O15" s="69">
        <f t="shared" si="2"/>
        <v>0</v>
      </c>
      <c r="P15" s="69">
        <f t="shared" si="3"/>
        <v>0</v>
      </c>
      <c r="Q15" s="104">
        <f t="shared" si="5"/>
        <v>0</v>
      </c>
      <c r="R15" s="72">
        <f t="shared" si="6"/>
        <v>1</v>
      </c>
      <c r="S15" s="26">
        <f t="shared" si="7"/>
        <v>0</v>
      </c>
      <c r="T15" s="26">
        <f t="shared" si="8"/>
        <v>0</v>
      </c>
      <c r="U15" s="73">
        <f t="shared" si="9"/>
        <v>0</v>
      </c>
      <c r="V15" s="90">
        <f t="shared" si="4"/>
        <v>0</v>
      </c>
      <c r="W15" s="56">
        <v>0.05</v>
      </c>
      <c r="X15" s="74">
        <f t="shared" si="10"/>
        <v>0</v>
      </c>
      <c r="Y15" s="26">
        <f t="shared" si="11"/>
        <v>0</v>
      </c>
      <c r="Z15" s="26">
        <f t="shared" si="11"/>
        <v>0</v>
      </c>
      <c r="AA15" s="73">
        <f t="shared" si="11"/>
        <v>0</v>
      </c>
      <c r="AB15" s="93"/>
    </row>
    <row r="16" spans="1:32">
      <c r="B16" s="5"/>
      <c r="C16" s="8"/>
      <c r="D16" s="6"/>
      <c r="E16" s="29"/>
      <c r="F16" s="8"/>
      <c r="G16" s="7"/>
      <c r="H16" s="8"/>
      <c r="I16" s="9"/>
      <c r="J16" s="10"/>
      <c r="K16" s="16">
        <f t="shared" si="12"/>
        <v>109</v>
      </c>
      <c r="L16" s="68" t="str">
        <f t="shared" si="0"/>
        <v>EEM109</v>
      </c>
      <c r="M16" s="61">
        <v>1</v>
      </c>
      <c r="N16" s="69">
        <f t="shared" si="1"/>
        <v>0</v>
      </c>
      <c r="O16" s="69">
        <f t="shared" si="2"/>
        <v>0</v>
      </c>
      <c r="P16" s="70">
        <f t="shared" si="3"/>
        <v>0</v>
      </c>
      <c r="Q16" s="104">
        <f t="shared" si="5"/>
        <v>0</v>
      </c>
      <c r="R16" s="72">
        <f t="shared" si="6"/>
        <v>1</v>
      </c>
      <c r="S16" s="26">
        <f t="shared" si="7"/>
        <v>0</v>
      </c>
      <c r="T16" s="26">
        <f t="shared" si="8"/>
        <v>0</v>
      </c>
      <c r="U16" s="73">
        <f t="shared" si="9"/>
        <v>0</v>
      </c>
      <c r="V16" s="90">
        <f t="shared" si="4"/>
        <v>0</v>
      </c>
      <c r="W16" s="56">
        <v>0.05</v>
      </c>
      <c r="X16" s="74">
        <f t="shared" si="10"/>
        <v>0</v>
      </c>
      <c r="Y16" s="26">
        <f t="shared" si="11"/>
        <v>0</v>
      </c>
      <c r="Z16" s="26">
        <f t="shared" si="11"/>
        <v>0</v>
      </c>
      <c r="AA16" s="73">
        <f t="shared" si="11"/>
        <v>0</v>
      </c>
      <c r="AB16" s="93"/>
    </row>
    <row r="17" spans="1:28">
      <c r="B17" s="5"/>
      <c r="C17" s="8"/>
      <c r="D17" s="6"/>
      <c r="E17" s="29"/>
      <c r="F17" s="8"/>
      <c r="G17" s="7"/>
      <c r="H17" s="8"/>
      <c r="I17" s="9"/>
      <c r="J17" s="10"/>
      <c r="K17" s="16">
        <f>K16+1</f>
        <v>110</v>
      </c>
      <c r="L17" s="68" t="str">
        <f t="shared" si="0"/>
        <v>EEM110</v>
      </c>
      <c r="M17" s="61">
        <v>1</v>
      </c>
      <c r="N17" s="69">
        <f t="shared" si="1"/>
        <v>0</v>
      </c>
      <c r="O17" s="69">
        <f t="shared" si="2"/>
        <v>0</v>
      </c>
      <c r="P17" s="70">
        <f t="shared" si="3"/>
        <v>0</v>
      </c>
      <c r="Q17" s="104">
        <f t="shared" si="5"/>
        <v>0</v>
      </c>
      <c r="R17" s="72">
        <f t="shared" si="6"/>
        <v>1</v>
      </c>
      <c r="S17" s="26">
        <f t="shared" si="7"/>
        <v>0</v>
      </c>
      <c r="T17" s="26">
        <f t="shared" si="8"/>
        <v>0</v>
      </c>
      <c r="U17" s="73">
        <f t="shared" si="9"/>
        <v>0</v>
      </c>
      <c r="V17" s="90">
        <f t="shared" si="4"/>
        <v>0</v>
      </c>
      <c r="W17" s="56">
        <v>0.05</v>
      </c>
      <c r="X17" s="74">
        <f t="shared" si="10"/>
        <v>0</v>
      </c>
      <c r="Y17" s="26">
        <f t="shared" si="11"/>
        <v>0</v>
      </c>
      <c r="Z17" s="26">
        <f t="shared" si="11"/>
        <v>0</v>
      </c>
      <c r="AA17" s="73">
        <f t="shared" si="11"/>
        <v>0</v>
      </c>
      <c r="AB17" s="93"/>
    </row>
    <row r="18" spans="1:28">
      <c r="A18" s="30" t="s">
        <v>251</v>
      </c>
      <c r="B18" s="31"/>
      <c r="C18" s="32"/>
      <c r="D18" s="33"/>
      <c r="E18" s="34"/>
      <c r="F18" s="32"/>
      <c r="G18" s="35"/>
      <c r="H18" s="32"/>
      <c r="I18" s="36"/>
      <c r="J18" s="37"/>
      <c r="K18" s="38"/>
      <c r="L18" s="39"/>
      <c r="M18" s="40"/>
      <c r="N18" s="40"/>
      <c r="O18" s="40"/>
      <c r="P18" s="41"/>
      <c r="Q18" s="53"/>
      <c r="R18" s="42"/>
      <c r="S18" s="43">
        <f>SUM(S8:S17)</f>
        <v>0</v>
      </c>
      <c r="T18" s="43">
        <f>SUM(T8:T17)</f>
        <v>0</v>
      </c>
      <c r="U18" s="44">
        <f>SUM(U8:U17)</f>
        <v>0</v>
      </c>
      <c r="V18" s="91"/>
      <c r="W18" s="52"/>
      <c r="X18" s="52"/>
      <c r="Y18" s="43">
        <f>SUM(Y8:Y17)</f>
        <v>0</v>
      </c>
      <c r="Z18" s="43">
        <f>SUM(Z8:Z17)</f>
        <v>0</v>
      </c>
      <c r="AA18" s="44">
        <f>SUM(AA8:AA17)</f>
        <v>0</v>
      </c>
      <c r="AB18" s="93"/>
    </row>
    <row r="19" spans="1:28">
      <c r="A19" s="87" t="s">
        <v>277</v>
      </c>
      <c r="B19" s="5"/>
      <c r="C19" s="8"/>
      <c r="D19" s="6"/>
      <c r="E19" s="8"/>
      <c r="F19" s="8"/>
      <c r="G19" s="7"/>
      <c r="H19" s="8"/>
      <c r="I19" s="9"/>
      <c r="J19" s="10"/>
      <c r="K19" s="16">
        <f>K17+1</f>
        <v>111</v>
      </c>
      <c r="L19" s="19" t="str">
        <f t="shared" ref="L19:L28" si="13">VLOOKUP(K19,$B$82:$G$264,2,FALSE)</f>
        <v>EEM111</v>
      </c>
      <c r="M19" s="61">
        <v>1</v>
      </c>
      <c r="N19" s="21">
        <f t="shared" ref="N19:N28" si="14">IF(ISNA(VLOOKUP($K19,$B$82:$G$264,3,TRUE)),0,VLOOKUP($K19,$B$82:$G$264,3,TRUE))</f>
        <v>0</v>
      </c>
      <c r="O19" s="21">
        <f t="shared" ref="O19:O28" si="15">IF(ISNA(VLOOKUP($K19,$B$82:$G$264,4,TRUE)),0,VLOOKUP($K19,$B$82:$G$264,4,TRUE))</f>
        <v>0</v>
      </c>
      <c r="P19" s="20">
        <f t="shared" ref="P19:P28" si="16">IF(ISNA(VLOOKUP($K19,$B$82:$G$264,5,TRUE)),0,VLOOKUP($K19,$B$82:$G$264,5,TRUE))</f>
        <v>0</v>
      </c>
      <c r="Q19" s="62">
        <f t="shared" ref="Q19:Q28" si="17">IF(ISNA(VLOOKUP($K19,$B$82:$H$264,7,TRUE)),0,VLOOKUP($K19,$B$82:$H$264,7,TRUE))</f>
        <v>0</v>
      </c>
      <c r="R19" s="27">
        <f t="shared" ref="R19:R28" si="18">1-Q19</f>
        <v>1</v>
      </c>
      <c r="S19" s="22">
        <f t="shared" ref="S19:S28" si="19">$E$8*$M19*$N19*$R19</f>
        <v>0</v>
      </c>
      <c r="T19" s="22">
        <f t="shared" ref="T19:T28" si="20">$E$8*$M19*$O19*$R19</f>
        <v>0</v>
      </c>
      <c r="U19" s="28">
        <f t="shared" ref="U19:U28" si="21">$E$8*$M19*$P19*$R19</f>
        <v>0</v>
      </c>
      <c r="V19" s="92">
        <f t="shared" ref="V19:V28" si="22">IF(ISNA(VLOOKUP($K19,$B$82:$G$264,6,TRUE)),0,VLOOKUP($K19,$B$82:$G$264,6,TRUE))</f>
        <v>0</v>
      </c>
      <c r="W19" s="56">
        <v>0.05</v>
      </c>
      <c r="X19" s="63">
        <f t="shared" ref="X19:X28" si="23">IF(V19=0,0,(0.2*1/V19)+W19)</f>
        <v>0</v>
      </c>
      <c r="Y19" s="22">
        <f t="shared" ref="Y19:AA28" si="24">$X19*S19</f>
        <v>0</v>
      </c>
      <c r="Z19" s="22">
        <f t="shared" si="24"/>
        <v>0</v>
      </c>
      <c r="AA19" s="28">
        <f t="shared" si="24"/>
        <v>0</v>
      </c>
      <c r="AB19" s="93"/>
    </row>
    <row r="20" spans="1:28">
      <c r="A20" s="13"/>
      <c r="B20" s="5"/>
      <c r="C20" s="8"/>
      <c r="D20" s="6"/>
      <c r="E20" s="8"/>
      <c r="F20" s="8"/>
      <c r="G20" s="7"/>
      <c r="H20" s="8"/>
      <c r="I20" s="9"/>
      <c r="J20" s="10"/>
      <c r="K20" s="16">
        <f>K19+1</f>
        <v>112</v>
      </c>
      <c r="L20" s="19" t="str">
        <f t="shared" si="13"/>
        <v>EEM112</v>
      </c>
      <c r="M20" s="61">
        <v>1</v>
      </c>
      <c r="N20" s="21">
        <f t="shared" si="14"/>
        <v>0</v>
      </c>
      <c r="O20" s="21">
        <f t="shared" si="15"/>
        <v>0</v>
      </c>
      <c r="P20" s="20">
        <f t="shared" si="16"/>
        <v>0</v>
      </c>
      <c r="Q20" s="62">
        <f t="shared" si="17"/>
        <v>0</v>
      </c>
      <c r="R20" s="27">
        <f t="shared" si="18"/>
        <v>1</v>
      </c>
      <c r="S20" s="22">
        <f t="shared" si="19"/>
        <v>0</v>
      </c>
      <c r="T20" s="22">
        <f t="shared" si="20"/>
        <v>0</v>
      </c>
      <c r="U20" s="28">
        <f t="shared" si="21"/>
        <v>0</v>
      </c>
      <c r="V20" s="92">
        <f t="shared" si="22"/>
        <v>0</v>
      </c>
      <c r="W20" s="56">
        <v>0.05</v>
      </c>
      <c r="X20" s="63">
        <f t="shared" si="23"/>
        <v>0</v>
      </c>
      <c r="Y20" s="22">
        <f t="shared" si="24"/>
        <v>0</v>
      </c>
      <c r="Z20" s="22">
        <f t="shared" si="24"/>
        <v>0</v>
      </c>
      <c r="AA20" s="28">
        <f t="shared" si="24"/>
        <v>0</v>
      </c>
      <c r="AB20" s="93"/>
    </row>
    <row r="21" spans="1:28">
      <c r="A21" s="13"/>
      <c r="B21" s="5"/>
      <c r="C21" s="8"/>
      <c r="D21" s="6"/>
      <c r="E21" s="8"/>
      <c r="F21" s="8"/>
      <c r="G21" s="7"/>
      <c r="H21" s="8"/>
      <c r="I21" s="9"/>
      <c r="J21" s="10"/>
      <c r="K21" s="16">
        <f t="shared" ref="K21:K27" si="25">K20+1</f>
        <v>113</v>
      </c>
      <c r="L21" s="19" t="str">
        <f t="shared" si="13"/>
        <v>EEM113</v>
      </c>
      <c r="M21" s="61">
        <v>1</v>
      </c>
      <c r="N21" s="21">
        <f t="shared" si="14"/>
        <v>0</v>
      </c>
      <c r="O21" s="21">
        <f t="shared" si="15"/>
        <v>0</v>
      </c>
      <c r="P21" s="20">
        <f t="shared" si="16"/>
        <v>0</v>
      </c>
      <c r="Q21" s="62">
        <f t="shared" si="17"/>
        <v>0</v>
      </c>
      <c r="R21" s="27">
        <f t="shared" si="18"/>
        <v>1</v>
      </c>
      <c r="S21" s="22">
        <f t="shared" si="19"/>
        <v>0</v>
      </c>
      <c r="T21" s="22">
        <f t="shared" si="20"/>
        <v>0</v>
      </c>
      <c r="U21" s="28">
        <f t="shared" si="21"/>
        <v>0</v>
      </c>
      <c r="V21" s="92">
        <f t="shared" si="22"/>
        <v>0</v>
      </c>
      <c r="W21" s="56">
        <v>0.05</v>
      </c>
      <c r="X21" s="63">
        <f t="shared" si="23"/>
        <v>0</v>
      </c>
      <c r="Y21" s="22">
        <f t="shared" si="24"/>
        <v>0</v>
      </c>
      <c r="Z21" s="22">
        <f t="shared" si="24"/>
        <v>0</v>
      </c>
      <c r="AA21" s="28">
        <f t="shared" si="24"/>
        <v>0</v>
      </c>
      <c r="AB21" s="93"/>
    </row>
    <row r="22" spans="1:28">
      <c r="A22" s="13"/>
      <c r="B22" s="5"/>
      <c r="C22" s="8"/>
      <c r="D22" s="6"/>
      <c r="E22" s="8"/>
      <c r="F22" s="8"/>
      <c r="G22" s="7"/>
      <c r="H22" s="8"/>
      <c r="I22" s="9"/>
      <c r="J22" s="10"/>
      <c r="K22" s="16">
        <f t="shared" si="25"/>
        <v>114</v>
      </c>
      <c r="L22" s="19" t="str">
        <f t="shared" si="13"/>
        <v>EEM114</v>
      </c>
      <c r="M22" s="61">
        <v>1</v>
      </c>
      <c r="N22" s="21">
        <f t="shared" si="14"/>
        <v>0</v>
      </c>
      <c r="O22" s="21">
        <f t="shared" si="15"/>
        <v>0</v>
      </c>
      <c r="P22" s="20">
        <f t="shared" si="16"/>
        <v>0</v>
      </c>
      <c r="Q22" s="62">
        <f t="shared" si="17"/>
        <v>0</v>
      </c>
      <c r="R22" s="27">
        <f t="shared" si="18"/>
        <v>1</v>
      </c>
      <c r="S22" s="22">
        <f t="shared" si="19"/>
        <v>0</v>
      </c>
      <c r="T22" s="22">
        <f t="shared" si="20"/>
        <v>0</v>
      </c>
      <c r="U22" s="28">
        <f t="shared" si="21"/>
        <v>0</v>
      </c>
      <c r="V22" s="92">
        <f t="shared" si="22"/>
        <v>0</v>
      </c>
      <c r="W22" s="56">
        <v>0.05</v>
      </c>
      <c r="X22" s="63">
        <f t="shared" si="23"/>
        <v>0</v>
      </c>
      <c r="Y22" s="22">
        <f t="shared" si="24"/>
        <v>0</v>
      </c>
      <c r="Z22" s="22">
        <f t="shared" si="24"/>
        <v>0</v>
      </c>
      <c r="AA22" s="28">
        <f t="shared" si="24"/>
        <v>0</v>
      </c>
      <c r="AB22" s="93"/>
    </row>
    <row r="23" spans="1:28">
      <c r="A23" s="13"/>
      <c r="B23" s="5"/>
      <c r="C23" s="8"/>
      <c r="D23" s="6"/>
      <c r="E23" s="8"/>
      <c r="F23" s="8"/>
      <c r="G23" s="7"/>
      <c r="H23" s="8"/>
      <c r="I23" s="9"/>
      <c r="J23" s="10"/>
      <c r="K23" s="16">
        <f t="shared" si="25"/>
        <v>115</v>
      </c>
      <c r="L23" s="19" t="str">
        <f t="shared" si="13"/>
        <v>EEM115</v>
      </c>
      <c r="M23" s="61">
        <v>1</v>
      </c>
      <c r="N23" s="21">
        <f t="shared" si="14"/>
        <v>0</v>
      </c>
      <c r="O23" s="21">
        <f t="shared" si="15"/>
        <v>0</v>
      </c>
      <c r="P23" s="20">
        <f t="shared" si="16"/>
        <v>0</v>
      </c>
      <c r="Q23" s="62">
        <f t="shared" si="17"/>
        <v>0</v>
      </c>
      <c r="R23" s="27">
        <f t="shared" si="18"/>
        <v>1</v>
      </c>
      <c r="S23" s="22">
        <f t="shared" si="19"/>
        <v>0</v>
      </c>
      <c r="T23" s="22">
        <f t="shared" si="20"/>
        <v>0</v>
      </c>
      <c r="U23" s="28">
        <f t="shared" si="21"/>
        <v>0</v>
      </c>
      <c r="V23" s="92">
        <f t="shared" si="22"/>
        <v>0</v>
      </c>
      <c r="W23" s="56">
        <v>0.05</v>
      </c>
      <c r="X23" s="63">
        <f t="shared" si="23"/>
        <v>0</v>
      </c>
      <c r="Y23" s="22">
        <f t="shared" si="24"/>
        <v>0</v>
      </c>
      <c r="Z23" s="22">
        <f t="shared" si="24"/>
        <v>0</v>
      </c>
      <c r="AA23" s="28">
        <f t="shared" si="24"/>
        <v>0</v>
      </c>
      <c r="AB23" s="93"/>
    </row>
    <row r="24" spans="1:28">
      <c r="A24" s="13"/>
      <c r="B24" s="5"/>
      <c r="C24" s="8"/>
      <c r="D24" s="6"/>
      <c r="E24" s="8"/>
      <c r="F24" s="8"/>
      <c r="G24" s="7"/>
      <c r="H24" s="8"/>
      <c r="I24" s="9"/>
      <c r="J24" s="10"/>
      <c r="K24" s="16">
        <f t="shared" si="25"/>
        <v>116</v>
      </c>
      <c r="L24" s="19" t="str">
        <f t="shared" si="13"/>
        <v>EEM116</v>
      </c>
      <c r="M24" s="61">
        <v>1</v>
      </c>
      <c r="N24" s="21">
        <f t="shared" si="14"/>
        <v>0</v>
      </c>
      <c r="O24" s="21">
        <f t="shared" si="15"/>
        <v>0</v>
      </c>
      <c r="P24" s="20">
        <f t="shared" si="16"/>
        <v>0</v>
      </c>
      <c r="Q24" s="62">
        <f t="shared" si="17"/>
        <v>0</v>
      </c>
      <c r="R24" s="27">
        <f t="shared" si="18"/>
        <v>1</v>
      </c>
      <c r="S24" s="22">
        <f t="shared" si="19"/>
        <v>0</v>
      </c>
      <c r="T24" s="22">
        <f t="shared" si="20"/>
        <v>0</v>
      </c>
      <c r="U24" s="28">
        <f t="shared" si="21"/>
        <v>0</v>
      </c>
      <c r="V24" s="92">
        <f t="shared" si="22"/>
        <v>0</v>
      </c>
      <c r="W24" s="56">
        <v>0.05</v>
      </c>
      <c r="X24" s="63">
        <f t="shared" si="23"/>
        <v>0</v>
      </c>
      <c r="Y24" s="22">
        <f t="shared" si="24"/>
        <v>0</v>
      </c>
      <c r="Z24" s="22">
        <f t="shared" si="24"/>
        <v>0</v>
      </c>
      <c r="AA24" s="28">
        <f t="shared" si="24"/>
        <v>0</v>
      </c>
      <c r="AB24" s="93"/>
    </row>
    <row r="25" spans="1:28">
      <c r="A25" s="13"/>
      <c r="B25" s="5"/>
      <c r="C25" s="8"/>
      <c r="D25" s="6"/>
      <c r="E25" s="8"/>
      <c r="F25" s="8"/>
      <c r="G25" s="7"/>
      <c r="H25" s="8"/>
      <c r="I25" s="9"/>
      <c r="J25" s="10"/>
      <c r="K25" s="16">
        <f t="shared" si="25"/>
        <v>117</v>
      </c>
      <c r="L25" s="19" t="str">
        <f t="shared" si="13"/>
        <v>EEM117</v>
      </c>
      <c r="M25" s="61">
        <v>1</v>
      </c>
      <c r="N25" s="21">
        <f t="shared" si="14"/>
        <v>0</v>
      </c>
      <c r="O25" s="21">
        <f t="shared" si="15"/>
        <v>0</v>
      </c>
      <c r="P25" s="20">
        <f t="shared" si="16"/>
        <v>0</v>
      </c>
      <c r="Q25" s="62">
        <f t="shared" si="17"/>
        <v>0</v>
      </c>
      <c r="R25" s="27">
        <f t="shared" si="18"/>
        <v>1</v>
      </c>
      <c r="S25" s="22">
        <f t="shared" si="19"/>
        <v>0</v>
      </c>
      <c r="T25" s="22">
        <f t="shared" si="20"/>
        <v>0</v>
      </c>
      <c r="U25" s="28">
        <f t="shared" si="21"/>
        <v>0</v>
      </c>
      <c r="V25" s="92">
        <f t="shared" si="22"/>
        <v>0</v>
      </c>
      <c r="W25" s="56">
        <v>0.05</v>
      </c>
      <c r="X25" s="63">
        <f t="shared" si="23"/>
        <v>0</v>
      </c>
      <c r="Y25" s="22">
        <f t="shared" si="24"/>
        <v>0</v>
      </c>
      <c r="Z25" s="22">
        <f t="shared" si="24"/>
        <v>0</v>
      </c>
      <c r="AA25" s="28">
        <f t="shared" si="24"/>
        <v>0</v>
      </c>
      <c r="AB25" s="93"/>
    </row>
    <row r="26" spans="1:28">
      <c r="A26" s="13"/>
      <c r="B26" s="5"/>
      <c r="C26" s="8"/>
      <c r="D26" s="6"/>
      <c r="E26" s="8"/>
      <c r="F26" s="8"/>
      <c r="G26" s="7"/>
      <c r="H26" s="8"/>
      <c r="I26" s="9"/>
      <c r="J26" s="10"/>
      <c r="K26" s="16">
        <f t="shared" si="25"/>
        <v>118</v>
      </c>
      <c r="L26" s="19" t="str">
        <f t="shared" si="13"/>
        <v>EEM118</v>
      </c>
      <c r="M26" s="61">
        <v>1</v>
      </c>
      <c r="N26" s="21">
        <f t="shared" si="14"/>
        <v>0</v>
      </c>
      <c r="O26" s="21">
        <f t="shared" si="15"/>
        <v>0</v>
      </c>
      <c r="P26" s="20">
        <f t="shared" si="16"/>
        <v>0</v>
      </c>
      <c r="Q26" s="62">
        <f t="shared" si="17"/>
        <v>0</v>
      </c>
      <c r="R26" s="27">
        <f t="shared" si="18"/>
        <v>1</v>
      </c>
      <c r="S26" s="22">
        <f t="shared" si="19"/>
        <v>0</v>
      </c>
      <c r="T26" s="22">
        <f t="shared" si="20"/>
        <v>0</v>
      </c>
      <c r="U26" s="28">
        <f t="shared" si="21"/>
        <v>0</v>
      </c>
      <c r="V26" s="92">
        <f t="shared" si="22"/>
        <v>0</v>
      </c>
      <c r="W26" s="56">
        <v>0.05</v>
      </c>
      <c r="X26" s="63">
        <f t="shared" si="23"/>
        <v>0</v>
      </c>
      <c r="Y26" s="22">
        <f t="shared" si="24"/>
        <v>0</v>
      </c>
      <c r="Z26" s="22">
        <f t="shared" si="24"/>
        <v>0</v>
      </c>
      <c r="AA26" s="28">
        <f t="shared" si="24"/>
        <v>0</v>
      </c>
      <c r="AB26" s="93"/>
    </row>
    <row r="27" spans="1:28">
      <c r="A27" s="13"/>
      <c r="B27" s="5"/>
      <c r="C27" s="8"/>
      <c r="D27" s="6"/>
      <c r="E27" s="29"/>
      <c r="F27" s="8"/>
      <c r="G27" s="7"/>
      <c r="H27" s="8"/>
      <c r="I27" s="9"/>
      <c r="J27" s="10"/>
      <c r="K27" s="16">
        <f t="shared" si="25"/>
        <v>119</v>
      </c>
      <c r="L27" s="19" t="str">
        <f t="shared" si="13"/>
        <v>EEM119</v>
      </c>
      <c r="M27" s="61">
        <v>1</v>
      </c>
      <c r="N27" s="21">
        <f t="shared" si="14"/>
        <v>0</v>
      </c>
      <c r="O27" s="21">
        <f t="shared" si="15"/>
        <v>0</v>
      </c>
      <c r="P27" s="20">
        <f t="shared" si="16"/>
        <v>0</v>
      </c>
      <c r="Q27" s="62">
        <f t="shared" si="17"/>
        <v>0</v>
      </c>
      <c r="R27" s="27">
        <f t="shared" si="18"/>
        <v>1</v>
      </c>
      <c r="S27" s="22">
        <f t="shared" si="19"/>
        <v>0</v>
      </c>
      <c r="T27" s="22">
        <f t="shared" si="20"/>
        <v>0</v>
      </c>
      <c r="U27" s="28">
        <f t="shared" si="21"/>
        <v>0</v>
      </c>
      <c r="V27" s="92">
        <f t="shared" si="22"/>
        <v>0</v>
      </c>
      <c r="W27" s="56">
        <v>0.05</v>
      </c>
      <c r="X27" s="63">
        <f t="shared" si="23"/>
        <v>0</v>
      </c>
      <c r="Y27" s="22">
        <f t="shared" si="24"/>
        <v>0</v>
      </c>
      <c r="Z27" s="22">
        <f t="shared" si="24"/>
        <v>0</v>
      </c>
      <c r="AA27" s="28">
        <f t="shared" si="24"/>
        <v>0</v>
      </c>
      <c r="AB27" s="93"/>
    </row>
    <row r="28" spans="1:28">
      <c r="A28" s="13"/>
      <c r="B28" s="5"/>
      <c r="C28" s="8"/>
      <c r="D28" s="6"/>
      <c r="E28" s="29"/>
      <c r="F28" s="8"/>
      <c r="G28" s="7"/>
      <c r="H28" s="8"/>
      <c r="I28" s="9"/>
      <c r="J28" s="10"/>
      <c r="K28" s="16">
        <f>K27+1</f>
        <v>120</v>
      </c>
      <c r="L28" s="19" t="str">
        <f t="shared" si="13"/>
        <v>EEM120</v>
      </c>
      <c r="M28" s="61">
        <v>1</v>
      </c>
      <c r="N28" s="21">
        <f t="shared" si="14"/>
        <v>0</v>
      </c>
      <c r="O28" s="21">
        <f t="shared" si="15"/>
        <v>0</v>
      </c>
      <c r="P28" s="20">
        <f t="shared" si="16"/>
        <v>0</v>
      </c>
      <c r="Q28" s="62">
        <f t="shared" si="17"/>
        <v>0</v>
      </c>
      <c r="R28" s="27">
        <f t="shared" si="18"/>
        <v>1</v>
      </c>
      <c r="S28" s="22">
        <f t="shared" si="19"/>
        <v>0</v>
      </c>
      <c r="T28" s="22">
        <f t="shared" si="20"/>
        <v>0</v>
      </c>
      <c r="U28" s="28">
        <f t="shared" si="21"/>
        <v>0</v>
      </c>
      <c r="V28" s="92">
        <f t="shared" si="22"/>
        <v>0</v>
      </c>
      <c r="W28" s="56">
        <v>0.05</v>
      </c>
      <c r="X28" s="63">
        <f t="shared" si="23"/>
        <v>0</v>
      </c>
      <c r="Y28" s="22">
        <f t="shared" si="24"/>
        <v>0</v>
      </c>
      <c r="Z28" s="22">
        <f t="shared" si="24"/>
        <v>0</v>
      </c>
      <c r="AA28" s="28">
        <f t="shared" si="24"/>
        <v>0</v>
      </c>
      <c r="AB28" s="93"/>
    </row>
    <row r="29" spans="1:28">
      <c r="A29" s="30" t="s">
        <v>251</v>
      </c>
      <c r="B29" s="31"/>
      <c r="C29" s="32"/>
      <c r="D29" s="33"/>
      <c r="E29" s="34"/>
      <c r="F29" s="32"/>
      <c r="G29" s="35"/>
      <c r="H29" s="32"/>
      <c r="I29" s="36"/>
      <c r="J29" s="37"/>
      <c r="K29" s="38"/>
      <c r="L29" s="39"/>
      <c r="M29" s="40"/>
      <c r="N29" s="40"/>
      <c r="O29" s="40"/>
      <c r="P29" s="41"/>
      <c r="Q29" s="53"/>
      <c r="R29" s="42"/>
      <c r="S29" s="43">
        <f>SUM(S19:S28)</f>
        <v>0</v>
      </c>
      <c r="T29" s="43">
        <f>SUM(T19:T28)</f>
        <v>0</v>
      </c>
      <c r="U29" s="44">
        <f>SUM(U19:U28)</f>
        <v>0</v>
      </c>
      <c r="V29" s="91"/>
      <c r="W29" s="52"/>
      <c r="X29" s="52"/>
      <c r="Y29" s="43">
        <f>SUM(Y19:Y28)</f>
        <v>0</v>
      </c>
      <c r="Z29" s="43">
        <f>SUM(Z19:Z28)</f>
        <v>0</v>
      </c>
      <c r="AA29" s="44">
        <f>SUM(AA19:AA28)</f>
        <v>0</v>
      </c>
      <c r="AB29" s="93"/>
    </row>
    <row r="30" spans="1:28">
      <c r="A30" s="87" t="s">
        <v>278</v>
      </c>
      <c r="B30" s="5"/>
      <c r="C30" s="8"/>
      <c r="D30" s="6"/>
      <c r="E30" s="8"/>
      <c r="F30" s="8"/>
      <c r="G30" s="7"/>
      <c r="H30" s="8"/>
      <c r="I30" s="9"/>
      <c r="J30" s="10"/>
      <c r="K30" s="16">
        <f>K28+1</f>
        <v>121</v>
      </c>
      <c r="L30" s="19" t="str">
        <f t="shared" ref="L30:L39" si="26">VLOOKUP(K30,$B$82:$G$264,2,FALSE)</f>
        <v>EEM121</v>
      </c>
      <c r="M30" s="61">
        <v>1</v>
      </c>
      <c r="N30" s="21">
        <f t="shared" ref="N30:N39" si="27">IF(ISNA(VLOOKUP($K30,$B$82:$G$264,3,TRUE)),0,VLOOKUP($K30,$B$82:$G$264,3,TRUE))</f>
        <v>0</v>
      </c>
      <c r="O30" s="21">
        <f t="shared" ref="O30:O39" si="28">IF(ISNA(VLOOKUP($K30,$B$82:$G$264,4,TRUE)),0,VLOOKUP($K30,$B$82:$G$264,4,TRUE))</f>
        <v>0</v>
      </c>
      <c r="P30" s="20">
        <f t="shared" ref="P30:P39" si="29">IF(ISNA(VLOOKUP($K30,$B$82:$G$264,5,TRUE)),0,VLOOKUP($K30,$B$82:$G$264,5,TRUE))</f>
        <v>0</v>
      </c>
      <c r="Q30" s="62">
        <f t="shared" ref="Q30:Q39" si="30">IF(ISNA(VLOOKUP($K30,$B$82:$H$264,7,TRUE)),0,VLOOKUP($K30,$B$82:$H$264,7,TRUE))</f>
        <v>0</v>
      </c>
      <c r="R30" s="27">
        <f t="shared" ref="R30:R39" si="31">1-Q30</f>
        <v>1</v>
      </c>
      <c r="S30" s="22">
        <f t="shared" ref="S30:S39" si="32">$E$8*$M30*$N30*$R30</f>
        <v>0</v>
      </c>
      <c r="T30" s="22">
        <f t="shared" ref="T30:T39" si="33">$E$8*$M30*$O30*$R30</f>
        <v>0</v>
      </c>
      <c r="U30" s="28">
        <f t="shared" ref="U30:U39" si="34">$E$8*$M30*$P30*$R30</f>
        <v>0</v>
      </c>
      <c r="V30" s="92">
        <f t="shared" ref="V30:V39" si="35">IF(ISNA(VLOOKUP($K30,$B$82:$G$264,6,TRUE)),0,VLOOKUP($K30,$B$82:$G$264,6,TRUE))</f>
        <v>0</v>
      </c>
      <c r="W30" s="56">
        <v>0.05</v>
      </c>
      <c r="X30" s="63">
        <f t="shared" ref="X30:X39" si="36">IF(V30=0,0,(0.2*1/V30)+W30)</f>
        <v>0</v>
      </c>
      <c r="Y30" s="22">
        <f t="shared" ref="Y30:AA39" si="37">$X30*S30</f>
        <v>0</v>
      </c>
      <c r="Z30" s="22">
        <f t="shared" si="37"/>
        <v>0</v>
      </c>
      <c r="AA30" s="28">
        <f t="shared" si="37"/>
        <v>0</v>
      </c>
      <c r="AB30" s="93"/>
    </row>
    <row r="31" spans="1:28">
      <c r="B31" s="5"/>
      <c r="C31" s="8"/>
      <c r="D31" s="6"/>
      <c r="E31" s="8"/>
      <c r="F31" s="8"/>
      <c r="G31" s="7"/>
      <c r="H31" s="8"/>
      <c r="I31" s="9"/>
      <c r="J31" s="10"/>
      <c r="K31" s="16">
        <f>K30+1</f>
        <v>122</v>
      </c>
      <c r="L31" s="19" t="str">
        <f t="shared" si="26"/>
        <v>EEM122</v>
      </c>
      <c r="M31" s="61">
        <v>1</v>
      </c>
      <c r="N31" s="21">
        <f t="shared" si="27"/>
        <v>0</v>
      </c>
      <c r="O31" s="21">
        <f t="shared" si="28"/>
        <v>0</v>
      </c>
      <c r="P31" s="20">
        <f t="shared" si="29"/>
        <v>0</v>
      </c>
      <c r="Q31" s="62">
        <f t="shared" si="30"/>
        <v>0</v>
      </c>
      <c r="R31" s="27">
        <f t="shared" si="31"/>
        <v>1</v>
      </c>
      <c r="S31" s="22">
        <f t="shared" si="32"/>
        <v>0</v>
      </c>
      <c r="T31" s="22">
        <f t="shared" si="33"/>
        <v>0</v>
      </c>
      <c r="U31" s="28">
        <f t="shared" si="34"/>
        <v>0</v>
      </c>
      <c r="V31" s="92">
        <f t="shared" si="35"/>
        <v>0</v>
      </c>
      <c r="W31" s="56">
        <v>0.05</v>
      </c>
      <c r="X31" s="63">
        <f t="shared" si="36"/>
        <v>0</v>
      </c>
      <c r="Y31" s="22">
        <f t="shared" si="37"/>
        <v>0</v>
      </c>
      <c r="Z31" s="22">
        <f t="shared" si="37"/>
        <v>0</v>
      </c>
      <c r="AA31" s="28">
        <f t="shared" si="37"/>
        <v>0</v>
      </c>
      <c r="AB31" s="93"/>
    </row>
    <row r="32" spans="1:28">
      <c r="B32" s="5"/>
      <c r="C32" s="8"/>
      <c r="D32" s="6"/>
      <c r="E32" s="8"/>
      <c r="F32" s="8"/>
      <c r="G32" s="7"/>
      <c r="H32" s="8"/>
      <c r="I32" s="9"/>
      <c r="J32" s="10"/>
      <c r="K32" s="16">
        <f t="shared" ref="K32:K38" si="38">K31+1</f>
        <v>123</v>
      </c>
      <c r="L32" s="19" t="str">
        <f t="shared" si="26"/>
        <v>EEM123</v>
      </c>
      <c r="M32" s="61">
        <v>1</v>
      </c>
      <c r="N32" s="21">
        <f t="shared" si="27"/>
        <v>0</v>
      </c>
      <c r="O32" s="21">
        <f t="shared" si="28"/>
        <v>0</v>
      </c>
      <c r="P32" s="20">
        <f t="shared" si="29"/>
        <v>0</v>
      </c>
      <c r="Q32" s="62">
        <f t="shared" si="30"/>
        <v>0</v>
      </c>
      <c r="R32" s="27">
        <f t="shared" si="31"/>
        <v>1</v>
      </c>
      <c r="S32" s="22">
        <f t="shared" si="32"/>
        <v>0</v>
      </c>
      <c r="T32" s="22">
        <f t="shared" si="33"/>
        <v>0</v>
      </c>
      <c r="U32" s="28">
        <f t="shared" si="34"/>
        <v>0</v>
      </c>
      <c r="V32" s="92">
        <f t="shared" si="35"/>
        <v>0</v>
      </c>
      <c r="W32" s="56">
        <v>0.05</v>
      </c>
      <c r="X32" s="63">
        <f t="shared" si="36"/>
        <v>0</v>
      </c>
      <c r="Y32" s="22">
        <f t="shared" si="37"/>
        <v>0</v>
      </c>
      <c r="Z32" s="22">
        <f t="shared" si="37"/>
        <v>0</v>
      </c>
      <c r="AA32" s="28">
        <f t="shared" si="37"/>
        <v>0</v>
      </c>
      <c r="AB32" s="93"/>
    </row>
    <row r="33" spans="1:28">
      <c r="B33" s="5"/>
      <c r="C33" s="8"/>
      <c r="D33" s="6"/>
      <c r="E33" s="8"/>
      <c r="F33" s="8"/>
      <c r="G33" s="7"/>
      <c r="H33" s="8"/>
      <c r="I33" s="9"/>
      <c r="J33" s="10"/>
      <c r="K33" s="16">
        <f t="shared" si="38"/>
        <v>124</v>
      </c>
      <c r="L33" s="19" t="str">
        <f t="shared" si="26"/>
        <v>EEM124</v>
      </c>
      <c r="M33" s="61">
        <v>1</v>
      </c>
      <c r="N33" s="21">
        <f t="shared" si="27"/>
        <v>0</v>
      </c>
      <c r="O33" s="21">
        <f t="shared" si="28"/>
        <v>0</v>
      </c>
      <c r="P33" s="20">
        <f t="shared" si="29"/>
        <v>0</v>
      </c>
      <c r="Q33" s="62">
        <f t="shared" si="30"/>
        <v>0</v>
      </c>
      <c r="R33" s="27">
        <f t="shared" si="31"/>
        <v>1</v>
      </c>
      <c r="S33" s="22">
        <f t="shared" si="32"/>
        <v>0</v>
      </c>
      <c r="T33" s="22">
        <f t="shared" si="33"/>
        <v>0</v>
      </c>
      <c r="U33" s="28">
        <f t="shared" si="34"/>
        <v>0</v>
      </c>
      <c r="V33" s="92">
        <f t="shared" si="35"/>
        <v>0</v>
      </c>
      <c r="W33" s="56">
        <v>0.05</v>
      </c>
      <c r="X33" s="63">
        <f t="shared" si="36"/>
        <v>0</v>
      </c>
      <c r="Y33" s="22">
        <f t="shared" si="37"/>
        <v>0</v>
      </c>
      <c r="Z33" s="22">
        <f t="shared" si="37"/>
        <v>0</v>
      </c>
      <c r="AA33" s="28">
        <f t="shared" si="37"/>
        <v>0</v>
      </c>
      <c r="AB33" s="93"/>
    </row>
    <row r="34" spans="1:28">
      <c r="B34" s="5"/>
      <c r="C34" s="8"/>
      <c r="D34" s="6"/>
      <c r="E34" s="8"/>
      <c r="F34" s="8"/>
      <c r="G34" s="7"/>
      <c r="H34" s="8"/>
      <c r="I34" s="9"/>
      <c r="J34" s="10"/>
      <c r="K34" s="16">
        <f t="shared" si="38"/>
        <v>125</v>
      </c>
      <c r="L34" s="19" t="str">
        <f t="shared" si="26"/>
        <v>EEM125</v>
      </c>
      <c r="M34" s="61">
        <v>1</v>
      </c>
      <c r="N34" s="21">
        <f t="shared" si="27"/>
        <v>0</v>
      </c>
      <c r="O34" s="21">
        <f t="shared" si="28"/>
        <v>0</v>
      </c>
      <c r="P34" s="20">
        <f t="shared" si="29"/>
        <v>0</v>
      </c>
      <c r="Q34" s="62">
        <f t="shared" si="30"/>
        <v>0</v>
      </c>
      <c r="R34" s="27">
        <f t="shared" si="31"/>
        <v>1</v>
      </c>
      <c r="S34" s="22">
        <f t="shared" si="32"/>
        <v>0</v>
      </c>
      <c r="T34" s="22">
        <f t="shared" si="33"/>
        <v>0</v>
      </c>
      <c r="U34" s="28">
        <f t="shared" si="34"/>
        <v>0</v>
      </c>
      <c r="V34" s="92">
        <f t="shared" si="35"/>
        <v>0</v>
      </c>
      <c r="W34" s="56">
        <v>0.05</v>
      </c>
      <c r="X34" s="63">
        <f t="shared" si="36"/>
        <v>0</v>
      </c>
      <c r="Y34" s="22">
        <f t="shared" si="37"/>
        <v>0</v>
      </c>
      <c r="Z34" s="22">
        <f t="shared" si="37"/>
        <v>0</v>
      </c>
      <c r="AA34" s="28">
        <f t="shared" si="37"/>
        <v>0</v>
      </c>
      <c r="AB34" s="93"/>
    </row>
    <row r="35" spans="1:28">
      <c r="B35" s="5"/>
      <c r="C35" s="8"/>
      <c r="D35" s="6"/>
      <c r="E35" s="8"/>
      <c r="F35" s="8"/>
      <c r="G35" s="7"/>
      <c r="H35" s="8"/>
      <c r="I35" s="9"/>
      <c r="J35" s="10"/>
      <c r="K35" s="16">
        <f t="shared" si="38"/>
        <v>126</v>
      </c>
      <c r="L35" s="19" t="str">
        <f t="shared" si="26"/>
        <v>EEM126</v>
      </c>
      <c r="M35" s="61">
        <v>1</v>
      </c>
      <c r="N35" s="21">
        <f t="shared" si="27"/>
        <v>0</v>
      </c>
      <c r="O35" s="21">
        <f t="shared" si="28"/>
        <v>0</v>
      </c>
      <c r="P35" s="20">
        <f t="shared" si="29"/>
        <v>0</v>
      </c>
      <c r="Q35" s="62">
        <f t="shared" si="30"/>
        <v>0</v>
      </c>
      <c r="R35" s="27">
        <f t="shared" si="31"/>
        <v>1</v>
      </c>
      <c r="S35" s="22">
        <f t="shared" si="32"/>
        <v>0</v>
      </c>
      <c r="T35" s="22">
        <f t="shared" si="33"/>
        <v>0</v>
      </c>
      <c r="U35" s="28">
        <f t="shared" si="34"/>
        <v>0</v>
      </c>
      <c r="V35" s="92">
        <f t="shared" si="35"/>
        <v>0</v>
      </c>
      <c r="W35" s="56">
        <v>0.05</v>
      </c>
      <c r="X35" s="63">
        <f t="shared" si="36"/>
        <v>0</v>
      </c>
      <c r="Y35" s="22">
        <f t="shared" si="37"/>
        <v>0</v>
      </c>
      <c r="Z35" s="22">
        <f t="shared" si="37"/>
        <v>0</v>
      </c>
      <c r="AA35" s="28">
        <f t="shared" si="37"/>
        <v>0</v>
      </c>
      <c r="AB35" s="93"/>
    </row>
    <row r="36" spans="1:28">
      <c r="B36" s="5"/>
      <c r="C36" s="8"/>
      <c r="D36" s="6"/>
      <c r="E36" s="8"/>
      <c r="F36" s="8"/>
      <c r="G36" s="7"/>
      <c r="H36" s="8"/>
      <c r="I36" s="9"/>
      <c r="J36" s="10"/>
      <c r="K36" s="16">
        <f t="shared" si="38"/>
        <v>127</v>
      </c>
      <c r="L36" s="19" t="str">
        <f t="shared" si="26"/>
        <v>EEM127</v>
      </c>
      <c r="M36" s="61">
        <v>1</v>
      </c>
      <c r="N36" s="21">
        <f t="shared" si="27"/>
        <v>0</v>
      </c>
      <c r="O36" s="21">
        <f t="shared" si="28"/>
        <v>0</v>
      </c>
      <c r="P36" s="20">
        <f t="shared" si="29"/>
        <v>0</v>
      </c>
      <c r="Q36" s="62">
        <f t="shared" si="30"/>
        <v>0</v>
      </c>
      <c r="R36" s="27">
        <f t="shared" si="31"/>
        <v>1</v>
      </c>
      <c r="S36" s="22">
        <f t="shared" si="32"/>
        <v>0</v>
      </c>
      <c r="T36" s="22">
        <f t="shared" si="33"/>
        <v>0</v>
      </c>
      <c r="U36" s="28">
        <f t="shared" si="34"/>
        <v>0</v>
      </c>
      <c r="V36" s="92">
        <f t="shared" si="35"/>
        <v>0</v>
      </c>
      <c r="W36" s="56">
        <v>0.05</v>
      </c>
      <c r="X36" s="63">
        <f t="shared" si="36"/>
        <v>0</v>
      </c>
      <c r="Y36" s="22">
        <f t="shared" si="37"/>
        <v>0</v>
      </c>
      <c r="Z36" s="22">
        <f t="shared" si="37"/>
        <v>0</v>
      </c>
      <c r="AA36" s="28">
        <f t="shared" si="37"/>
        <v>0</v>
      </c>
      <c r="AB36" s="93"/>
    </row>
    <row r="37" spans="1:28">
      <c r="B37" s="5"/>
      <c r="C37" s="8"/>
      <c r="D37" s="6"/>
      <c r="E37" s="8"/>
      <c r="F37" s="8"/>
      <c r="G37" s="7"/>
      <c r="H37" s="8"/>
      <c r="I37" s="9"/>
      <c r="J37" s="10"/>
      <c r="K37" s="16">
        <f t="shared" si="38"/>
        <v>128</v>
      </c>
      <c r="L37" s="19" t="str">
        <f t="shared" si="26"/>
        <v>EEM128</v>
      </c>
      <c r="M37" s="61">
        <v>1</v>
      </c>
      <c r="N37" s="21">
        <f t="shared" si="27"/>
        <v>0</v>
      </c>
      <c r="O37" s="21">
        <f t="shared" si="28"/>
        <v>0</v>
      </c>
      <c r="P37" s="20">
        <f t="shared" si="29"/>
        <v>0</v>
      </c>
      <c r="Q37" s="62">
        <f t="shared" si="30"/>
        <v>0</v>
      </c>
      <c r="R37" s="27">
        <f t="shared" si="31"/>
        <v>1</v>
      </c>
      <c r="S37" s="22">
        <f t="shared" si="32"/>
        <v>0</v>
      </c>
      <c r="T37" s="22">
        <f t="shared" si="33"/>
        <v>0</v>
      </c>
      <c r="U37" s="28">
        <f t="shared" si="34"/>
        <v>0</v>
      </c>
      <c r="V37" s="92">
        <f t="shared" si="35"/>
        <v>0</v>
      </c>
      <c r="W37" s="56">
        <v>0.05</v>
      </c>
      <c r="X37" s="63">
        <f t="shared" si="36"/>
        <v>0</v>
      </c>
      <c r="Y37" s="22">
        <f t="shared" si="37"/>
        <v>0</v>
      </c>
      <c r="Z37" s="22">
        <f t="shared" si="37"/>
        <v>0</v>
      </c>
      <c r="AA37" s="28">
        <f t="shared" si="37"/>
        <v>0</v>
      </c>
      <c r="AB37" s="93"/>
    </row>
    <row r="38" spans="1:28">
      <c r="B38" s="5"/>
      <c r="C38" s="8"/>
      <c r="D38" s="6"/>
      <c r="E38" s="29"/>
      <c r="F38" s="8"/>
      <c r="G38" s="7"/>
      <c r="H38" s="8"/>
      <c r="I38" s="9"/>
      <c r="J38" s="10"/>
      <c r="K38" s="16">
        <f t="shared" si="38"/>
        <v>129</v>
      </c>
      <c r="L38" s="19" t="str">
        <f t="shared" si="26"/>
        <v>EEM129</v>
      </c>
      <c r="M38" s="61">
        <v>1</v>
      </c>
      <c r="N38" s="21">
        <f t="shared" si="27"/>
        <v>0</v>
      </c>
      <c r="O38" s="21">
        <f t="shared" si="28"/>
        <v>0</v>
      </c>
      <c r="P38" s="20">
        <f t="shared" si="29"/>
        <v>0</v>
      </c>
      <c r="Q38" s="62">
        <f t="shared" si="30"/>
        <v>0</v>
      </c>
      <c r="R38" s="27">
        <f t="shared" si="31"/>
        <v>1</v>
      </c>
      <c r="S38" s="22">
        <f t="shared" si="32"/>
        <v>0</v>
      </c>
      <c r="T38" s="22">
        <f t="shared" si="33"/>
        <v>0</v>
      </c>
      <c r="U38" s="28">
        <f t="shared" si="34"/>
        <v>0</v>
      </c>
      <c r="V38" s="92">
        <f t="shared" si="35"/>
        <v>0</v>
      </c>
      <c r="W38" s="56">
        <v>0.05</v>
      </c>
      <c r="X38" s="63">
        <f t="shared" si="36"/>
        <v>0</v>
      </c>
      <c r="Y38" s="22">
        <f t="shared" si="37"/>
        <v>0</v>
      </c>
      <c r="Z38" s="22">
        <f t="shared" si="37"/>
        <v>0</v>
      </c>
      <c r="AA38" s="28">
        <f t="shared" si="37"/>
        <v>0</v>
      </c>
      <c r="AB38" s="93"/>
    </row>
    <row r="39" spans="1:28">
      <c r="B39" s="5"/>
      <c r="C39" s="8"/>
      <c r="D39" s="6"/>
      <c r="E39" s="29"/>
      <c r="F39" s="8"/>
      <c r="G39" s="7"/>
      <c r="H39" s="8"/>
      <c r="I39" s="9"/>
      <c r="J39" s="10"/>
      <c r="K39" s="16">
        <f>K38+1</f>
        <v>130</v>
      </c>
      <c r="L39" s="19" t="str">
        <f t="shared" si="26"/>
        <v>EEM130</v>
      </c>
      <c r="M39" s="61">
        <v>1</v>
      </c>
      <c r="N39" s="21">
        <f t="shared" si="27"/>
        <v>0</v>
      </c>
      <c r="O39" s="21">
        <f t="shared" si="28"/>
        <v>0</v>
      </c>
      <c r="P39" s="20">
        <f t="shared" si="29"/>
        <v>0</v>
      </c>
      <c r="Q39" s="62">
        <f t="shared" si="30"/>
        <v>0</v>
      </c>
      <c r="R39" s="27">
        <f t="shared" si="31"/>
        <v>1</v>
      </c>
      <c r="S39" s="22">
        <f t="shared" si="32"/>
        <v>0</v>
      </c>
      <c r="T39" s="22">
        <f t="shared" si="33"/>
        <v>0</v>
      </c>
      <c r="U39" s="28">
        <f t="shared" si="34"/>
        <v>0</v>
      </c>
      <c r="V39" s="92">
        <f t="shared" si="35"/>
        <v>0</v>
      </c>
      <c r="W39" s="56">
        <v>0.05</v>
      </c>
      <c r="X39" s="63">
        <f t="shared" si="36"/>
        <v>0</v>
      </c>
      <c r="Y39" s="22">
        <f t="shared" si="37"/>
        <v>0</v>
      </c>
      <c r="Z39" s="22">
        <f t="shared" si="37"/>
        <v>0</v>
      </c>
      <c r="AA39" s="28">
        <f t="shared" si="37"/>
        <v>0</v>
      </c>
      <c r="AB39" s="93"/>
    </row>
    <row r="40" spans="1:28">
      <c r="A40" s="30" t="s">
        <v>251</v>
      </c>
      <c r="B40" s="31"/>
      <c r="C40" s="32"/>
      <c r="D40" s="33"/>
      <c r="E40" s="34"/>
      <c r="F40" s="32"/>
      <c r="G40" s="35"/>
      <c r="H40" s="32"/>
      <c r="I40" s="36"/>
      <c r="J40" s="37"/>
      <c r="K40" s="38"/>
      <c r="L40" s="39"/>
      <c r="M40" s="40"/>
      <c r="N40" s="40"/>
      <c r="O40" s="40"/>
      <c r="P40" s="41"/>
      <c r="Q40" s="53"/>
      <c r="R40" s="42"/>
      <c r="S40" s="43">
        <f>SUM(S30:S39)</f>
        <v>0</v>
      </c>
      <c r="T40" s="43">
        <f>SUM(T30:T39)</f>
        <v>0</v>
      </c>
      <c r="U40" s="44">
        <f>SUM(U30:U39)</f>
        <v>0</v>
      </c>
      <c r="V40" s="91"/>
      <c r="W40" s="52"/>
      <c r="X40" s="52"/>
      <c r="Y40" s="43">
        <f>SUM(Y30:Y39)</f>
        <v>0</v>
      </c>
      <c r="Z40" s="43">
        <f>SUM(Z30:Z39)</f>
        <v>0</v>
      </c>
      <c r="AA40" s="44">
        <f>SUM(AA30:AA39)</f>
        <v>0</v>
      </c>
      <c r="AB40" s="93"/>
    </row>
    <row r="41" spans="1:28">
      <c r="A41" s="87" t="s">
        <v>279</v>
      </c>
      <c r="B41" s="5"/>
      <c r="C41" s="8"/>
      <c r="D41" s="6"/>
      <c r="E41" s="8"/>
      <c r="F41" s="8"/>
      <c r="G41" s="7"/>
      <c r="H41" s="8"/>
      <c r="I41" s="9"/>
      <c r="J41" s="10"/>
      <c r="K41" s="16">
        <f>K39+1</f>
        <v>131</v>
      </c>
      <c r="L41" s="19" t="str">
        <f t="shared" ref="L41:L50" si="39">VLOOKUP(K41,$B$82:$G$264,2,FALSE)</f>
        <v>EEM131</v>
      </c>
      <c r="M41" s="61">
        <v>1</v>
      </c>
      <c r="N41" s="21">
        <f t="shared" ref="N41:N50" si="40">IF(ISNA(VLOOKUP($K41,$B$82:$G$264,3,TRUE)),0,VLOOKUP($K41,$B$82:$G$264,3,TRUE))</f>
        <v>0</v>
      </c>
      <c r="O41" s="21">
        <f t="shared" ref="O41:O50" si="41">IF(ISNA(VLOOKUP($K41,$B$82:$G$264,4,TRUE)),0,VLOOKUP($K41,$B$82:$G$264,4,TRUE))</f>
        <v>0</v>
      </c>
      <c r="P41" s="20">
        <f t="shared" ref="P41:P50" si="42">IF(ISNA(VLOOKUP($K41,$B$82:$G$264,5,TRUE)),0,VLOOKUP($K41,$B$82:$G$264,5,TRUE))</f>
        <v>0</v>
      </c>
      <c r="Q41" s="62">
        <f t="shared" ref="Q41:Q50" si="43">IF(ISNA(VLOOKUP($K41,$B$82:$H$264,7,TRUE)),0,VLOOKUP($K41,$B$82:$H$264,7,TRUE))</f>
        <v>0</v>
      </c>
      <c r="R41" s="27">
        <f t="shared" ref="R41:R50" si="44">1-Q41</f>
        <v>1</v>
      </c>
      <c r="S41" s="22">
        <f t="shared" ref="S41:S50" si="45">$E$8*$M41*$N41*$R41</f>
        <v>0</v>
      </c>
      <c r="T41" s="22">
        <f t="shared" ref="T41:T50" si="46">$E$8*$M41*$O41*$R41</f>
        <v>0</v>
      </c>
      <c r="U41" s="28">
        <f t="shared" ref="U41:U50" si="47">$E$8*$M41*$P41*$R41</f>
        <v>0</v>
      </c>
      <c r="V41" s="92">
        <f t="shared" ref="V41:V50" si="48">IF(ISNA(VLOOKUP($K41,$B$82:$G$264,6,TRUE)),0,VLOOKUP($K41,$B$82:$G$264,6,TRUE))</f>
        <v>0</v>
      </c>
      <c r="W41" s="56">
        <v>0.05</v>
      </c>
      <c r="X41" s="63">
        <f t="shared" ref="X41:X50" si="49">IF(V41=0,0,(0.2*1/V41)+W41)</f>
        <v>0</v>
      </c>
      <c r="Y41" s="22">
        <f t="shared" ref="Y41:AA50" si="50">$X41*S41</f>
        <v>0</v>
      </c>
      <c r="Z41" s="22">
        <f t="shared" si="50"/>
        <v>0</v>
      </c>
      <c r="AA41" s="28">
        <f t="shared" si="50"/>
        <v>0</v>
      </c>
      <c r="AB41" s="93"/>
    </row>
    <row r="42" spans="1:28">
      <c r="A42" s="13"/>
      <c r="B42" s="5"/>
      <c r="C42" s="8"/>
      <c r="D42" s="6"/>
      <c r="E42" s="8"/>
      <c r="F42" s="8"/>
      <c r="G42" s="7"/>
      <c r="H42" s="8"/>
      <c r="I42" s="9"/>
      <c r="J42" s="10"/>
      <c r="K42" s="16">
        <f>K41+1</f>
        <v>132</v>
      </c>
      <c r="L42" s="19" t="str">
        <f t="shared" si="39"/>
        <v>EEM132</v>
      </c>
      <c r="M42" s="61">
        <v>1</v>
      </c>
      <c r="N42" s="21">
        <f t="shared" si="40"/>
        <v>0</v>
      </c>
      <c r="O42" s="21">
        <f t="shared" si="41"/>
        <v>0</v>
      </c>
      <c r="P42" s="20">
        <f t="shared" si="42"/>
        <v>0</v>
      </c>
      <c r="Q42" s="62">
        <f t="shared" si="43"/>
        <v>0</v>
      </c>
      <c r="R42" s="27">
        <f t="shared" si="44"/>
        <v>1</v>
      </c>
      <c r="S42" s="22">
        <f t="shared" si="45"/>
        <v>0</v>
      </c>
      <c r="T42" s="22">
        <f t="shared" si="46"/>
        <v>0</v>
      </c>
      <c r="U42" s="28">
        <f t="shared" si="47"/>
        <v>0</v>
      </c>
      <c r="V42" s="92">
        <f t="shared" si="48"/>
        <v>0</v>
      </c>
      <c r="W42" s="56">
        <v>0.05</v>
      </c>
      <c r="X42" s="63">
        <f t="shared" si="49"/>
        <v>0</v>
      </c>
      <c r="Y42" s="22">
        <f t="shared" si="50"/>
        <v>0</v>
      </c>
      <c r="Z42" s="22">
        <f t="shared" si="50"/>
        <v>0</v>
      </c>
      <c r="AA42" s="28">
        <f t="shared" si="50"/>
        <v>0</v>
      </c>
      <c r="AB42" s="93"/>
    </row>
    <row r="43" spans="1:28">
      <c r="A43" s="13"/>
      <c r="B43" s="5"/>
      <c r="C43" s="8"/>
      <c r="D43" s="6"/>
      <c r="E43" s="8"/>
      <c r="F43" s="8"/>
      <c r="G43" s="7"/>
      <c r="H43" s="8"/>
      <c r="I43" s="9"/>
      <c r="J43" s="10"/>
      <c r="K43" s="16">
        <f t="shared" ref="K43:K49" si="51">K42+1</f>
        <v>133</v>
      </c>
      <c r="L43" s="19" t="str">
        <f t="shared" si="39"/>
        <v>EEM133</v>
      </c>
      <c r="M43" s="61">
        <v>1</v>
      </c>
      <c r="N43" s="21">
        <f t="shared" si="40"/>
        <v>0</v>
      </c>
      <c r="O43" s="21">
        <f t="shared" si="41"/>
        <v>0</v>
      </c>
      <c r="P43" s="20">
        <f t="shared" si="42"/>
        <v>0</v>
      </c>
      <c r="Q43" s="62">
        <f t="shared" si="43"/>
        <v>0</v>
      </c>
      <c r="R43" s="27">
        <f t="shared" si="44"/>
        <v>1</v>
      </c>
      <c r="S43" s="22">
        <f t="shared" si="45"/>
        <v>0</v>
      </c>
      <c r="T43" s="22">
        <f t="shared" si="46"/>
        <v>0</v>
      </c>
      <c r="U43" s="28">
        <f t="shared" si="47"/>
        <v>0</v>
      </c>
      <c r="V43" s="92">
        <f t="shared" si="48"/>
        <v>0</v>
      </c>
      <c r="W43" s="56">
        <v>0.05</v>
      </c>
      <c r="X43" s="63">
        <f t="shared" si="49"/>
        <v>0</v>
      </c>
      <c r="Y43" s="22">
        <f t="shared" si="50"/>
        <v>0</v>
      </c>
      <c r="Z43" s="22">
        <f t="shared" si="50"/>
        <v>0</v>
      </c>
      <c r="AA43" s="28">
        <f t="shared" si="50"/>
        <v>0</v>
      </c>
      <c r="AB43" s="93"/>
    </row>
    <row r="44" spans="1:28">
      <c r="A44" s="13"/>
      <c r="B44" s="5"/>
      <c r="C44" s="8"/>
      <c r="D44" s="6"/>
      <c r="E44" s="8"/>
      <c r="F44" s="8"/>
      <c r="G44" s="7"/>
      <c r="H44" s="8"/>
      <c r="I44" s="9"/>
      <c r="J44" s="10"/>
      <c r="K44" s="16">
        <f t="shared" si="51"/>
        <v>134</v>
      </c>
      <c r="L44" s="19" t="str">
        <f t="shared" si="39"/>
        <v>EEM134</v>
      </c>
      <c r="M44" s="61">
        <v>1</v>
      </c>
      <c r="N44" s="21">
        <f t="shared" si="40"/>
        <v>0</v>
      </c>
      <c r="O44" s="21">
        <f t="shared" si="41"/>
        <v>0</v>
      </c>
      <c r="P44" s="20">
        <f t="shared" si="42"/>
        <v>0</v>
      </c>
      <c r="Q44" s="62">
        <f t="shared" si="43"/>
        <v>0</v>
      </c>
      <c r="R44" s="27">
        <f t="shared" si="44"/>
        <v>1</v>
      </c>
      <c r="S44" s="22">
        <f t="shared" si="45"/>
        <v>0</v>
      </c>
      <c r="T44" s="22">
        <f t="shared" si="46"/>
        <v>0</v>
      </c>
      <c r="U44" s="28">
        <f t="shared" si="47"/>
        <v>0</v>
      </c>
      <c r="V44" s="92">
        <f t="shared" si="48"/>
        <v>0</v>
      </c>
      <c r="W44" s="56">
        <v>0.05</v>
      </c>
      <c r="X44" s="63">
        <f t="shared" si="49"/>
        <v>0</v>
      </c>
      <c r="Y44" s="22">
        <f t="shared" si="50"/>
        <v>0</v>
      </c>
      <c r="Z44" s="22">
        <f t="shared" si="50"/>
        <v>0</v>
      </c>
      <c r="AA44" s="28">
        <f t="shared" si="50"/>
        <v>0</v>
      </c>
      <c r="AB44" s="93"/>
    </row>
    <row r="45" spans="1:28">
      <c r="A45" s="13"/>
      <c r="B45" s="5"/>
      <c r="C45" s="8"/>
      <c r="D45" s="6"/>
      <c r="E45" s="8"/>
      <c r="F45" s="8"/>
      <c r="G45" s="7"/>
      <c r="H45" s="8"/>
      <c r="I45" s="9"/>
      <c r="J45" s="10"/>
      <c r="K45" s="16">
        <f t="shared" si="51"/>
        <v>135</v>
      </c>
      <c r="L45" s="19" t="str">
        <f t="shared" si="39"/>
        <v>EEM135</v>
      </c>
      <c r="M45" s="61">
        <v>1</v>
      </c>
      <c r="N45" s="21">
        <f t="shared" si="40"/>
        <v>0</v>
      </c>
      <c r="O45" s="21">
        <f t="shared" si="41"/>
        <v>0</v>
      </c>
      <c r="P45" s="20">
        <f t="shared" si="42"/>
        <v>0</v>
      </c>
      <c r="Q45" s="62">
        <f t="shared" si="43"/>
        <v>0</v>
      </c>
      <c r="R45" s="27">
        <f t="shared" si="44"/>
        <v>1</v>
      </c>
      <c r="S45" s="22">
        <f t="shared" si="45"/>
        <v>0</v>
      </c>
      <c r="T45" s="22">
        <f t="shared" si="46"/>
        <v>0</v>
      </c>
      <c r="U45" s="28">
        <f t="shared" si="47"/>
        <v>0</v>
      </c>
      <c r="V45" s="92">
        <f t="shared" si="48"/>
        <v>0</v>
      </c>
      <c r="W45" s="56">
        <v>0.05</v>
      </c>
      <c r="X45" s="63">
        <f t="shared" si="49"/>
        <v>0</v>
      </c>
      <c r="Y45" s="22">
        <f t="shared" si="50"/>
        <v>0</v>
      </c>
      <c r="Z45" s="22">
        <f t="shared" si="50"/>
        <v>0</v>
      </c>
      <c r="AA45" s="28">
        <f t="shared" si="50"/>
        <v>0</v>
      </c>
      <c r="AB45" s="93"/>
    </row>
    <row r="46" spans="1:28">
      <c r="A46" s="13"/>
      <c r="B46" s="5"/>
      <c r="C46" s="8"/>
      <c r="D46" s="6"/>
      <c r="E46" s="8"/>
      <c r="F46" s="8"/>
      <c r="G46" s="7"/>
      <c r="H46" s="8"/>
      <c r="I46" s="9"/>
      <c r="J46" s="10"/>
      <c r="K46" s="16">
        <f t="shared" si="51"/>
        <v>136</v>
      </c>
      <c r="L46" s="19" t="str">
        <f t="shared" si="39"/>
        <v>EEM136</v>
      </c>
      <c r="M46" s="61">
        <v>1</v>
      </c>
      <c r="N46" s="21">
        <f t="shared" si="40"/>
        <v>0</v>
      </c>
      <c r="O46" s="21">
        <f t="shared" si="41"/>
        <v>0</v>
      </c>
      <c r="P46" s="20">
        <f t="shared" si="42"/>
        <v>0</v>
      </c>
      <c r="Q46" s="62">
        <f t="shared" si="43"/>
        <v>0</v>
      </c>
      <c r="R46" s="27">
        <f t="shared" si="44"/>
        <v>1</v>
      </c>
      <c r="S46" s="22">
        <f t="shared" si="45"/>
        <v>0</v>
      </c>
      <c r="T46" s="22">
        <f t="shared" si="46"/>
        <v>0</v>
      </c>
      <c r="U46" s="28">
        <f t="shared" si="47"/>
        <v>0</v>
      </c>
      <c r="V46" s="92">
        <f t="shared" si="48"/>
        <v>0</v>
      </c>
      <c r="W46" s="56">
        <v>0.05</v>
      </c>
      <c r="X46" s="63">
        <f t="shared" si="49"/>
        <v>0</v>
      </c>
      <c r="Y46" s="22">
        <f t="shared" si="50"/>
        <v>0</v>
      </c>
      <c r="Z46" s="22">
        <f t="shared" si="50"/>
        <v>0</v>
      </c>
      <c r="AA46" s="28">
        <f t="shared" si="50"/>
        <v>0</v>
      </c>
      <c r="AB46" s="93"/>
    </row>
    <row r="47" spans="1:28">
      <c r="A47" s="13"/>
      <c r="B47" s="5"/>
      <c r="C47" s="8"/>
      <c r="D47" s="6"/>
      <c r="E47" s="8"/>
      <c r="F47" s="8"/>
      <c r="G47" s="7"/>
      <c r="H47" s="8"/>
      <c r="I47" s="9"/>
      <c r="J47" s="10"/>
      <c r="K47" s="16">
        <f t="shared" si="51"/>
        <v>137</v>
      </c>
      <c r="L47" s="19" t="str">
        <f t="shared" si="39"/>
        <v>EEM137</v>
      </c>
      <c r="M47" s="61">
        <v>1</v>
      </c>
      <c r="N47" s="21">
        <f t="shared" si="40"/>
        <v>0</v>
      </c>
      <c r="O47" s="21">
        <f t="shared" si="41"/>
        <v>0</v>
      </c>
      <c r="P47" s="20">
        <f t="shared" si="42"/>
        <v>0</v>
      </c>
      <c r="Q47" s="62">
        <f t="shared" si="43"/>
        <v>0</v>
      </c>
      <c r="R47" s="27">
        <f t="shared" si="44"/>
        <v>1</v>
      </c>
      <c r="S47" s="22">
        <f t="shared" si="45"/>
        <v>0</v>
      </c>
      <c r="T47" s="22">
        <f t="shared" si="46"/>
        <v>0</v>
      </c>
      <c r="U47" s="28">
        <f t="shared" si="47"/>
        <v>0</v>
      </c>
      <c r="V47" s="92">
        <f t="shared" si="48"/>
        <v>0</v>
      </c>
      <c r="W47" s="56">
        <v>0.05</v>
      </c>
      <c r="X47" s="63">
        <f t="shared" si="49"/>
        <v>0</v>
      </c>
      <c r="Y47" s="22">
        <f t="shared" si="50"/>
        <v>0</v>
      </c>
      <c r="Z47" s="22">
        <f t="shared" si="50"/>
        <v>0</v>
      </c>
      <c r="AA47" s="28">
        <f t="shared" si="50"/>
        <v>0</v>
      </c>
      <c r="AB47" s="93"/>
    </row>
    <row r="48" spans="1:28">
      <c r="A48" s="13"/>
      <c r="B48" s="5"/>
      <c r="C48" s="8"/>
      <c r="D48" s="6"/>
      <c r="E48" s="8"/>
      <c r="F48" s="8"/>
      <c r="G48" s="7"/>
      <c r="H48" s="8"/>
      <c r="I48" s="9"/>
      <c r="J48" s="10"/>
      <c r="K48" s="16">
        <f t="shared" si="51"/>
        <v>138</v>
      </c>
      <c r="L48" s="19" t="str">
        <f t="shared" si="39"/>
        <v>EEM138</v>
      </c>
      <c r="M48" s="61">
        <v>1</v>
      </c>
      <c r="N48" s="21">
        <f t="shared" si="40"/>
        <v>0</v>
      </c>
      <c r="O48" s="21">
        <f t="shared" si="41"/>
        <v>0</v>
      </c>
      <c r="P48" s="20">
        <f t="shared" si="42"/>
        <v>0</v>
      </c>
      <c r="Q48" s="62">
        <f t="shared" si="43"/>
        <v>0</v>
      </c>
      <c r="R48" s="27">
        <f t="shared" si="44"/>
        <v>1</v>
      </c>
      <c r="S48" s="22">
        <f t="shared" si="45"/>
        <v>0</v>
      </c>
      <c r="T48" s="22">
        <f t="shared" si="46"/>
        <v>0</v>
      </c>
      <c r="U48" s="28">
        <f t="shared" si="47"/>
        <v>0</v>
      </c>
      <c r="V48" s="92">
        <f t="shared" si="48"/>
        <v>0</v>
      </c>
      <c r="W48" s="56">
        <v>0.05</v>
      </c>
      <c r="X48" s="63">
        <f t="shared" si="49"/>
        <v>0</v>
      </c>
      <c r="Y48" s="22">
        <f t="shared" si="50"/>
        <v>0</v>
      </c>
      <c r="Z48" s="22">
        <f t="shared" si="50"/>
        <v>0</v>
      </c>
      <c r="AA48" s="28">
        <f t="shared" si="50"/>
        <v>0</v>
      </c>
      <c r="AB48" s="93"/>
    </row>
    <row r="49" spans="1:28">
      <c r="A49" s="13"/>
      <c r="B49" s="5"/>
      <c r="C49" s="8"/>
      <c r="D49" s="6"/>
      <c r="E49" s="29"/>
      <c r="F49" s="8"/>
      <c r="G49" s="7"/>
      <c r="H49" s="8"/>
      <c r="I49" s="9"/>
      <c r="J49" s="10"/>
      <c r="K49" s="16">
        <f t="shared" si="51"/>
        <v>139</v>
      </c>
      <c r="L49" s="19" t="str">
        <f t="shared" si="39"/>
        <v>EEM139</v>
      </c>
      <c r="M49" s="61">
        <v>1</v>
      </c>
      <c r="N49" s="21">
        <f t="shared" si="40"/>
        <v>0</v>
      </c>
      <c r="O49" s="21">
        <f t="shared" si="41"/>
        <v>0</v>
      </c>
      <c r="P49" s="20">
        <f t="shared" si="42"/>
        <v>0</v>
      </c>
      <c r="Q49" s="62">
        <f t="shared" si="43"/>
        <v>0</v>
      </c>
      <c r="R49" s="27">
        <f t="shared" si="44"/>
        <v>1</v>
      </c>
      <c r="S49" s="22">
        <f t="shared" si="45"/>
        <v>0</v>
      </c>
      <c r="T49" s="22">
        <f t="shared" si="46"/>
        <v>0</v>
      </c>
      <c r="U49" s="28">
        <f t="shared" si="47"/>
        <v>0</v>
      </c>
      <c r="V49" s="92">
        <f t="shared" si="48"/>
        <v>0</v>
      </c>
      <c r="W49" s="56">
        <v>0.05</v>
      </c>
      <c r="X49" s="63">
        <f t="shared" si="49"/>
        <v>0</v>
      </c>
      <c r="Y49" s="22">
        <f t="shared" si="50"/>
        <v>0</v>
      </c>
      <c r="Z49" s="22">
        <f t="shared" si="50"/>
        <v>0</v>
      </c>
      <c r="AA49" s="28">
        <f t="shared" si="50"/>
        <v>0</v>
      </c>
      <c r="AB49" s="93"/>
    </row>
    <row r="50" spans="1:28">
      <c r="A50" s="13"/>
      <c r="B50" s="5"/>
      <c r="C50" s="8"/>
      <c r="D50" s="6"/>
      <c r="E50" s="29"/>
      <c r="F50" s="8"/>
      <c r="G50" s="7"/>
      <c r="H50" s="8"/>
      <c r="I50" s="9"/>
      <c r="J50" s="10"/>
      <c r="K50" s="16">
        <f>K49+1</f>
        <v>140</v>
      </c>
      <c r="L50" s="19" t="str">
        <f t="shared" si="39"/>
        <v>EEM140</v>
      </c>
      <c r="M50" s="61">
        <v>1</v>
      </c>
      <c r="N50" s="21">
        <f t="shared" si="40"/>
        <v>0</v>
      </c>
      <c r="O50" s="21">
        <f t="shared" si="41"/>
        <v>0</v>
      </c>
      <c r="P50" s="20">
        <f t="shared" si="42"/>
        <v>0</v>
      </c>
      <c r="Q50" s="62">
        <f t="shared" si="43"/>
        <v>0</v>
      </c>
      <c r="R50" s="27">
        <f t="shared" si="44"/>
        <v>1</v>
      </c>
      <c r="S50" s="22">
        <f t="shared" si="45"/>
        <v>0</v>
      </c>
      <c r="T50" s="22">
        <f t="shared" si="46"/>
        <v>0</v>
      </c>
      <c r="U50" s="28">
        <f t="shared" si="47"/>
        <v>0</v>
      </c>
      <c r="V50" s="92">
        <f t="shared" si="48"/>
        <v>0</v>
      </c>
      <c r="W50" s="56">
        <v>0.05</v>
      </c>
      <c r="X50" s="63">
        <f t="shared" si="49"/>
        <v>0</v>
      </c>
      <c r="Y50" s="22">
        <f t="shared" si="50"/>
        <v>0</v>
      </c>
      <c r="Z50" s="22">
        <f t="shared" si="50"/>
        <v>0</v>
      </c>
      <c r="AA50" s="28">
        <f t="shared" si="50"/>
        <v>0</v>
      </c>
      <c r="AB50" s="93"/>
    </row>
    <row r="51" spans="1:28">
      <c r="A51" s="30" t="s">
        <v>251</v>
      </c>
      <c r="B51" s="31"/>
      <c r="C51" s="32"/>
      <c r="D51" s="33"/>
      <c r="E51" s="34"/>
      <c r="F51" s="32"/>
      <c r="G51" s="35"/>
      <c r="H51" s="32"/>
      <c r="I51" s="36"/>
      <c r="J51" s="37"/>
      <c r="K51" s="38"/>
      <c r="L51" s="39"/>
      <c r="M51" s="40"/>
      <c r="N51" s="40"/>
      <c r="O51" s="40"/>
      <c r="P51" s="41"/>
      <c r="Q51" s="53"/>
      <c r="R51" s="42"/>
      <c r="S51" s="43">
        <f>SUM(S41:S50)</f>
        <v>0</v>
      </c>
      <c r="T51" s="43">
        <f>SUM(T41:T50)</f>
        <v>0</v>
      </c>
      <c r="U51" s="44">
        <f>SUM(U41:U50)</f>
        <v>0</v>
      </c>
      <c r="V51" s="91"/>
      <c r="W51" s="52"/>
      <c r="X51" s="52"/>
      <c r="Y51" s="43">
        <f>SUM(Y41:Y50)</f>
        <v>0</v>
      </c>
      <c r="Z51" s="43">
        <f>SUM(Z41:Z50)</f>
        <v>0</v>
      </c>
      <c r="AA51" s="44">
        <f>SUM(AA41:AA50)</f>
        <v>0</v>
      </c>
      <c r="AB51" s="93"/>
    </row>
    <row r="52" spans="1:28">
      <c r="A52" s="87" t="s">
        <v>280</v>
      </c>
      <c r="B52" s="5"/>
      <c r="C52" s="8"/>
      <c r="D52" s="6"/>
      <c r="E52" s="8"/>
      <c r="F52" s="8"/>
      <c r="G52" s="7"/>
      <c r="H52" s="8"/>
      <c r="I52" s="9"/>
      <c r="J52" s="10"/>
      <c r="K52" s="16">
        <f>K50+1</f>
        <v>141</v>
      </c>
      <c r="L52" s="19" t="str">
        <f t="shared" ref="L52:L61" si="52">VLOOKUP(K52,$B$82:$G$264,2,FALSE)</f>
        <v>EEM141</v>
      </c>
      <c r="M52" s="61">
        <v>1</v>
      </c>
      <c r="N52" s="21">
        <f t="shared" ref="N52:N61" si="53">IF(ISNA(VLOOKUP($K52,$B$82:$G$264,3,TRUE)),0,VLOOKUP($K52,$B$82:$G$264,3,TRUE))</f>
        <v>0</v>
      </c>
      <c r="O52" s="21">
        <f t="shared" ref="O52:O61" si="54">IF(ISNA(VLOOKUP($K52,$B$82:$G$264,4,TRUE)),0,VLOOKUP($K52,$B$82:$G$264,4,TRUE))</f>
        <v>0</v>
      </c>
      <c r="P52" s="20">
        <f t="shared" ref="P52:P61" si="55">IF(ISNA(VLOOKUP($K52,$B$82:$G$264,5,TRUE)),0,VLOOKUP($K52,$B$82:$G$264,5,TRUE))</f>
        <v>0</v>
      </c>
      <c r="Q52" s="62">
        <f t="shared" ref="Q52:Q61" si="56">IF(ISNA(VLOOKUP($K52,$B$82:$H$264,7,TRUE)),0,VLOOKUP($K52,$B$82:$H$264,7,TRUE))</f>
        <v>0</v>
      </c>
      <c r="R52" s="27">
        <f t="shared" ref="R52:R72" si="57">1-Q52</f>
        <v>1</v>
      </c>
      <c r="S52" s="22">
        <f t="shared" ref="S52:S61" si="58">$E$8*$M52*$N52*$R52</f>
        <v>0</v>
      </c>
      <c r="T52" s="22">
        <f t="shared" ref="T52:T61" si="59">$E$8*$M52*$O52*$R52</f>
        <v>0</v>
      </c>
      <c r="U52" s="28">
        <f t="shared" ref="U52:U61" si="60">$E$8*$M52*$P52*$R52</f>
        <v>0</v>
      </c>
      <c r="V52" s="92">
        <f t="shared" ref="V52:V61" si="61">IF(ISNA(VLOOKUP($K52,$B$82:$G$264,6,TRUE)),0,VLOOKUP($K52,$B$82:$G$264,6,TRUE))</f>
        <v>0</v>
      </c>
      <c r="W52" s="56">
        <v>0.05</v>
      </c>
      <c r="X52" s="63">
        <f t="shared" ref="X52:X61" si="62">IF(V52=0,0,(0.2*1/V52)+W52)</f>
        <v>0</v>
      </c>
      <c r="Y52" s="22">
        <f t="shared" ref="Y52:AA61" si="63">$X52*S52</f>
        <v>0</v>
      </c>
      <c r="Z52" s="22">
        <f t="shared" si="63"/>
        <v>0</v>
      </c>
      <c r="AA52" s="28">
        <f t="shared" si="63"/>
        <v>0</v>
      </c>
      <c r="AB52" s="93"/>
    </row>
    <row r="53" spans="1:28">
      <c r="B53" s="5"/>
      <c r="C53" s="8"/>
      <c r="D53" s="6"/>
      <c r="E53" s="8"/>
      <c r="F53" s="8"/>
      <c r="G53" s="7"/>
      <c r="H53" s="8"/>
      <c r="I53" s="9"/>
      <c r="J53" s="10"/>
      <c r="K53" s="16">
        <f>K52+1</f>
        <v>142</v>
      </c>
      <c r="L53" s="19" t="str">
        <f t="shared" si="52"/>
        <v>EEM142</v>
      </c>
      <c r="M53" s="61">
        <v>1</v>
      </c>
      <c r="N53" s="21">
        <f t="shared" si="53"/>
        <v>0</v>
      </c>
      <c r="O53" s="21">
        <f t="shared" si="54"/>
        <v>0</v>
      </c>
      <c r="P53" s="20">
        <f t="shared" si="55"/>
        <v>0</v>
      </c>
      <c r="Q53" s="62">
        <f t="shared" si="56"/>
        <v>0</v>
      </c>
      <c r="R53" s="27">
        <f t="shared" si="57"/>
        <v>1</v>
      </c>
      <c r="S53" s="22">
        <f t="shared" si="58"/>
        <v>0</v>
      </c>
      <c r="T53" s="22">
        <f t="shared" si="59"/>
        <v>0</v>
      </c>
      <c r="U53" s="28">
        <f t="shared" si="60"/>
        <v>0</v>
      </c>
      <c r="V53" s="92">
        <f t="shared" si="61"/>
        <v>0</v>
      </c>
      <c r="W53" s="56">
        <v>0.05</v>
      </c>
      <c r="X53" s="63">
        <f t="shared" si="62"/>
        <v>0</v>
      </c>
      <c r="Y53" s="22">
        <f t="shared" si="63"/>
        <v>0</v>
      </c>
      <c r="Z53" s="22">
        <f t="shared" si="63"/>
        <v>0</v>
      </c>
      <c r="AA53" s="28">
        <f t="shared" si="63"/>
        <v>0</v>
      </c>
      <c r="AB53" s="93"/>
    </row>
    <row r="54" spans="1:28">
      <c r="B54" s="5"/>
      <c r="C54" s="8"/>
      <c r="D54" s="6"/>
      <c r="E54" s="8"/>
      <c r="F54" s="8"/>
      <c r="G54" s="7"/>
      <c r="H54" s="8"/>
      <c r="I54" s="9"/>
      <c r="J54" s="10"/>
      <c r="K54" s="16">
        <f t="shared" ref="K54:K60" si="64">K53+1</f>
        <v>143</v>
      </c>
      <c r="L54" s="19" t="str">
        <f t="shared" si="52"/>
        <v>EEM143</v>
      </c>
      <c r="M54" s="61">
        <v>1</v>
      </c>
      <c r="N54" s="21">
        <f t="shared" si="53"/>
        <v>0</v>
      </c>
      <c r="O54" s="21">
        <f t="shared" si="54"/>
        <v>0</v>
      </c>
      <c r="P54" s="20">
        <f t="shared" si="55"/>
        <v>0</v>
      </c>
      <c r="Q54" s="62">
        <f t="shared" si="56"/>
        <v>0</v>
      </c>
      <c r="R54" s="27">
        <f t="shared" si="57"/>
        <v>1</v>
      </c>
      <c r="S54" s="22">
        <f t="shared" si="58"/>
        <v>0</v>
      </c>
      <c r="T54" s="22">
        <f t="shared" si="59"/>
        <v>0</v>
      </c>
      <c r="U54" s="28">
        <f t="shared" si="60"/>
        <v>0</v>
      </c>
      <c r="V54" s="92">
        <f t="shared" si="61"/>
        <v>0</v>
      </c>
      <c r="W54" s="56">
        <v>0.05</v>
      </c>
      <c r="X54" s="63">
        <f t="shared" si="62"/>
        <v>0</v>
      </c>
      <c r="Y54" s="22">
        <f t="shared" si="63"/>
        <v>0</v>
      </c>
      <c r="Z54" s="22">
        <f t="shared" si="63"/>
        <v>0</v>
      </c>
      <c r="AA54" s="28">
        <f t="shared" si="63"/>
        <v>0</v>
      </c>
      <c r="AB54" s="93"/>
    </row>
    <row r="55" spans="1:28">
      <c r="B55" s="5"/>
      <c r="C55" s="8"/>
      <c r="D55" s="6"/>
      <c r="E55" s="8"/>
      <c r="F55" s="8"/>
      <c r="G55" s="7"/>
      <c r="H55" s="8"/>
      <c r="I55" s="9"/>
      <c r="J55" s="10"/>
      <c r="K55" s="16">
        <f t="shared" si="64"/>
        <v>144</v>
      </c>
      <c r="L55" s="19" t="str">
        <f t="shared" si="52"/>
        <v>EEM144</v>
      </c>
      <c r="M55" s="61">
        <v>1</v>
      </c>
      <c r="N55" s="21">
        <f t="shared" si="53"/>
        <v>0</v>
      </c>
      <c r="O55" s="21">
        <f t="shared" si="54"/>
        <v>0</v>
      </c>
      <c r="P55" s="20">
        <f t="shared" si="55"/>
        <v>0</v>
      </c>
      <c r="Q55" s="62">
        <f t="shared" si="56"/>
        <v>0</v>
      </c>
      <c r="R55" s="27">
        <f t="shared" si="57"/>
        <v>1</v>
      </c>
      <c r="S55" s="22">
        <f t="shared" si="58"/>
        <v>0</v>
      </c>
      <c r="T55" s="22">
        <f t="shared" si="59"/>
        <v>0</v>
      </c>
      <c r="U55" s="28">
        <f t="shared" si="60"/>
        <v>0</v>
      </c>
      <c r="V55" s="92">
        <f t="shared" si="61"/>
        <v>0</v>
      </c>
      <c r="W55" s="56">
        <v>0.05</v>
      </c>
      <c r="X55" s="63">
        <f t="shared" si="62"/>
        <v>0</v>
      </c>
      <c r="Y55" s="22">
        <f t="shared" si="63"/>
        <v>0</v>
      </c>
      <c r="Z55" s="22">
        <f t="shared" si="63"/>
        <v>0</v>
      </c>
      <c r="AA55" s="28">
        <f t="shared" si="63"/>
        <v>0</v>
      </c>
      <c r="AB55" s="93"/>
    </row>
    <row r="56" spans="1:28">
      <c r="B56" s="5"/>
      <c r="C56" s="8"/>
      <c r="D56" s="6"/>
      <c r="E56" s="8"/>
      <c r="F56" s="8"/>
      <c r="G56" s="7"/>
      <c r="H56" s="8"/>
      <c r="I56" s="9"/>
      <c r="J56" s="10"/>
      <c r="K56" s="16">
        <f t="shared" si="64"/>
        <v>145</v>
      </c>
      <c r="L56" s="19" t="str">
        <f t="shared" si="52"/>
        <v>EEM145</v>
      </c>
      <c r="M56" s="61">
        <v>1</v>
      </c>
      <c r="N56" s="21">
        <f t="shared" si="53"/>
        <v>0</v>
      </c>
      <c r="O56" s="21">
        <f t="shared" si="54"/>
        <v>0</v>
      </c>
      <c r="P56" s="20">
        <f t="shared" si="55"/>
        <v>0</v>
      </c>
      <c r="Q56" s="62">
        <f t="shared" si="56"/>
        <v>0</v>
      </c>
      <c r="R56" s="27">
        <f t="shared" si="57"/>
        <v>1</v>
      </c>
      <c r="S56" s="22">
        <f t="shared" si="58"/>
        <v>0</v>
      </c>
      <c r="T56" s="22">
        <f t="shared" si="59"/>
        <v>0</v>
      </c>
      <c r="U56" s="28">
        <f t="shared" si="60"/>
        <v>0</v>
      </c>
      <c r="V56" s="92">
        <f t="shared" si="61"/>
        <v>0</v>
      </c>
      <c r="W56" s="56">
        <v>0.05</v>
      </c>
      <c r="X56" s="63">
        <f t="shared" si="62"/>
        <v>0</v>
      </c>
      <c r="Y56" s="22">
        <f t="shared" si="63"/>
        <v>0</v>
      </c>
      <c r="Z56" s="22">
        <f t="shared" si="63"/>
        <v>0</v>
      </c>
      <c r="AA56" s="28">
        <f t="shared" si="63"/>
        <v>0</v>
      </c>
      <c r="AB56" s="93"/>
    </row>
    <row r="57" spans="1:28">
      <c r="B57" s="5"/>
      <c r="C57" s="8"/>
      <c r="D57" s="6"/>
      <c r="E57" s="8"/>
      <c r="F57" s="8"/>
      <c r="G57" s="7"/>
      <c r="H57" s="8"/>
      <c r="I57" s="9"/>
      <c r="J57" s="10"/>
      <c r="K57" s="16">
        <f t="shared" si="64"/>
        <v>146</v>
      </c>
      <c r="L57" s="19" t="str">
        <f t="shared" si="52"/>
        <v>EEM146</v>
      </c>
      <c r="M57" s="61">
        <v>1</v>
      </c>
      <c r="N57" s="21">
        <f t="shared" si="53"/>
        <v>0</v>
      </c>
      <c r="O57" s="21">
        <f t="shared" si="54"/>
        <v>0</v>
      </c>
      <c r="P57" s="20">
        <f t="shared" si="55"/>
        <v>0</v>
      </c>
      <c r="Q57" s="62">
        <f t="shared" si="56"/>
        <v>0</v>
      </c>
      <c r="R57" s="27">
        <f t="shared" si="57"/>
        <v>1</v>
      </c>
      <c r="S57" s="22">
        <f t="shared" si="58"/>
        <v>0</v>
      </c>
      <c r="T57" s="22">
        <f t="shared" si="59"/>
        <v>0</v>
      </c>
      <c r="U57" s="28">
        <f t="shared" si="60"/>
        <v>0</v>
      </c>
      <c r="V57" s="92">
        <f t="shared" si="61"/>
        <v>0</v>
      </c>
      <c r="W57" s="56">
        <v>0.05</v>
      </c>
      <c r="X57" s="63">
        <f t="shared" si="62"/>
        <v>0</v>
      </c>
      <c r="Y57" s="22">
        <f t="shared" si="63"/>
        <v>0</v>
      </c>
      <c r="Z57" s="22">
        <f t="shared" si="63"/>
        <v>0</v>
      </c>
      <c r="AA57" s="28">
        <f t="shared" si="63"/>
        <v>0</v>
      </c>
      <c r="AB57" s="93"/>
    </row>
    <row r="58" spans="1:28">
      <c r="B58" s="5"/>
      <c r="C58" s="8"/>
      <c r="D58" s="6"/>
      <c r="E58" s="8"/>
      <c r="F58" s="8"/>
      <c r="G58" s="7"/>
      <c r="H58" s="8"/>
      <c r="I58" s="9"/>
      <c r="J58" s="10"/>
      <c r="K58" s="16">
        <f t="shared" si="64"/>
        <v>147</v>
      </c>
      <c r="L58" s="19" t="str">
        <f t="shared" si="52"/>
        <v>EEM147</v>
      </c>
      <c r="M58" s="61">
        <v>1</v>
      </c>
      <c r="N58" s="21">
        <f t="shared" si="53"/>
        <v>0</v>
      </c>
      <c r="O58" s="21">
        <f t="shared" si="54"/>
        <v>0</v>
      </c>
      <c r="P58" s="20">
        <f t="shared" si="55"/>
        <v>0</v>
      </c>
      <c r="Q58" s="62">
        <f t="shared" si="56"/>
        <v>0</v>
      </c>
      <c r="R58" s="27">
        <f t="shared" si="57"/>
        <v>1</v>
      </c>
      <c r="S58" s="22">
        <f t="shared" si="58"/>
        <v>0</v>
      </c>
      <c r="T58" s="22">
        <f t="shared" si="59"/>
        <v>0</v>
      </c>
      <c r="U58" s="28">
        <f t="shared" si="60"/>
        <v>0</v>
      </c>
      <c r="V58" s="92">
        <f t="shared" si="61"/>
        <v>0</v>
      </c>
      <c r="W58" s="56">
        <v>0.05</v>
      </c>
      <c r="X58" s="63">
        <f t="shared" si="62"/>
        <v>0</v>
      </c>
      <c r="Y58" s="22">
        <f t="shared" si="63"/>
        <v>0</v>
      </c>
      <c r="Z58" s="22">
        <f t="shared" si="63"/>
        <v>0</v>
      </c>
      <c r="AA58" s="28">
        <f t="shared" si="63"/>
        <v>0</v>
      </c>
      <c r="AB58" s="93"/>
    </row>
    <row r="59" spans="1:28">
      <c r="B59" s="5"/>
      <c r="C59" s="8"/>
      <c r="D59" s="6"/>
      <c r="E59" s="8"/>
      <c r="F59" s="8"/>
      <c r="G59" s="7"/>
      <c r="H59" s="8"/>
      <c r="I59" s="9"/>
      <c r="J59" s="10"/>
      <c r="K59" s="16">
        <f t="shared" si="64"/>
        <v>148</v>
      </c>
      <c r="L59" s="19" t="str">
        <f t="shared" si="52"/>
        <v>EEM148</v>
      </c>
      <c r="M59" s="61">
        <v>1</v>
      </c>
      <c r="N59" s="21">
        <f t="shared" si="53"/>
        <v>0</v>
      </c>
      <c r="O59" s="21">
        <f t="shared" si="54"/>
        <v>0</v>
      </c>
      <c r="P59" s="20">
        <f t="shared" si="55"/>
        <v>0</v>
      </c>
      <c r="Q59" s="62">
        <f t="shared" si="56"/>
        <v>0</v>
      </c>
      <c r="R59" s="27">
        <f t="shared" si="57"/>
        <v>1</v>
      </c>
      <c r="S59" s="22">
        <f t="shared" si="58"/>
        <v>0</v>
      </c>
      <c r="T59" s="22">
        <f t="shared" si="59"/>
        <v>0</v>
      </c>
      <c r="U59" s="28">
        <f t="shared" si="60"/>
        <v>0</v>
      </c>
      <c r="V59" s="92">
        <f t="shared" si="61"/>
        <v>0</v>
      </c>
      <c r="W59" s="56">
        <v>0.05</v>
      </c>
      <c r="X59" s="63">
        <f t="shared" si="62"/>
        <v>0</v>
      </c>
      <c r="Y59" s="22">
        <f t="shared" si="63"/>
        <v>0</v>
      </c>
      <c r="Z59" s="22">
        <f t="shared" si="63"/>
        <v>0</v>
      </c>
      <c r="AA59" s="28">
        <f t="shared" si="63"/>
        <v>0</v>
      </c>
      <c r="AB59" s="93"/>
    </row>
    <row r="60" spans="1:28">
      <c r="B60" s="5"/>
      <c r="C60" s="8"/>
      <c r="D60" s="6"/>
      <c r="E60" s="29"/>
      <c r="F60" s="8"/>
      <c r="G60" s="7"/>
      <c r="H60" s="8"/>
      <c r="I60" s="9"/>
      <c r="J60" s="10"/>
      <c r="K60" s="16">
        <f t="shared" si="64"/>
        <v>149</v>
      </c>
      <c r="L60" s="19" t="str">
        <f t="shared" si="52"/>
        <v>EEM149</v>
      </c>
      <c r="M60" s="61">
        <v>1</v>
      </c>
      <c r="N60" s="21">
        <f t="shared" si="53"/>
        <v>0</v>
      </c>
      <c r="O60" s="21">
        <f t="shared" si="54"/>
        <v>0</v>
      </c>
      <c r="P60" s="20">
        <f t="shared" si="55"/>
        <v>0</v>
      </c>
      <c r="Q60" s="62">
        <f t="shared" si="56"/>
        <v>0</v>
      </c>
      <c r="R60" s="27">
        <f t="shared" si="57"/>
        <v>1</v>
      </c>
      <c r="S60" s="22">
        <f t="shared" si="58"/>
        <v>0</v>
      </c>
      <c r="T60" s="22">
        <f t="shared" si="59"/>
        <v>0</v>
      </c>
      <c r="U60" s="28">
        <f t="shared" si="60"/>
        <v>0</v>
      </c>
      <c r="V60" s="92">
        <f t="shared" si="61"/>
        <v>0</v>
      </c>
      <c r="W60" s="56">
        <v>0.05</v>
      </c>
      <c r="X60" s="63">
        <f t="shared" si="62"/>
        <v>0</v>
      </c>
      <c r="Y60" s="22">
        <f t="shared" si="63"/>
        <v>0</v>
      </c>
      <c r="Z60" s="22">
        <f t="shared" si="63"/>
        <v>0</v>
      </c>
      <c r="AA60" s="28">
        <f t="shared" si="63"/>
        <v>0</v>
      </c>
      <c r="AB60" s="93"/>
    </row>
    <row r="61" spans="1:28">
      <c r="B61" s="5"/>
      <c r="C61" s="8"/>
      <c r="D61" s="6"/>
      <c r="E61" s="29"/>
      <c r="F61" s="8"/>
      <c r="G61" s="7"/>
      <c r="H61" s="8"/>
      <c r="I61" s="9"/>
      <c r="J61" s="10"/>
      <c r="K61" s="16">
        <f>K60+1</f>
        <v>150</v>
      </c>
      <c r="L61" s="19" t="str">
        <f t="shared" si="52"/>
        <v>EEM150</v>
      </c>
      <c r="M61" s="61">
        <v>1</v>
      </c>
      <c r="N61" s="21">
        <f t="shared" si="53"/>
        <v>0</v>
      </c>
      <c r="O61" s="21">
        <f t="shared" si="54"/>
        <v>0</v>
      </c>
      <c r="P61" s="20">
        <f t="shared" si="55"/>
        <v>0</v>
      </c>
      <c r="Q61" s="62">
        <f t="shared" si="56"/>
        <v>0</v>
      </c>
      <c r="R61" s="27">
        <f t="shared" si="57"/>
        <v>1</v>
      </c>
      <c r="S61" s="22">
        <f t="shared" si="58"/>
        <v>0</v>
      </c>
      <c r="T61" s="22">
        <f t="shared" si="59"/>
        <v>0</v>
      </c>
      <c r="U61" s="28">
        <f t="shared" si="60"/>
        <v>0</v>
      </c>
      <c r="V61" s="92">
        <f t="shared" si="61"/>
        <v>0</v>
      </c>
      <c r="W61" s="56">
        <v>0.05</v>
      </c>
      <c r="X61" s="63">
        <f t="shared" si="62"/>
        <v>0</v>
      </c>
      <c r="Y61" s="22">
        <f t="shared" si="63"/>
        <v>0</v>
      </c>
      <c r="Z61" s="22">
        <f t="shared" si="63"/>
        <v>0</v>
      </c>
      <c r="AA61" s="28">
        <f t="shared" si="63"/>
        <v>0</v>
      </c>
      <c r="AB61" s="93"/>
    </row>
    <row r="62" spans="1:28">
      <c r="A62" s="30" t="s">
        <v>251</v>
      </c>
      <c r="B62" s="31"/>
      <c r="C62" s="32"/>
      <c r="D62" s="33"/>
      <c r="E62" s="34"/>
      <c r="F62" s="32"/>
      <c r="G62" s="35"/>
      <c r="H62" s="32"/>
      <c r="I62" s="36"/>
      <c r="J62" s="37"/>
      <c r="K62" s="38"/>
      <c r="L62" s="39"/>
      <c r="M62" s="40"/>
      <c r="N62" s="40"/>
      <c r="O62" s="40"/>
      <c r="P62" s="41"/>
      <c r="Q62" s="53"/>
      <c r="R62" s="42"/>
      <c r="S62" s="43">
        <f>SUM(S52:S61)</f>
        <v>0</v>
      </c>
      <c r="T62" s="43">
        <f>SUM(T52:T61)</f>
        <v>0</v>
      </c>
      <c r="U62" s="44">
        <f>SUM(U52:U61)</f>
        <v>0</v>
      </c>
      <c r="V62" s="91"/>
      <c r="W62" s="52"/>
      <c r="X62" s="52"/>
      <c r="Y62" s="43">
        <f>SUM(Y52:Y61)</f>
        <v>0</v>
      </c>
      <c r="Z62" s="43">
        <f>SUM(Z52:Z61)</f>
        <v>0</v>
      </c>
      <c r="AA62" s="44">
        <f>SUM(AA52:AA61)</f>
        <v>0</v>
      </c>
      <c r="AB62" s="93"/>
    </row>
    <row r="63" spans="1:28">
      <c r="A63" s="87" t="s">
        <v>281</v>
      </c>
      <c r="B63" s="5"/>
      <c r="C63" s="8"/>
      <c r="D63" s="6"/>
      <c r="E63" s="8"/>
      <c r="F63" s="8"/>
      <c r="G63" s="7"/>
      <c r="H63" s="8"/>
      <c r="I63" s="9"/>
      <c r="J63" s="10"/>
      <c r="K63" s="16">
        <v>101</v>
      </c>
      <c r="L63" s="19" t="str">
        <f t="shared" ref="L63:L72" si="65">VLOOKUP(K63,$B$82:$G$264,2,FALSE)</f>
        <v>EEM101</v>
      </c>
      <c r="M63" s="61">
        <v>1</v>
      </c>
      <c r="N63" s="21">
        <f t="shared" ref="N63:N72" si="66">IF(ISNA(VLOOKUP($K63,$B$82:$G$264,3,TRUE)),0,VLOOKUP($K63,$B$82:$G$264,3,TRUE))</f>
        <v>0</v>
      </c>
      <c r="O63" s="21">
        <f t="shared" ref="O63:O72" si="67">IF(ISNA(VLOOKUP($K63,$B$82:$G$264,4,TRUE)),0,VLOOKUP($K63,$B$82:$G$264,4,TRUE))</f>
        <v>0</v>
      </c>
      <c r="P63" s="20">
        <f t="shared" ref="P63:P72" si="68">IF(ISNA(VLOOKUP($K63,$B$82:$G$264,5,TRUE)),0,VLOOKUP($K63,$B$82:$G$264,5,TRUE))</f>
        <v>0</v>
      </c>
      <c r="Q63" s="62">
        <f t="shared" ref="Q63:Q72" si="69">IF(ISNA(VLOOKUP($K63,$B$82:$H$264,7,TRUE)),0,VLOOKUP($K63,$B$82:$H$264,7,TRUE))</f>
        <v>0</v>
      </c>
      <c r="R63" s="27">
        <f t="shared" si="57"/>
        <v>1</v>
      </c>
      <c r="S63" s="22">
        <f t="shared" ref="S63:S72" si="70">$E$8*$M63*$N63*$R63</f>
        <v>0</v>
      </c>
      <c r="T63" s="22">
        <f t="shared" ref="T63:T72" si="71">$E$8*$M63*$O63*$R63</f>
        <v>0</v>
      </c>
      <c r="U63" s="28">
        <f t="shared" ref="U63:U72" si="72">$E$8*$M63*$P63*$R63</f>
        <v>0</v>
      </c>
      <c r="V63" s="92">
        <f t="shared" ref="V63:V72" si="73">IF(ISNA(VLOOKUP($K63,$B$82:$G$264,6,TRUE)),0,VLOOKUP($K63,$B$82:$G$264,6,TRUE))</f>
        <v>0</v>
      </c>
      <c r="W63" s="56">
        <v>0.05</v>
      </c>
      <c r="X63" s="63">
        <f t="shared" ref="X63:X72" si="74">IF(V63=0,0,(0.2*1/V63)+W63)</f>
        <v>0</v>
      </c>
      <c r="Y63" s="22">
        <f t="shared" ref="Y63:AA72" si="75">$X63*S63</f>
        <v>0</v>
      </c>
      <c r="Z63" s="22">
        <f t="shared" si="75"/>
        <v>0</v>
      </c>
      <c r="AA63" s="28">
        <f t="shared" si="75"/>
        <v>0</v>
      </c>
      <c r="AB63" s="93"/>
    </row>
    <row r="64" spans="1:28">
      <c r="B64" s="5"/>
      <c r="C64" s="8"/>
      <c r="D64" s="6"/>
      <c r="E64" s="8"/>
      <c r="F64" s="8"/>
      <c r="G64" s="7"/>
      <c r="H64" s="8"/>
      <c r="I64" s="9"/>
      <c r="J64" s="10"/>
      <c r="K64" s="16">
        <f>K63+1</f>
        <v>102</v>
      </c>
      <c r="L64" s="19" t="str">
        <f t="shared" si="65"/>
        <v>EEM102</v>
      </c>
      <c r="M64" s="61">
        <v>1</v>
      </c>
      <c r="N64" s="21">
        <f t="shared" si="66"/>
        <v>0</v>
      </c>
      <c r="O64" s="21">
        <f t="shared" si="67"/>
        <v>0</v>
      </c>
      <c r="P64" s="20">
        <f t="shared" si="68"/>
        <v>0</v>
      </c>
      <c r="Q64" s="62">
        <f t="shared" si="69"/>
        <v>0</v>
      </c>
      <c r="R64" s="27">
        <f t="shared" si="57"/>
        <v>1</v>
      </c>
      <c r="S64" s="22">
        <f t="shared" si="70"/>
        <v>0</v>
      </c>
      <c r="T64" s="22">
        <f t="shared" si="71"/>
        <v>0</v>
      </c>
      <c r="U64" s="28">
        <f t="shared" si="72"/>
        <v>0</v>
      </c>
      <c r="V64" s="92">
        <f t="shared" si="73"/>
        <v>0</v>
      </c>
      <c r="W64" s="56">
        <v>0.05</v>
      </c>
      <c r="X64" s="63">
        <f t="shared" si="74"/>
        <v>0</v>
      </c>
      <c r="Y64" s="22">
        <f t="shared" si="75"/>
        <v>0</v>
      </c>
      <c r="Z64" s="22">
        <f t="shared" si="75"/>
        <v>0</v>
      </c>
      <c r="AA64" s="28">
        <f t="shared" si="75"/>
        <v>0</v>
      </c>
      <c r="AB64" s="93"/>
    </row>
    <row r="65" spans="1:32">
      <c r="B65" s="5"/>
      <c r="C65" s="8"/>
      <c r="D65" s="6"/>
      <c r="E65" s="8"/>
      <c r="F65" s="8"/>
      <c r="G65" s="7"/>
      <c r="H65" s="8"/>
      <c r="I65" s="9"/>
      <c r="J65" s="10"/>
      <c r="K65" s="16">
        <f t="shared" ref="K65:K71" si="76">K64+1</f>
        <v>103</v>
      </c>
      <c r="L65" s="19" t="str">
        <f t="shared" si="65"/>
        <v>EEM103</v>
      </c>
      <c r="M65" s="61">
        <v>1</v>
      </c>
      <c r="N65" s="21">
        <f t="shared" si="66"/>
        <v>0</v>
      </c>
      <c r="O65" s="21">
        <f t="shared" si="67"/>
        <v>0</v>
      </c>
      <c r="P65" s="20">
        <f t="shared" si="68"/>
        <v>0</v>
      </c>
      <c r="Q65" s="62">
        <f t="shared" si="69"/>
        <v>0</v>
      </c>
      <c r="R65" s="27">
        <f t="shared" si="57"/>
        <v>1</v>
      </c>
      <c r="S65" s="22">
        <f t="shared" si="70"/>
        <v>0</v>
      </c>
      <c r="T65" s="22">
        <f t="shared" si="71"/>
        <v>0</v>
      </c>
      <c r="U65" s="28">
        <f t="shared" si="72"/>
        <v>0</v>
      </c>
      <c r="V65" s="92">
        <f t="shared" si="73"/>
        <v>0</v>
      </c>
      <c r="W65" s="56">
        <v>0.05</v>
      </c>
      <c r="X65" s="63">
        <f t="shared" si="74"/>
        <v>0</v>
      </c>
      <c r="Y65" s="22">
        <f t="shared" si="75"/>
        <v>0</v>
      </c>
      <c r="Z65" s="22">
        <f t="shared" si="75"/>
        <v>0</v>
      </c>
      <c r="AA65" s="28">
        <f t="shared" si="75"/>
        <v>0</v>
      </c>
      <c r="AB65" s="93"/>
    </row>
    <row r="66" spans="1:32">
      <c r="B66" s="5"/>
      <c r="C66" s="8"/>
      <c r="D66" s="6"/>
      <c r="E66" s="8"/>
      <c r="F66" s="8"/>
      <c r="G66" s="7"/>
      <c r="H66" s="8"/>
      <c r="I66" s="9"/>
      <c r="J66" s="10"/>
      <c r="K66" s="16">
        <f t="shared" si="76"/>
        <v>104</v>
      </c>
      <c r="L66" s="19" t="str">
        <f t="shared" si="65"/>
        <v>EEM104</v>
      </c>
      <c r="M66" s="61">
        <v>1</v>
      </c>
      <c r="N66" s="21">
        <f t="shared" si="66"/>
        <v>0</v>
      </c>
      <c r="O66" s="21">
        <f t="shared" si="67"/>
        <v>0</v>
      </c>
      <c r="P66" s="20">
        <f t="shared" si="68"/>
        <v>0</v>
      </c>
      <c r="Q66" s="62">
        <f t="shared" si="69"/>
        <v>0</v>
      </c>
      <c r="R66" s="27">
        <f t="shared" si="57"/>
        <v>1</v>
      </c>
      <c r="S66" s="22">
        <f t="shared" si="70"/>
        <v>0</v>
      </c>
      <c r="T66" s="22">
        <f t="shared" si="71"/>
        <v>0</v>
      </c>
      <c r="U66" s="28">
        <f t="shared" si="72"/>
        <v>0</v>
      </c>
      <c r="V66" s="92">
        <f t="shared" si="73"/>
        <v>0</v>
      </c>
      <c r="W66" s="56">
        <v>0.05</v>
      </c>
      <c r="X66" s="63">
        <f t="shared" si="74"/>
        <v>0</v>
      </c>
      <c r="Y66" s="22">
        <f t="shared" si="75"/>
        <v>0</v>
      </c>
      <c r="Z66" s="22">
        <f t="shared" si="75"/>
        <v>0</v>
      </c>
      <c r="AA66" s="28">
        <f t="shared" si="75"/>
        <v>0</v>
      </c>
      <c r="AB66" s="93"/>
    </row>
    <row r="67" spans="1:32">
      <c r="B67" s="5"/>
      <c r="C67" s="8"/>
      <c r="D67" s="6"/>
      <c r="E67" s="8"/>
      <c r="F67" s="8"/>
      <c r="G67" s="7"/>
      <c r="H67" s="8"/>
      <c r="I67" s="9"/>
      <c r="J67" s="10"/>
      <c r="K67" s="16">
        <f t="shared" si="76"/>
        <v>105</v>
      </c>
      <c r="L67" s="19" t="str">
        <f t="shared" si="65"/>
        <v>EEM105</v>
      </c>
      <c r="M67" s="61">
        <v>1</v>
      </c>
      <c r="N67" s="21">
        <f t="shared" si="66"/>
        <v>0</v>
      </c>
      <c r="O67" s="21">
        <f t="shared" si="67"/>
        <v>0</v>
      </c>
      <c r="P67" s="20">
        <f t="shared" si="68"/>
        <v>0</v>
      </c>
      <c r="Q67" s="62">
        <f t="shared" si="69"/>
        <v>0</v>
      </c>
      <c r="R67" s="27">
        <f t="shared" si="57"/>
        <v>1</v>
      </c>
      <c r="S67" s="22">
        <f t="shared" si="70"/>
        <v>0</v>
      </c>
      <c r="T67" s="22">
        <f t="shared" si="71"/>
        <v>0</v>
      </c>
      <c r="U67" s="28">
        <f t="shared" si="72"/>
        <v>0</v>
      </c>
      <c r="V67" s="92">
        <f t="shared" si="73"/>
        <v>0</v>
      </c>
      <c r="W67" s="56">
        <v>0.05</v>
      </c>
      <c r="X67" s="63">
        <f t="shared" si="74"/>
        <v>0</v>
      </c>
      <c r="Y67" s="22">
        <f t="shared" si="75"/>
        <v>0</v>
      </c>
      <c r="Z67" s="22">
        <f t="shared" si="75"/>
        <v>0</v>
      </c>
      <c r="AA67" s="28">
        <f t="shared" si="75"/>
        <v>0</v>
      </c>
      <c r="AB67" s="93"/>
    </row>
    <row r="68" spans="1:32">
      <c r="B68" s="5"/>
      <c r="C68" s="8"/>
      <c r="D68" s="6"/>
      <c r="E68" s="8"/>
      <c r="F68" s="8"/>
      <c r="G68" s="7"/>
      <c r="H68" s="8"/>
      <c r="I68" s="9"/>
      <c r="J68" s="10"/>
      <c r="K68" s="16">
        <f t="shared" si="76"/>
        <v>106</v>
      </c>
      <c r="L68" s="19" t="str">
        <f t="shared" si="65"/>
        <v>EEM106</v>
      </c>
      <c r="M68" s="61">
        <v>1</v>
      </c>
      <c r="N68" s="21">
        <f t="shared" si="66"/>
        <v>0</v>
      </c>
      <c r="O68" s="21">
        <f t="shared" si="67"/>
        <v>0</v>
      </c>
      <c r="P68" s="20">
        <f t="shared" si="68"/>
        <v>0</v>
      </c>
      <c r="Q68" s="62">
        <f t="shared" si="69"/>
        <v>0</v>
      </c>
      <c r="R68" s="27">
        <f t="shared" si="57"/>
        <v>1</v>
      </c>
      <c r="S68" s="22">
        <f t="shared" si="70"/>
        <v>0</v>
      </c>
      <c r="T68" s="22">
        <f t="shared" si="71"/>
        <v>0</v>
      </c>
      <c r="U68" s="28">
        <f t="shared" si="72"/>
        <v>0</v>
      </c>
      <c r="V68" s="92">
        <f t="shared" si="73"/>
        <v>0</v>
      </c>
      <c r="W68" s="56">
        <v>0.05</v>
      </c>
      <c r="X68" s="63">
        <f t="shared" si="74"/>
        <v>0</v>
      </c>
      <c r="Y68" s="22">
        <f t="shared" si="75"/>
        <v>0</v>
      </c>
      <c r="Z68" s="22">
        <f t="shared" si="75"/>
        <v>0</v>
      </c>
      <c r="AA68" s="28">
        <f t="shared" si="75"/>
        <v>0</v>
      </c>
      <c r="AB68" s="93"/>
    </row>
    <row r="69" spans="1:32">
      <c r="B69" s="5"/>
      <c r="C69" s="8"/>
      <c r="D69" s="6"/>
      <c r="E69" s="8"/>
      <c r="F69" s="8"/>
      <c r="G69" s="7"/>
      <c r="H69" s="8"/>
      <c r="I69" s="9"/>
      <c r="J69" s="10"/>
      <c r="K69" s="16">
        <f t="shared" si="76"/>
        <v>107</v>
      </c>
      <c r="L69" s="19" t="str">
        <f t="shared" si="65"/>
        <v>EEM107</v>
      </c>
      <c r="M69" s="61">
        <v>1</v>
      </c>
      <c r="N69" s="21">
        <f t="shared" si="66"/>
        <v>0</v>
      </c>
      <c r="O69" s="21">
        <f t="shared" si="67"/>
        <v>0</v>
      </c>
      <c r="P69" s="20">
        <f t="shared" si="68"/>
        <v>0</v>
      </c>
      <c r="Q69" s="62">
        <f t="shared" si="69"/>
        <v>0</v>
      </c>
      <c r="R69" s="27">
        <f t="shared" si="57"/>
        <v>1</v>
      </c>
      <c r="S69" s="22">
        <f t="shared" si="70"/>
        <v>0</v>
      </c>
      <c r="T69" s="22">
        <f t="shared" si="71"/>
        <v>0</v>
      </c>
      <c r="U69" s="28">
        <f t="shared" si="72"/>
        <v>0</v>
      </c>
      <c r="V69" s="92">
        <f t="shared" si="73"/>
        <v>0</v>
      </c>
      <c r="W69" s="56">
        <v>0.05</v>
      </c>
      <c r="X69" s="63">
        <f t="shared" si="74"/>
        <v>0</v>
      </c>
      <c r="Y69" s="22">
        <f t="shared" si="75"/>
        <v>0</v>
      </c>
      <c r="Z69" s="22">
        <f t="shared" si="75"/>
        <v>0</v>
      </c>
      <c r="AA69" s="28">
        <f t="shared" si="75"/>
        <v>0</v>
      </c>
      <c r="AB69" s="93"/>
    </row>
    <row r="70" spans="1:32">
      <c r="B70" s="5"/>
      <c r="C70" s="8"/>
      <c r="D70" s="6"/>
      <c r="E70" s="8"/>
      <c r="F70" s="8"/>
      <c r="G70" s="7"/>
      <c r="H70" s="8"/>
      <c r="I70" s="9"/>
      <c r="J70" s="10"/>
      <c r="K70" s="16">
        <f t="shared" si="76"/>
        <v>108</v>
      </c>
      <c r="L70" s="19" t="str">
        <f t="shared" si="65"/>
        <v>EEM108</v>
      </c>
      <c r="M70" s="61">
        <v>1</v>
      </c>
      <c r="N70" s="21">
        <f t="shared" si="66"/>
        <v>0</v>
      </c>
      <c r="O70" s="21">
        <f t="shared" si="67"/>
        <v>0</v>
      </c>
      <c r="P70" s="20">
        <f t="shared" si="68"/>
        <v>0</v>
      </c>
      <c r="Q70" s="62">
        <f t="shared" si="69"/>
        <v>0</v>
      </c>
      <c r="R70" s="27">
        <f t="shared" si="57"/>
        <v>1</v>
      </c>
      <c r="S70" s="22">
        <f t="shared" si="70"/>
        <v>0</v>
      </c>
      <c r="T70" s="22">
        <f t="shared" si="71"/>
        <v>0</v>
      </c>
      <c r="U70" s="28">
        <f t="shared" si="72"/>
        <v>0</v>
      </c>
      <c r="V70" s="92">
        <f t="shared" si="73"/>
        <v>0</v>
      </c>
      <c r="W70" s="56">
        <v>0.05</v>
      </c>
      <c r="X70" s="63">
        <f t="shared" si="74"/>
        <v>0</v>
      </c>
      <c r="Y70" s="22">
        <f t="shared" si="75"/>
        <v>0</v>
      </c>
      <c r="Z70" s="22">
        <f t="shared" si="75"/>
        <v>0</v>
      </c>
      <c r="AA70" s="28">
        <f t="shared" si="75"/>
        <v>0</v>
      </c>
      <c r="AB70" s="93"/>
    </row>
    <row r="71" spans="1:32">
      <c r="B71" s="5"/>
      <c r="C71" s="8"/>
      <c r="D71" s="6"/>
      <c r="E71" s="29"/>
      <c r="F71" s="8"/>
      <c r="G71" s="7"/>
      <c r="H71" s="8"/>
      <c r="I71" s="9"/>
      <c r="J71" s="10"/>
      <c r="K71" s="16">
        <f t="shared" si="76"/>
        <v>109</v>
      </c>
      <c r="L71" s="19" t="str">
        <f t="shared" si="65"/>
        <v>EEM109</v>
      </c>
      <c r="M71" s="61">
        <v>1</v>
      </c>
      <c r="N71" s="21">
        <f t="shared" si="66"/>
        <v>0</v>
      </c>
      <c r="O71" s="21">
        <f t="shared" si="67"/>
        <v>0</v>
      </c>
      <c r="P71" s="20">
        <f t="shared" si="68"/>
        <v>0</v>
      </c>
      <c r="Q71" s="62">
        <f t="shared" si="69"/>
        <v>0</v>
      </c>
      <c r="R71" s="27">
        <f t="shared" si="57"/>
        <v>1</v>
      </c>
      <c r="S71" s="22">
        <f t="shared" si="70"/>
        <v>0</v>
      </c>
      <c r="T71" s="22">
        <f t="shared" si="71"/>
        <v>0</v>
      </c>
      <c r="U71" s="28">
        <f t="shared" si="72"/>
        <v>0</v>
      </c>
      <c r="V71" s="92">
        <f t="shared" si="73"/>
        <v>0</v>
      </c>
      <c r="W71" s="56">
        <v>0.05</v>
      </c>
      <c r="X71" s="63">
        <f t="shared" si="74"/>
        <v>0</v>
      </c>
      <c r="Y71" s="22">
        <f t="shared" si="75"/>
        <v>0</v>
      </c>
      <c r="Z71" s="22">
        <f t="shared" si="75"/>
        <v>0</v>
      </c>
      <c r="AA71" s="28">
        <f t="shared" si="75"/>
        <v>0</v>
      </c>
      <c r="AB71" s="93"/>
    </row>
    <row r="72" spans="1:32">
      <c r="B72" s="5"/>
      <c r="C72" s="8"/>
      <c r="D72" s="6"/>
      <c r="E72" s="29"/>
      <c r="F72" s="8"/>
      <c r="G72" s="7"/>
      <c r="H72" s="8"/>
      <c r="I72" s="9"/>
      <c r="J72" s="10"/>
      <c r="K72" s="16">
        <f>K71+1</f>
        <v>110</v>
      </c>
      <c r="L72" s="19" t="str">
        <f t="shared" si="65"/>
        <v>EEM110</v>
      </c>
      <c r="M72" s="61">
        <v>1</v>
      </c>
      <c r="N72" s="21">
        <f t="shared" si="66"/>
        <v>0</v>
      </c>
      <c r="O72" s="21">
        <f t="shared" si="67"/>
        <v>0</v>
      </c>
      <c r="P72" s="20">
        <f t="shared" si="68"/>
        <v>0</v>
      </c>
      <c r="Q72" s="62">
        <f t="shared" si="69"/>
        <v>0</v>
      </c>
      <c r="R72" s="27">
        <f t="shared" si="57"/>
        <v>1</v>
      </c>
      <c r="S72" s="22">
        <f t="shared" si="70"/>
        <v>0</v>
      </c>
      <c r="T72" s="22">
        <f t="shared" si="71"/>
        <v>0</v>
      </c>
      <c r="U72" s="28">
        <f t="shared" si="72"/>
        <v>0</v>
      </c>
      <c r="V72" s="92">
        <f t="shared" si="73"/>
        <v>0</v>
      </c>
      <c r="W72" s="56">
        <v>0.05</v>
      </c>
      <c r="X72" s="63">
        <f t="shared" si="74"/>
        <v>0</v>
      </c>
      <c r="Y72" s="22">
        <f t="shared" si="75"/>
        <v>0</v>
      </c>
      <c r="Z72" s="22">
        <f t="shared" si="75"/>
        <v>0</v>
      </c>
      <c r="AA72" s="28">
        <f t="shared" si="75"/>
        <v>0</v>
      </c>
      <c r="AB72" s="93"/>
    </row>
    <row r="73" spans="1:32">
      <c r="A73" s="30" t="s">
        <v>251</v>
      </c>
      <c r="B73" s="31"/>
      <c r="C73" s="32"/>
      <c r="D73" s="33"/>
      <c r="E73" s="34"/>
      <c r="F73" s="32"/>
      <c r="G73" s="35"/>
      <c r="H73" s="32"/>
      <c r="I73" s="36"/>
      <c r="J73" s="37"/>
      <c r="K73" s="38"/>
      <c r="L73" s="39"/>
      <c r="M73" s="40"/>
      <c r="N73" s="40"/>
      <c r="O73" s="40"/>
      <c r="P73" s="41"/>
      <c r="Q73" s="53"/>
      <c r="R73" s="42"/>
      <c r="S73" s="43">
        <f>SUM(S63:S72)</f>
        <v>0</v>
      </c>
      <c r="T73" s="43">
        <f>SUM(T63:T72)</f>
        <v>0</v>
      </c>
      <c r="U73" s="44">
        <f>SUM(U63:U72)</f>
        <v>0</v>
      </c>
      <c r="V73" s="91"/>
      <c r="W73" s="52"/>
      <c r="X73" s="52"/>
      <c r="Y73" s="43">
        <f>SUM(Y63:Y72)</f>
        <v>0</v>
      </c>
      <c r="Z73" s="43">
        <f>SUM(Z63:Z72)</f>
        <v>0</v>
      </c>
      <c r="AA73" s="44">
        <f>SUM(AA63:AA72)</f>
        <v>0</v>
      </c>
      <c r="AB73" s="93"/>
    </row>
    <row r="74" spans="1:32" s="49" customFormat="1">
      <c r="A74" s="46" t="s">
        <v>230</v>
      </c>
      <c r="B74" s="47">
        <f>SUM(B8:B73)</f>
        <v>204.88941</v>
      </c>
      <c r="C74" s="48">
        <f>SUM(C8:C73)</f>
        <v>105886</v>
      </c>
      <c r="D74" s="47">
        <f>SUM(D8:D73)</f>
        <v>264.89762999999999</v>
      </c>
      <c r="E74" s="48">
        <f>SUM(E8:E73)</f>
        <v>136898</v>
      </c>
      <c r="F74" s="48"/>
      <c r="H74" s="48">
        <f>SUM(H8:H73)</f>
        <v>4895308202.4000006</v>
      </c>
      <c r="J74" s="48">
        <f>SUM(J8:J73)</f>
        <v>2050307.6562000001</v>
      </c>
      <c r="K74" s="48"/>
      <c r="L74" s="48"/>
      <c r="M74" s="48"/>
      <c r="N74" s="48"/>
      <c r="O74" s="48"/>
      <c r="P74" s="48"/>
      <c r="Q74" s="48"/>
      <c r="R74" s="48"/>
      <c r="S74" s="48">
        <f>S40+S29+S18+S51+S62+S73</f>
        <v>0</v>
      </c>
      <c r="T74" s="48">
        <f>T40+T29+T18+T51+T62+T73</f>
        <v>0</v>
      </c>
      <c r="U74" s="48">
        <f>U40+U29+U18+U51+U62+U73</f>
        <v>0</v>
      </c>
      <c r="V74" s="48"/>
      <c r="W74" s="57"/>
      <c r="X74" s="48"/>
      <c r="Y74" s="48">
        <f>Y40+Y29+Y18+Y51+Y62+Y73</f>
        <v>0</v>
      </c>
      <c r="Z74" s="48">
        <f>Z40+Z29+Z18+Z51+Z62+Z73</f>
        <v>0</v>
      </c>
      <c r="AA74" s="48">
        <f>AA40+AA29+AA18+AA51+AA62+AA73</f>
        <v>0</v>
      </c>
      <c r="AB74" s="50"/>
      <c r="AC74" s="48"/>
      <c r="AD74" s="48"/>
      <c r="AE74" s="48"/>
      <c r="AF74" s="48"/>
    </row>
    <row r="76" spans="1:32">
      <c r="A76" s="13" t="s">
        <v>239</v>
      </c>
    </row>
    <row r="79" spans="1:32">
      <c r="A79" s="68"/>
      <c r="B79" s="68"/>
      <c r="C79" s="68"/>
      <c r="D79" s="96" t="s">
        <v>241</v>
      </c>
      <c r="E79" s="95" t="s">
        <v>287</v>
      </c>
      <c r="F79" s="94"/>
      <c r="G79" s="68"/>
      <c r="H79" s="68"/>
      <c r="M79" s="12"/>
      <c r="N79" s="12"/>
      <c r="Q79" s="7"/>
      <c r="R79" s="7"/>
      <c r="W79" s="12"/>
      <c r="Y79" s="54"/>
      <c r="AB79" s="12"/>
      <c r="AD79"/>
    </row>
    <row r="80" spans="1:32">
      <c r="A80" s="95" t="s">
        <v>289</v>
      </c>
      <c r="B80" s="68"/>
      <c r="C80" s="68"/>
      <c r="D80" s="96" t="s">
        <v>242</v>
      </c>
      <c r="E80" s="96" t="s">
        <v>242</v>
      </c>
      <c r="F80" s="96"/>
      <c r="G80" s="96" t="s">
        <v>257</v>
      </c>
      <c r="H80" s="96"/>
      <c r="M80" s="12"/>
      <c r="N80" s="12"/>
      <c r="Q80" s="7"/>
      <c r="R80" s="7"/>
      <c r="W80" s="12"/>
      <c r="Y80" s="54"/>
      <c r="AB80" s="12"/>
      <c r="AD80"/>
    </row>
    <row r="81" spans="1:30">
      <c r="A81" s="95" t="s">
        <v>290</v>
      </c>
      <c r="B81" s="68"/>
      <c r="C81" s="94" t="s">
        <v>245</v>
      </c>
      <c r="D81" s="95" t="s">
        <v>255</v>
      </c>
      <c r="E81" s="97" t="s">
        <v>255</v>
      </c>
      <c r="F81" s="97"/>
      <c r="G81" s="96" t="s">
        <v>258</v>
      </c>
      <c r="H81" s="97" t="s">
        <v>292</v>
      </c>
      <c r="M81" s="12"/>
      <c r="N81" s="12"/>
      <c r="Q81" s="7"/>
      <c r="R81" s="7"/>
      <c r="W81" s="12"/>
      <c r="Y81" s="54"/>
      <c r="AB81" s="12"/>
      <c r="AD81"/>
    </row>
    <row r="82" spans="1:30" ht="13.5" thickBot="1">
      <c r="A82" s="100" t="s">
        <v>291</v>
      </c>
      <c r="B82" s="98" t="s">
        <v>245</v>
      </c>
      <c r="C82" s="98" t="s">
        <v>263</v>
      </c>
      <c r="D82" s="98" t="s">
        <v>243</v>
      </c>
      <c r="E82" s="98" t="s">
        <v>244</v>
      </c>
      <c r="F82" s="98"/>
      <c r="G82" s="99" t="s">
        <v>259</v>
      </c>
      <c r="H82" s="101" t="s">
        <v>293</v>
      </c>
      <c r="M82" s="12"/>
      <c r="N82" s="12"/>
      <c r="Q82" s="7"/>
      <c r="R82" s="7"/>
      <c r="W82" s="12"/>
      <c r="Y82" s="54"/>
      <c r="AB82" s="12"/>
      <c r="AD82"/>
    </row>
    <row r="83" spans="1:30" ht="13.5" thickTop="1">
      <c r="A83" s="23"/>
      <c r="B83" s="24">
        <v>101</v>
      </c>
      <c r="C83" s="24" t="str">
        <f>"EEM"&amp;B83</f>
        <v>EEM101</v>
      </c>
      <c r="D83" s="25"/>
      <c r="E83" s="25"/>
      <c r="F83" s="25"/>
      <c r="G83" s="25"/>
      <c r="H83" s="102"/>
      <c r="M83" s="12"/>
      <c r="N83" s="12"/>
      <c r="Q83" s="7"/>
      <c r="R83" s="7"/>
      <c r="W83" s="12"/>
      <c r="Y83" s="54"/>
      <c r="AB83" s="12"/>
      <c r="AD83"/>
    </row>
    <row r="84" spans="1:30">
      <c r="A84" s="23"/>
      <c r="B84" s="24">
        <f>B83+1</f>
        <v>102</v>
      </c>
      <c r="C84" s="24" t="str">
        <f t="shared" ref="C84:C147" si="77">"EEM"&amp;B84</f>
        <v>EEM102</v>
      </c>
      <c r="D84" s="25"/>
      <c r="E84" s="25"/>
      <c r="F84" s="25"/>
      <c r="G84" s="25"/>
      <c r="H84" s="102"/>
      <c r="M84" s="12"/>
      <c r="N84" s="12"/>
      <c r="Q84" s="7"/>
      <c r="R84" s="7"/>
      <c r="W84" s="12"/>
      <c r="Y84" s="54"/>
      <c r="AB84" s="12"/>
      <c r="AD84"/>
    </row>
    <row r="85" spans="1:30">
      <c r="A85" s="23"/>
      <c r="B85" s="24">
        <f t="shared" ref="B85:B132" si="78">B84+1</f>
        <v>103</v>
      </c>
      <c r="C85" s="24" t="str">
        <f t="shared" si="77"/>
        <v>EEM103</v>
      </c>
      <c r="D85" s="25"/>
      <c r="E85" s="25"/>
      <c r="F85" s="25"/>
      <c r="G85" s="25"/>
      <c r="H85" s="102"/>
      <c r="M85" s="12"/>
      <c r="N85" s="12"/>
      <c r="Q85" s="7"/>
      <c r="R85" s="7"/>
      <c r="W85" s="12"/>
      <c r="Y85" s="54"/>
      <c r="AB85" s="12"/>
      <c r="AD85"/>
    </row>
    <row r="86" spans="1:30">
      <c r="A86" s="23"/>
      <c r="B86" s="24">
        <f t="shared" si="78"/>
        <v>104</v>
      </c>
      <c r="C86" s="24" t="str">
        <f t="shared" si="77"/>
        <v>EEM104</v>
      </c>
      <c r="D86" s="25"/>
      <c r="E86" s="25"/>
      <c r="F86" s="25"/>
      <c r="G86" s="25"/>
      <c r="H86" s="102"/>
      <c r="M86" s="12"/>
      <c r="N86" s="12"/>
      <c r="Q86" s="7"/>
      <c r="R86" s="7"/>
      <c r="W86" s="12"/>
      <c r="Y86" s="54"/>
      <c r="AB86" s="12"/>
      <c r="AD86"/>
    </row>
    <row r="87" spans="1:30">
      <c r="A87" s="23"/>
      <c r="B87" s="24">
        <f t="shared" si="78"/>
        <v>105</v>
      </c>
      <c r="C87" s="24" t="str">
        <f t="shared" si="77"/>
        <v>EEM105</v>
      </c>
      <c r="D87" s="25"/>
      <c r="E87" s="25"/>
      <c r="F87" s="25"/>
      <c r="G87" s="25"/>
      <c r="H87" s="102"/>
      <c r="M87" s="12"/>
      <c r="N87" s="12"/>
      <c r="Q87" s="7"/>
      <c r="R87" s="7"/>
      <c r="W87" s="12"/>
      <c r="Y87" s="54"/>
      <c r="AB87" s="12"/>
      <c r="AD87"/>
    </row>
    <row r="88" spans="1:30">
      <c r="A88" s="23"/>
      <c r="B88" s="24">
        <f t="shared" si="78"/>
        <v>106</v>
      </c>
      <c r="C88" s="24" t="str">
        <f t="shared" si="77"/>
        <v>EEM106</v>
      </c>
      <c r="D88" s="25"/>
      <c r="E88" s="25"/>
      <c r="F88" s="25"/>
      <c r="G88" s="25"/>
      <c r="H88" s="102"/>
      <c r="M88" s="12"/>
      <c r="N88" s="12"/>
      <c r="Q88" s="7"/>
      <c r="R88" s="7"/>
      <c r="W88" s="12"/>
      <c r="Y88" s="54"/>
      <c r="AB88" s="12"/>
      <c r="AD88"/>
    </row>
    <row r="89" spans="1:30">
      <c r="A89" s="23"/>
      <c r="B89" s="24">
        <f t="shared" si="78"/>
        <v>107</v>
      </c>
      <c r="C89" s="24" t="str">
        <f t="shared" si="77"/>
        <v>EEM107</v>
      </c>
      <c r="D89" s="25"/>
      <c r="E89" s="25"/>
      <c r="F89" s="25"/>
      <c r="G89" s="25"/>
      <c r="H89" s="102"/>
      <c r="M89" s="12"/>
      <c r="N89" s="12"/>
      <c r="Q89" s="7"/>
      <c r="R89" s="7"/>
      <c r="W89" s="12"/>
      <c r="Y89" s="54"/>
      <c r="AB89" s="12"/>
      <c r="AD89"/>
    </row>
    <row r="90" spans="1:30">
      <c r="A90" s="23"/>
      <c r="B90" s="24">
        <f t="shared" si="78"/>
        <v>108</v>
      </c>
      <c r="C90" s="24" t="str">
        <f t="shared" si="77"/>
        <v>EEM108</v>
      </c>
      <c r="D90" s="25"/>
      <c r="E90" s="25"/>
      <c r="F90" s="25"/>
      <c r="G90" s="25"/>
      <c r="H90" s="102"/>
      <c r="M90" s="12"/>
      <c r="N90" s="12"/>
      <c r="Q90" s="7"/>
      <c r="R90" s="7"/>
      <c r="W90" s="12"/>
      <c r="Y90" s="54"/>
      <c r="AB90" s="12"/>
      <c r="AD90"/>
    </row>
    <row r="91" spans="1:30">
      <c r="A91" s="23"/>
      <c r="B91" s="24">
        <f t="shared" si="78"/>
        <v>109</v>
      </c>
      <c r="C91" s="24" t="str">
        <f t="shared" si="77"/>
        <v>EEM109</v>
      </c>
      <c r="D91" s="25"/>
      <c r="E91" s="25"/>
      <c r="F91" s="25"/>
      <c r="G91" s="25"/>
      <c r="H91" s="102"/>
      <c r="M91" s="12"/>
      <c r="N91" s="12"/>
      <c r="Q91" s="7"/>
      <c r="R91" s="7"/>
      <c r="W91" s="12"/>
      <c r="Y91" s="54"/>
      <c r="AB91" s="12"/>
      <c r="AD91"/>
    </row>
    <row r="92" spans="1:30">
      <c r="A92" s="23"/>
      <c r="B92" s="24">
        <f t="shared" si="78"/>
        <v>110</v>
      </c>
      <c r="C92" s="24" t="str">
        <f t="shared" si="77"/>
        <v>EEM110</v>
      </c>
      <c r="D92" s="25"/>
      <c r="E92" s="25"/>
      <c r="F92" s="25"/>
      <c r="G92" s="25"/>
      <c r="H92" s="102"/>
      <c r="M92" s="12"/>
      <c r="N92" s="12"/>
      <c r="Q92" s="7"/>
      <c r="R92" s="7"/>
      <c r="W92" s="12"/>
      <c r="Y92" s="54"/>
      <c r="AB92" s="12"/>
      <c r="AD92"/>
    </row>
    <row r="93" spans="1:30">
      <c r="A93" s="23"/>
      <c r="B93" s="24">
        <f t="shared" si="78"/>
        <v>111</v>
      </c>
      <c r="C93" s="24" t="str">
        <f t="shared" si="77"/>
        <v>EEM111</v>
      </c>
      <c r="D93" s="25"/>
      <c r="E93" s="25"/>
      <c r="F93" s="25"/>
      <c r="G93" s="25"/>
      <c r="H93" s="102"/>
      <c r="M93" s="12"/>
      <c r="N93" s="12"/>
      <c r="Q93" s="7"/>
      <c r="R93" s="7"/>
      <c r="W93" s="12"/>
      <c r="Y93" s="54"/>
      <c r="AB93" s="12"/>
      <c r="AD93"/>
    </row>
    <row r="94" spans="1:30">
      <c r="A94" s="23"/>
      <c r="B94" s="24">
        <f t="shared" si="78"/>
        <v>112</v>
      </c>
      <c r="C94" s="24" t="str">
        <f t="shared" si="77"/>
        <v>EEM112</v>
      </c>
      <c r="D94" s="25"/>
      <c r="E94" s="25"/>
      <c r="F94" s="25"/>
      <c r="G94" s="25"/>
      <c r="H94" s="102"/>
      <c r="M94" s="12"/>
      <c r="N94" s="12"/>
      <c r="Q94" s="7"/>
      <c r="R94" s="7"/>
      <c r="W94" s="12"/>
      <c r="Y94" s="54"/>
      <c r="AB94" s="12"/>
      <c r="AD94"/>
    </row>
    <row r="95" spans="1:30">
      <c r="A95" s="23"/>
      <c r="B95" s="24">
        <f t="shared" si="78"/>
        <v>113</v>
      </c>
      <c r="C95" s="24" t="str">
        <f t="shared" si="77"/>
        <v>EEM113</v>
      </c>
      <c r="D95" s="25"/>
      <c r="E95" s="25"/>
      <c r="F95" s="25"/>
      <c r="G95" s="25"/>
      <c r="H95" s="102"/>
      <c r="M95" s="12"/>
      <c r="N95" s="12"/>
      <c r="Q95" s="7"/>
      <c r="R95" s="7"/>
      <c r="W95" s="12"/>
      <c r="Y95" s="54"/>
      <c r="AB95" s="12"/>
      <c r="AD95"/>
    </row>
    <row r="96" spans="1:30">
      <c r="A96" s="23"/>
      <c r="B96" s="24">
        <f t="shared" si="78"/>
        <v>114</v>
      </c>
      <c r="C96" s="24" t="str">
        <f t="shared" si="77"/>
        <v>EEM114</v>
      </c>
      <c r="D96" s="25"/>
      <c r="E96" s="25"/>
      <c r="F96" s="25"/>
      <c r="G96" s="25"/>
      <c r="H96" s="102"/>
      <c r="M96" s="12"/>
      <c r="N96" s="12"/>
      <c r="Q96" s="7"/>
      <c r="R96" s="7"/>
      <c r="W96" s="12"/>
      <c r="Y96" s="54"/>
      <c r="AB96" s="12"/>
      <c r="AD96"/>
    </row>
    <row r="97" spans="1:30">
      <c r="A97" s="23"/>
      <c r="B97" s="24">
        <f t="shared" si="78"/>
        <v>115</v>
      </c>
      <c r="C97" s="24" t="str">
        <f t="shared" si="77"/>
        <v>EEM115</v>
      </c>
      <c r="D97" s="25"/>
      <c r="E97" s="25"/>
      <c r="F97" s="25"/>
      <c r="G97" s="25"/>
      <c r="H97" s="102"/>
      <c r="M97" s="12"/>
      <c r="N97" s="12"/>
      <c r="Q97" s="7"/>
      <c r="R97" s="7"/>
      <c r="W97" s="12"/>
      <c r="Y97" s="54"/>
      <c r="AB97" s="12"/>
      <c r="AD97"/>
    </row>
    <row r="98" spans="1:30">
      <c r="A98" s="23"/>
      <c r="B98" s="24">
        <f t="shared" si="78"/>
        <v>116</v>
      </c>
      <c r="C98" s="24" t="str">
        <f t="shared" si="77"/>
        <v>EEM116</v>
      </c>
      <c r="D98" s="25"/>
      <c r="E98" s="25"/>
      <c r="F98" s="25"/>
      <c r="G98" s="25"/>
      <c r="H98" s="102"/>
      <c r="M98" s="12"/>
      <c r="N98" s="12"/>
      <c r="Q98" s="7"/>
      <c r="R98" s="7"/>
      <c r="W98" s="12"/>
      <c r="Y98" s="54"/>
      <c r="AB98" s="12"/>
      <c r="AD98"/>
    </row>
    <row r="99" spans="1:30">
      <c r="A99" s="23"/>
      <c r="B99" s="24">
        <f t="shared" si="78"/>
        <v>117</v>
      </c>
      <c r="C99" s="24" t="str">
        <f t="shared" si="77"/>
        <v>EEM117</v>
      </c>
      <c r="D99" s="25"/>
      <c r="E99" s="25"/>
      <c r="F99" s="25"/>
      <c r="G99" s="25"/>
      <c r="H99" s="102"/>
      <c r="M99" s="12"/>
      <c r="N99" s="12"/>
      <c r="Q99" s="7"/>
      <c r="R99" s="7"/>
      <c r="W99" s="12"/>
      <c r="Y99" s="54"/>
      <c r="AB99" s="12"/>
      <c r="AD99"/>
    </row>
    <row r="100" spans="1:30">
      <c r="A100" s="23"/>
      <c r="B100" s="24">
        <f t="shared" si="78"/>
        <v>118</v>
      </c>
      <c r="C100" s="24" t="str">
        <f t="shared" si="77"/>
        <v>EEM118</v>
      </c>
      <c r="D100" s="25"/>
      <c r="E100" s="25"/>
      <c r="F100" s="25"/>
      <c r="G100" s="25"/>
      <c r="H100" s="102"/>
      <c r="M100" s="12"/>
      <c r="N100" s="12"/>
      <c r="Q100" s="7"/>
      <c r="R100" s="7"/>
      <c r="W100" s="12"/>
      <c r="Y100" s="54"/>
      <c r="AB100" s="12"/>
      <c r="AD100"/>
    </row>
    <row r="101" spans="1:30">
      <c r="A101" s="23"/>
      <c r="B101" s="24">
        <f t="shared" si="78"/>
        <v>119</v>
      </c>
      <c r="C101" s="24" t="str">
        <f t="shared" si="77"/>
        <v>EEM119</v>
      </c>
      <c r="D101" s="25"/>
      <c r="E101" s="25"/>
      <c r="F101" s="25"/>
      <c r="G101" s="25"/>
      <c r="H101" s="102"/>
      <c r="M101" s="12"/>
      <c r="N101" s="12"/>
      <c r="Q101" s="7"/>
      <c r="R101" s="7"/>
      <c r="W101" s="12"/>
      <c r="Y101" s="54"/>
      <c r="AB101" s="12"/>
      <c r="AD101"/>
    </row>
    <row r="102" spans="1:30">
      <c r="A102" s="23"/>
      <c r="B102" s="24">
        <f t="shared" si="78"/>
        <v>120</v>
      </c>
      <c r="C102" s="24" t="str">
        <f t="shared" si="77"/>
        <v>EEM120</v>
      </c>
      <c r="D102" s="25"/>
      <c r="E102" s="25"/>
      <c r="F102" s="25"/>
      <c r="G102" s="25"/>
      <c r="H102" s="102"/>
      <c r="M102" s="12"/>
      <c r="N102" s="12"/>
      <c r="Q102" s="7"/>
      <c r="R102" s="7"/>
      <c r="W102" s="12"/>
      <c r="Y102" s="54"/>
      <c r="AB102" s="12"/>
      <c r="AD102"/>
    </row>
    <row r="103" spans="1:30">
      <c r="A103" s="23"/>
      <c r="B103" s="24">
        <f t="shared" si="78"/>
        <v>121</v>
      </c>
      <c r="C103" s="24" t="str">
        <f t="shared" si="77"/>
        <v>EEM121</v>
      </c>
      <c r="D103" s="25"/>
      <c r="E103" s="25"/>
      <c r="F103" s="25"/>
      <c r="G103" s="25"/>
      <c r="H103" s="102"/>
      <c r="M103" s="12"/>
      <c r="N103" s="12"/>
      <c r="Q103" s="7"/>
      <c r="R103" s="7"/>
      <c r="W103" s="12"/>
      <c r="Y103" s="54"/>
      <c r="AB103" s="12"/>
      <c r="AD103"/>
    </row>
    <row r="104" spans="1:30">
      <c r="A104" s="23"/>
      <c r="B104" s="24">
        <f t="shared" si="78"/>
        <v>122</v>
      </c>
      <c r="C104" s="24" t="str">
        <f t="shared" si="77"/>
        <v>EEM122</v>
      </c>
      <c r="D104" s="25"/>
      <c r="E104" s="25"/>
      <c r="F104" s="25"/>
      <c r="G104" s="25"/>
      <c r="H104" s="102"/>
      <c r="M104" s="12"/>
      <c r="N104" s="12"/>
      <c r="Q104" s="7"/>
      <c r="R104" s="7"/>
      <c r="W104" s="12"/>
      <c r="Y104" s="54"/>
      <c r="AB104" s="12"/>
      <c r="AD104"/>
    </row>
    <row r="105" spans="1:30">
      <c r="A105" s="23"/>
      <c r="B105" s="24">
        <f t="shared" si="78"/>
        <v>123</v>
      </c>
      <c r="C105" s="24" t="str">
        <f t="shared" si="77"/>
        <v>EEM123</v>
      </c>
      <c r="D105" s="25"/>
      <c r="E105" s="25"/>
      <c r="F105" s="25"/>
      <c r="G105" s="25"/>
      <c r="H105" s="102"/>
      <c r="M105" s="12"/>
      <c r="N105" s="12"/>
      <c r="Q105" s="7"/>
      <c r="R105" s="7"/>
      <c r="W105" s="12"/>
      <c r="Y105" s="54"/>
      <c r="AB105" s="12"/>
      <c r="AD105"/>
    </row>
    <row r="106" spans="1:30">
      <c r="A106" s="23"/>
      <c r="B106" s="24">
        <f t="shared" si="78"/>
        <v>124</v>
      </c>
      <c r="C106" s="24" t="str">
        <f t="shared" si="77"/>
        <v>EEM124</v>
      </c>
      <c r="D106" s="25"/>
      <c r="E106" s="25"/>
      <c r="F106" s="25"/>
      <c r="G106" s="25"/>
      <c r="H106" s="102"/>
      <c r="M106" s="12"/>
      <c r="N106" s="12"/>
      <c r="Q106" s="7"/>
      <c r="R106" s="7"/>
      <c r="W106" s="12"/>
      <c r="Y106" s="54"/>
      <c r="AB106" s="12"/>
      <c r="AD106"/>
    </row>
    <row r="107" spans="1:30">
      <c r="A107" s="23"/>
      <c r="B107" s="24">
        <f t="shared" si="78"/>
        <v>125</v>
      </c>
      <c r="C107" s="24" t="str">
        <f t="shared" si="77"/>
        <v>EEM125</v>
      </c>
      <c r="D107" s="25"/>
      <c r="E107" s="25"/>
      <c r="F107" s="25"/>
      <c r="G107" s="25"/>
      <c r="H107" s="102"/>
      <c r="M107" s="12"/>
      <c r="N107" s="12"/>
      <c r="Q107" s="7"/>
      <c r="R107" s="7"/>
      <c r="W107" s="12"/>
      <c r="Y107" s="54"/>
      <c r="AB107" s="12"/>
      <c r="AD107"/>
    </row>
    <row r="108" spans="1:30">
      <c r="A108" s="23"/>
      <c r="B108" s="24">
        <f t="shared" si="78"/>
        <v>126</v>
      </c>
      <c r="C108" s="24" t="str">
        <f t="shared" si="77"/>
        <v>EEM126</v>
      </c>
      <c r="D108" s="25"/>
      <c r="E108" s="25"/>
      <c r="F108" s="25"/>
      <c r="G108" s="25"/>
      <c r="H108" s="102"/>
      <c r="M108" s="12"/>
      <c r="N108" s="12"/>
      <c r="Q108" s="7"/>
      <c r="R108" s="7"/>
      <c r="W108" s="12"/>
      <c r="Y108" s="54"/>
      <c r="AB108" s="12"/>
      <c r="AD108"/>
    </row>
    <row r="109" spans="1:30">
      <c r="A109" s="23"/>
      <c r="B109" s="24">
        <f t="shared" si="78"/>
        <v>127</v>
      </c>
      <c r="C109" s="24" t="str">
        <f t="shared" si="77"/>
        <v>EEM127</v>
      </c>
      <c r="D109" s="25"/>
      <c r="E109" s="25"/>
      <c r="F109" s="25"/>
      <c r="G109" s="25"/>
      <c r="H109" s="102"/>
      <c r="M109" s="12"/>
      <c r="N109" s="12"/>
      <c r="Q109" s="7"/>
      <c r="R109" s="7"/>
      <c r="W109" s="12"/>
      <c r="Y109" s="54"/>
      <c r="AB109" s="12"/>
      <c r="AD109"/>
    </row>
    <row r="110" spans="1:30">
      <c r="A110" s="23"/>
      <c r="B110" s="24">
        <f t="shared" si="78"/>
        <v>128</v>
      </c>
      <c r="C110" s="24" t="str">
        <f t="shared" si="77"/>
        <v>EEM128</v>
      </c>
      <c r="D110" s="25"/>
      <c r="E110" s="25"/>
      <c r="F110" s="25"/>
      <c r="G110" s="25"/>
      <c r="H110" s="102"/>
      <c r="M110" s="12"/>
      <c r="N110" s="12"/>
      <c r="Q110" s="7"/>
      <c r="R110" s="7"/>
      <c r="W110" s="12"/>
      <c r="Y110" s="54"/>
      <c r="AB110" s="12"/>
      <c r="AD110"/>
    </row>
    <row r="111" spans="1:30">
      <c r="A111" s="23"/>
      <c r="B111" s="24">
        <f t="shared" si="78"/>
        <v>129</v>
      </c>
      <c r="C111" s="24" t="str">
        <f t="shared" si="77"/>
        <v>EEM129</v>
      </c>
      <c r="D111" s="25"/>
      <c r="E111" s="25"/>
      <c r="F111" s="25"/>
      <c r="G111" s="25"/>
      <c r="H111" s="102"/>
      <c r="M111" s="12"/>
      <c r="N111" s="12"/>
      <c r="Q111" s="7"/>
      <c r="R111" s="7"/>
      <c r="W111" s="12"/>
      <c r="Y111" s="54"/>
      <c r="AB111" s="12"/>
      <c r="AD111"/>
    </row>
    <row r="112" spans="1:30">
      <c r="A112" s="23"/>
      <c r="B112" s="24">
        <f t="shared" si="78"/>
        <v>130</v>
      </c>
      <c r="C112" s="24" t="str">
        <f t="shared" si="77"/>
        <v>EEM130</v>
      </c>
      <c r="D112" s="25"/>
      <c r="E112" s="25"/>
      <c r="F112" s="25"/>
      <c r="G112" s="25"/>
      <c r="H112" s="102"/>
      <c r="M112" s="12"/>
      <c r="N112" s="12"/>
      <c r="Q112" s="7"/>
      <c r="R112" s="7"/>
      <c r="W112" s="12"/>
      <c r="Y112" s="54"/>
      <c r="AB112" s="12"/>
      <c r="AD112"/>
    </row>
    <row r="113" spans="1:30">
      <c r="A113" s="23"/>
      <c r="B113" s="24">
        <f t="shared" si="78"/>
        <v>131</v>
      </c>
      <c r="C113" s="24" t="str">
        <f t="shared" si="77"/>
        <v>EEM131</v>
      </c>
      <c r="D113" s="25"/>
      <c r="E113" s="25"/>
      <c r="F113" s="25"/>
      <c r="G113" s="25"/>
      <c r="H113" s="102"/>
      <c r="M113" s="12"/>
      <c r="N113" s="12"/>
      <c r="Q113" s="7"/>
      <c r="R113" s="7"/>
      <c r="W113" s="12"/>
      <c r="Y113" s="54"/>
      <c r="AB113" s="12"/>
      <c r="AD113"/>
    </row>
    <row r="114" spans="1:30">
      <c r="A114" s="23"/>
      <c r="B114" s="24">
        <f t="shared" si="78"/>
        <v>132</v>
      </c>
      <c r="C114" s="24" t="str">
        <f t="shared" si="77"/>
        <v>EEM132</v>
      </c>
      <c r="D114" s="25"/>
      <c r="E114" s="25"/>
      <c r="F114" s="25"/>
      <c r="G114" s="25"/>
      <c r="H114" s="102"/>
      <c r="M114" s="12"/>
      <c r="N114" s="12"/>
      <c r="Q114" s="7"/>
      <c r="R114" s="7"/>
      <c r="W114" s="12"/>
      <c r="Y114" s="54"/>
      <c r="AB114" s="12"/>
      <c r="AD114"/>
    </row>
    <row r="115" spans="1:30">
      <c r="A115" s="23"/>
      <c r="B115" s="24">
        <f t="shared" si="78"/>
        <v>133</v>
      </c>
      <c r="C115" s="24" t="str">
        <f t="shared" si="77"/>
        <v>EEM133</v>
      </c>
      <c r="D115" s="25"/>
      <c r="E115" s="25"/>
      <c r="F115" s="25"/>
      <c r="G115" s="25"/>
      <c r="H115" s="102"/>
      <c r="M115" s="12"/>
      <c r="N115" s="12"/>
      <c r="Q115" s="7"/>
      <c r="R115" s="7"/>
      <c r="W115" s="12"/>
      <c r="Y115" s="54"/>
      <c r="AB115" s="12"/>
      <c r="AD115"/>
    </row>
    <row r="116" spans="1:30">
      <c r="A116" s="23"/>
      <c r="B116" s="24">
        <f t="shared" si="78"/>
        <v>134</v>
      </c>
      <c r="C116" s="24" t="str">
        <f t="shared" si="77"/>
        <v>EEM134</v>
      </c>
      <c r="D116" s="25"/>
      <c r="E116" s="25"/>
      <c r="F116" s="25"/>
      <c r="G116" s="25"/>
      <c r="H116" s="102"/>
      <c r="M116" s="12"/>
      <c r="N116" s="12"/>
      <c r="Q116" s="7"/>
      <c r="R116" s="7"/>
      <c r="W116" s="12"/>
      <c r="Y116" s="54"/>
      <c r="AB116" s="12"/>
      <c r="AD116"/>
    </row>
    <row r="117" spans="1:30">
      <c r="A117" s="23"/>
      <c r="B117" s="24">
        <f t="shared" si="78"/>
        <v>135</v>
      </c>
      <c r="C117" s="24" t="str">
        <f t="shared" si="77"/>
        <v>EEM135</v>
      </c>
      <c r="D117" s="25"/>
      <c r="E117" s="25"/>
      <c r="F117" s="25"/>
      <c r="G117" s="25"/>
      <c r="H117" s="102"/>
      <c r="M117" s="12"/>
      <c r="N117" s="12"/>
      <c r="Q117" s="7"/>
      <c r="R117" s="7"/>
      <c r="W117" s="12"/>
      <c r="Y117" s="54"/>
      <c r="AB117" s="12"/>
      <c r="AD117"/>
    </row>
    <row r="118" spans="1:30">
      <c r="A118" s="23"/>
      <c r="B118" s="24">
        <f t="shared" si="78"/>
        <v>136</v>
      </c>
      <c r="C118" s="24" t="str">
        <f t="shared" si="77"/>
        <v>EEM136</v>
      </c>
      <c r="D118" s="25"/>
      <c r="E118" s="25"/>
      <c r="F118" s="25"/>
      <c r="G118" s="25"/>
      <c r="H118" s="102"/>
      <c r="M118" s="12"/>
      <c r="N118" s="12"/>
      <c r="Q118" s="7"/>
      <c r="R118" s="7"/>
      <c r="W118" s="12"/>
      <c r="Y118" s="54"/>
      <c r="AB118" s="12"/>
      <c r="AD118"/>
    </row>
    <row r="119" spans="1:30">
      <c r="A119" s="23"/>
      <c r="B119" s="24">
        <f t="shared" si="78"/>
        <v>137</v>
      </c>
      <c r="C119" s="24" t="str">
        <f t="shared" si="77"/>
        <v>EEM137</v>
      </c>
      <c r="D119" s="25"/>
      <c r="E119" s="25"/>
      <c r="F119" s="25"/>
      <c r="G119" s="25"/>
      <c r="H119" s="102"/>
      <c r="M119" s="12"/>
      <c r="N119" s="12"/>
      <c r="Q119" s="7"/>
      <c r="R119" s="7"/>
      <c r="W119" s="12"/>
      <c r="Y119" s="54"/>
      <c r="AB119" s="12"/>
      <c r="AD119"/>
    </row>
    <row r="120" spans="1:30">
      <c r="A120" s="23"/>
      <c r="B120" s="24">
        <f t="shared" si="78"/>
        <v>138</v>
      </c>
      <c r="C120" s="24" t="str">
        <f t="shared" si="77"/>
        <v>EEM138</v>
      </c>
      <c r="D120" s="25"/>
      <c r="E120" s="25"/>
      <c r="F120" s="25"/>
      <c r="G120" s="25"/>
      <c r="H120" s="102"/>
      <c r="M120" s="12"/>
      <c r="N120" s="12"/>
      <c r="Q120" s="7"/>
      <c r="R120" s="7"/>
      <c r="W120" s="12"/>
      <c r="Y120" s="54"/>
      <c r="AB120" s="12"/>
      <c r="AD120"/>
    </row>
    <row r="121" spans="1:30">
      <c r="A121" s="23"/>
      <c r="B121" s="24">
        <f t="shared" si="78"/>
        <v>139</v>
      </c>
      <c r="C121" s="24" t="str">
        <f t="shared" si="77"/>
        <v>EEM139</v>
      </c>
      <c r="D121" s="25"/>
      <c r="E121" s="25"/>
      <c r="F121" s="25"/>
      <c r="G121" s="25"/>
      <c r="H121" s="102"/>
      <c r="M121" s="12"/>
      <c r="N121" s="12"/>
      <c r="Q121" s="7"/>
      <c r="R121" s="7"/>
      <c r="W121" s="12"/>
      <c r="Y121" s="54"/>
      <c r="AB121" s="12"/>
      <c r="AD121"/>
    </row>
    <row r="122" spans="1:30">
      <c r="A122" s="23"/>
      <c r="B122" s="24">
        <f t="shared" si="78"/>
        <v>140</v>
      </c>
      <c r="C122" s="24" t="str">
        <f t="shared" si="77"/>
        <v>EEM140</v>
      </c>
      <c r="D122" s="25"/>
      <c r="E122" s="25"/>
      <c r="F122" s="25"/>
      <c r="G122" s="25"/>
      <c r="H122" s="102"/>
      <c r="M122" s="12"/>
      <c r="N122" s="12"/>
      <c r="Q122" s="7"/>
      <c r="R122" s="7"/>
      <c r="W122" s="12"/>
      <c r="Y122" s="54"/>
      <c r="AB122" s="12"/>
      <c r="AD122"/>
    </row>
    <row r="123" spans="1:30">
      <c r="A123" s="23"/>
      <c r="B123" s="24">
        <f t="shared" si="78"/>
        <v>141</v>
      </c>
      <c r="C123" s="24" t="str">
        <f t="shared" si="77"/>
        <v>EEM141</v>
      </c>
      <c r="D123" s="25"/>
      <c r="E123" s="25"/>
      <c r="F123" s="25"/>
      <c r="G123" s="25"/>
      <c r="H123" s="102"/>
      <c r="M123" s="12"/>
      <c r="N123" s="12"/>
      <c r="Q123" s="7"/>
      <c r="R123" s="7"/>
      <c r="W123" s="12"/>
      <c r="Y123" s="54"/>
      <c r="AB123" s="12"/>
      <c r="AD123"/>
    </row>
    <row r="124" spans="1:30">
      <c r="A124" s="23"/>
      <c r="B124" s="24">
        <f t="shared" si="78"/>
        <v>142</v>
      </c>
      <c r="C124" s="24" t="str">
        <f t="shared" si="77"/>
        <v>EEM142</v>
      </c>
      <c r="D124" s="25"/>
      <c r="E124" s="25"/>
      <c r="F124" s="25"/>
      <c r="G124" s="25"/>
      <c r="H124" s="102"/>
      <c r="M124" s="12"/>
      <c r="N124" s="12"/>
      <c r="Q124" s="7"/>
      <c r="R124" s="7"/>
      <c r="W124" s="12"/>
      <c r="Y124" s="54"/>
      <c r="AB124" s="12"/>
      <c r="AD124"/>
    </row>
    <row r="125" spans="1:30">
      <c r="A125" s="23"/>
      <c r="B125" s="24">
        <f t="shared" si="78"/>
        <v>143</v>
      </c>
      <c r="C125" s="24" t="str">
        <f t="shared" si="77"/>
        <v>EEM143</v>
      </c>
      <c r="D125" s="25"/>
      <c r="E125" s="25"/>
      <c r="F125" s="25"/>
      <c r="G125" s="25"/>
      <c r="H125" s="102"/>
      <c r="M125" s="12"/>
      <c r="N125" s="12"/>
      <c r="Q125" s="7"/>
      <c r="R125" s="7"/>
      <c r="W125" s="12"/>
      <c r="Y125" s="54"/>
      <c r="AB125" s="12"/>
      <c r="AD125"/>
    </row>
    <row r="126" spans="1:30">
      <c r="A126" s="23"/>
      <c r="B126" s="24">
        <f t="shared" si="78"/>
        <v>144</v>
      </c>
      <c r="C126" s="24" t="str">
        <f t="shared" si="77"/>
        <v>EEM144</v>
      </c>
      <c r="D126" s="25"/>
      <c r="E126" s="25"/>
      <c r="F126" s="25"/>
      <c r="G126" s="25"/>
      <c r="H126" s="102"/>
      <c r="M126" s="12"/>
      <c r="N126" s="12"/>
      <c r="Q126" s="7"/>
      <c r="R126" s="7"/>
      <c r="W126" s="12"/>
      <c r="Y126" s="54"/>
      <c r="AB126" s="12"/>
      <c r="AD126"/>
    </row>
    <row r="127" spans="1:30">
      <c r="A127" s="23"/>
      <c r="B127" s="24">
        <f t="shared" si="78"/>
        <v>145</v>
      </c>
      <c r="C127" s="24" t="str">
        <f t="shared" si="77"/>
        <v>EEM145</v>
      </c>
      <c r="D127" s="25"/>
      <c r="E127" s="25"/>
      <c r="F127" s="25"/>
      <c r="G127" s="25"/>
      <c r="H127" s="102"/>
      <c r="M127" s="12"/>
      <c r="N127" s="12"/>
      <c r="Q127" s="7"/>
      <c r="R127" s="7"/>
      <c r="W127" s="12"/>
      <c r="Y127" s="54"/>
      <c r="AB127" s="12"/>
      <c r="AD127"/>
    </row>
    <row r="128" spans="1:30">
      <c r="A128" s="23"/>
      <c r="B128" s="24">
        <f t="shared" si="78"/>
        <v>146</v>
      </c>
      <c r="C128" s="24" t="str">
        <f t="shared" si="77"/>
        <v>EEM146</v>
      </c>
      <c r="D128" s="25"/>
      <c r="E128" s="25"/>
      <c r="F128" s="25"/>
      <c r="G128" s="25"/>
      <c r="H128" s="102"/>
      <c r="M128" s="12"/>
      <c r="N128" s="12"/>
      <c r="Q128" s="7"/>
      <c r="R128" s="7"/>
      <c r="W128" s="12"/>
      <c r="Y128" s="54"/>
      <c r="AB128" s="12"/>
      <c r="AD128"/>
    </row>
    <row r="129" spans="1:30">
      <c r="A129" s="23"/>
      <c r="B129" s="24">
        <f t="shared" si="78"/>
        <v>147</v>
      </c>
      <c r="C129" s="24" t="str">
        <f t="shared" si="77"/>
        <v>EEM147</v>
      </c>
      <c r="D129" s="25"/>
      <c r="E129" s="25"/>
      <c r="F129" s="25"/>
      <c r="G129" s="25"/>
      <c r="H129" s="102"/>
      <c r="M129" s="12"/>
      <c r="N129" s="12"/>
      <c r="Q129" s="7"/>
      <c r="R129" s="7"/>
      <c r="W129" s="12"/>
      <c r="Y129" s="54"/>
      <c r="AB129" s="12"/>
      <c r="AD129"/>
    </row>
    <row r="130" spans="1:30">
      <c r="A130" s="23"/>
      <c r="B130" s="24">
        <f t="shared" si="78"/>
        <v>148</v>
      </c>
      <c r="C130" s="24" t="str">
        <f t="shared" si="77"/>
        <v>EEM148</v>
      </c>
      <c r="D130" s="25"/>
      <c r="E130" s="25"/>
      <c r="F130" s="25"/>
      <c r="G130" s="25"/>
      <c r="H130" s="102"/>
      <c r="M130" s="12"/>
      <c r="N130" s="12"/>
      <c r="Q130" s="7"/>
      <c r="R130" s="7"/>
      <c r="W130" s="12"/>
      <c r="Y130" s="54"/>
      <c r="AB130" s="12"/>
      <c r="AD130"/>
    </row>
    <row r="131" spans="1:30">
      <c r="A131" s="23"/>
      <c r="B131" s="24">
        <f t="shared" si="78"/>
        <v>149</v>
      </c>
      <c r="C131" s="24" t="str">
        <f t="shared" si="77"/>
        <v>EEM149</v>
      </c>
      <c r="D131" s="25"/>
      <c r="E131" s="25"/>
      <c r="F131" s="25"/>
      <c r="G131" s="25"/>
      <c r="H131" s="102"/>
      <c r="M131" s="12"/>
      <c r="N131" s="12"/>
      <c r="Q131" s="7"/>
      <c r="R131" s="7"/>
      <c r="W131" s="12"/>
      <c r="Y131" s="54"/>
      <c r="AB131" s="12"/>
      <c r="AD131"/>
    </row>
    <row r="132" spans="1:30">
      <c r="A132" s="23"/>
      <c r="B132" s="24">
        <f t="shared" si="78"/>
        <v>150</v>
      </c>
      <c r="C132" s="24" t="str">
        <f t="shared" si="77"/>
        <v>EEM150</v>
      </c>
      <c r="D132" s="25"/>
      <c r="E132" s="25"/>
      <c r="F132" s="25"/>
      <c r="G132" s="25"/>
      <c r="H132" s="102"/>
      <c r="M132" s="12"/>
      <c r="N132" s="12"/>
      <c r="Q132" s="7"/>
      <c r="R132" s="7"/>
      <c r="W132" s="12"/>
      <c r="Y132" s="54"/>
      <c r="AB132" s="12"/>
      <c r="AD132"/>
    </row>
    <row r="133" spans="1:30">
      <c r="A133" s="23"/>
      <c r="B133" s="24">
        <f t="shared" ref="B133:B196" si="79">B132+1</f>
        <v>151</v>
      </c>
      <c r="C133" s="24" t="str">
        <f t="shared" si="77"/>
        <v>EEM151</v>
      </c>
      <c r="D133" s="25"/>
      <c r="E133" s="25"/>
      <c r="F133" s="25"/>
      <c r="G133" s="25"/>
      <c r="H133" s="102"/>
      <c r="M133" s="12"/>
      <c r="Q133" s="7"/>
      <c r="W133" s="12"/>
      <c r="X133" s="54"/>
      <c r="AB133" s="12"/>
      <c r="AC133"/>
    </row>
    <row r="134" spans="1:30">
      <c r="A134" s="23"/>
      <c r="B134" s="24">
        <f t="shared" si="79"/>
        <v>152</v>
      </c>
      <c r="C134" s="24" t="str">
        <f t="shared" si="77"/>
        <v>EEM152</v>
      </c>
      <c r="D134" s="25"/>
      <c r="E134" s="25"/>
      <c r="F134" s="25"/>
      <c r="G134" s="25"/>
      <c r="H134" s="102"/>
      <c r="M134" s="12"/>
      <c r="Q134" s="7"/>
      <c r="W134" s="12"/>
      <c r="X134" s="54"/>
      <c r="AB134" s="12"/>
      <c r="AC134"/>
    </row>
    <row r="135" spans="1:30">
      <c r="A135" s="23"/>
      <c r="B135" s="24">
        <f t="shared" si="79"/>
        <v>153</v>
      </c>
      <c r="C135" s="24" t="str">
        <f t="shared" si="77"/>
        <v>EEM153</v>
      </c>
      <c r="D135" s="25"/>
      <c r="E135" s="25"/>
      <c r="F135" s="25"/>
      <c r="G135" s="25"/>
      <c r="H135" s="102"/>
      <c r="M135" s="12"/>
      <c r="Q135" s="7"/>
      <c r="W135" s="12"/>
      <c r="X135" s="54"/>
      <c r="AB135" s="12"/>
      <c r="AC135"/>
    </row>
    <row r="136" spans="1:30">
      <c r="A136" s="23"/>
      <c r="B136" s="24">
        <f t="shared" si="79"/>
        <v>154</v>
      </c>
      <c r="C136" s="24" t="str">
        <f t="shared" si="77"/>
        <v>EEM154</v>
      </c>
      <c r="D136" s="25"/>
      <c r="E136" s="25"/>
      <c r="F136" s="25"/>
      <c r="G136" s="25"/>
      <c r="H136" s="102"/>
      <c r="M136" s="12"/>
      <c r="Q136" s="7"/>
      <c r="W136" s="12"/>
      <c r="X136" s="54"/>
      <c r="AB136" s="12"/>
      <c r="AC136"/>
    </row>
    <row r="137" spans="1:30">
      <c r="A137" s="23"/>
      <c r="B137" s="24">
        <f t="shared" si="79"/>
        <v>155</v>
      </c>
      <c r="C137" s="24" t="str">
        <f t="shared" si="77"/>
        <v>EEM155</v>
      </c>
      <c r="D137" s="25"/>
      <c r="E137" s="25"/>
      <c r="F137" s="25"/>
      <c r="G137" s="25"/>
      <c r="H137" s="102"/>
      <c r="M137" s="12"/>
      <c r="Q137" s="7"/>
      <c r="W137" s="12"/>
      <c r="X137" s="54"/>
      <c r="AB137" s="12"/>
      <c r="AC137"/>
    </row>
    <row r="138" spans="1:30">
      <c r="A138" s="23"/>
      <c r="B138" s="24">
        <f t="shared" si="79"/>
        <v>156</v>
      </c>
      <c r="C138" s="24" t="str">
        <f t="shared" si="77"/>
        <v>EEM156</v>
      </c>
      <c r="D138" s="25"/>
      <c r="E138" s="25"/>
      <c r="F138" s="25"/>
      <c r="G138" s="25"/>
      <c r="H138" s="102"/>
      <c r="M138" s="12"/>
      <c r="Q138" s="7"/>
      <c r="W138" s="12"/>
      <c r="X138" s="54"/>
      <c r="AB138" s="12"/>
      <c r="AC138"/>
    </row>
    <row r="139" spans="1:30">
      <c r="A139" s="23"/>
      <c r="B139" s="24">
        <f t="shared" si="79"/>
        <v>157</v>
      </c>
      <c r="C139" s="24" t="str">
        <f t="shared" si="77"/>
        <v>EEM157</v>
      </c>
      <c r="D139" s="25"/>
      <c r="E139" s="25"/>
      <c r="F139" s="25"/>
      <c r="G139" s="25"/>
      <c r="H139" s="102"/>
      <c r="M139" s="12"/>
      <c r="Q139" s="7"/>
      <c r="W139" s="12"/>
      <c r="X139" s="54"/>
      <c r="AB139" s="12"/>
      <c r="AC139"/>
    </row>
    <row r="140" spans="1:30">
      <c r="A140" s="23"/>
      <c r="B140" s="24">
        <f t="shared" si="79"/>
        <v>158</v>
      </c>
      <c r="C140" s="24" t="str">
        <f t="shared" si="77"/>
        <v>EEM158</v>
      </c>
      <c r="D140" s="25"/>
      <c r="E140" s="25"/>
      <c r="F140" s="25"/>
      <c r="G140" s="25"/>
      <c r="H140" s="102"/>
      <c r="M140" s="12"/>
      <c r="Q140" s="7"/>
      <c r="W140" s="12"/>
      <c r="X140" s="54"/>
      <c r="AB140" s="12"/>
      <c r="AC140"/>
    </row>
    <row r="141" spans="1:30">
      <c r="A141" s="23"/>
      <c r="B141" s="24">
        <f t="shared" si="79"/>
        <v>159</v>
      </c>
      <c r="C141" s="24" t="str">
        <f t="shared" si="77"/>
        <v>EEM159</v>
      </c>
      <c r="D141" s="25"/>
      <c r="E141" s="25"/>
      <c r="F141" s="25"/>
      <c r="G141" s="25"/>
      <c r="H141" s="102"/>
      <c r="M141" s="12"/>
      <c r="Q141" s="7"/>
      <c r="W141" s="12"/>
      <c r="X141" s="54"/>
      <c r="AB141" s="12"/>
      <c r="AC141"/>
    </row>
    <row r="142" spans="1:30">
      <c r="A142" s="23"/>
      <c r="B142" s="24">
        <f t="shared" si="79"/>
        <v>160</v>
      </c>
      <c r="C142" s="24" t="str">
        <f t="shared" si="77"/>
        <v>EEM160</v>
      </c>
      <c r="D142" s="25"/>
      <c r="E142" s="25"/>
      <c r="F142" s="25"/>
      <c r="G142" s="25"/>
      <c r="H142" s="102"/>
      <c r="M142" s="12"/>
      <c r="Q142" s="7"/>
      <c r="W142" s="12"/>
      <c r="X142" s="54"/>
      <c r="AB142" s="12"/>
      <c r="AC142"/>
    </row>
    <row r="143" spans="1:30">
      <c r="A143" s="23"/>
      <c r="B143" s="24">
        <f t="shared" si="79"/>
        <v>161</v>
      </c>
      <c r="C143" s="24" t="str">
        <f t="shared" si="77"/>
        <v>EEM161</v>
      </c>
      <c r="D143" s="25"/>
      <c r="E143" s="25"/>
      <c r="F143" s="25"/>
      <c r="G143" s="25"/>
      <c r="H143" s="102"/>
      <c r="M143" s="12"/>
      <c r="Q143" s="7"/>
      <c r="W143" s="12"/>
      <c r="X143" s="54"/>
      <c r="AB143" s="12"/>
      <c r="AC143"/>
    </row>
    <row r="144" spans="1:30">
      <c r="A144" s="23"/>
      <c r="B144" s="24">
        <f t="shared" si="79"/>
        <v>162</v>
      </c>
      <c r="C144" s="24" t="str">
        <f t="shared" si="77"/>
        <v>EEM162</v>
      </c>
      <c r="D144" s="25"/>
      <c r="E144" s="25"/>
      <c r="F144" s="25"/>
      <c r="G144" s="25"/>
      <c r="H144" s="102"/>
      <c r="M144" s="12"/>
      <c r="Q144" s="7"/>
      <c r="W144" s="12"/>
      <c r="X144" s="54"/>
      <c r="AB144" s="12"/>
      <c r="AC144"/>
    </row>
    <row r="145" spans="1:29">
      <c r="A145" s="23"/>
      <c r="B145" s="24">
        <f t="shared" si="79"/>
        <v>163</v>
      </c>
      <c r="C145" s="24" t="str">
        <f t="shared" si="77"/>
        <v>EEM163</v>
      </c>
      <c r="D145" s="25"/>
      <c r="E145" s="25"/>
      <c r="F145" s="25"/>
      <c r="G145" s="25"/>
      <c r="H145" s="102"/>
      <c r="M145" s="12"/>
      <c r="Q145" s="7"/>
      <c r="W145" s="12"/>
      <c r="X145" s="54"/>
      <c r="AB145" s="12"/>
      <c r="AC145"/>
    </row>
    <row r="146" spans="1:29">
      <c r="A146" s="23"/>
      <c r="B146" s="24">
        <f t="shared" si="79"/>
        <v>164</v>
      </c>
      <c r="C146" s="24" t="str">
        <f t="shared" si="77"/>
        <v>EEM164</v>
      </c>
      <c r="D146" s="25"/>
      <c r="E146" s="25"/>
      <c r="F146" s="25"/>
      <c r="G146" s="25"/>
      <c r="H146" s="102"/>
      <c r="M146" s="12"/>
      <c r="Q146" s="7"/>
      <c r="W146" s="12"/>
      <c r="X146" s="54"/>
      <c r="AB146" s="12"/>
      <c r="AC146"/>
    </row>
    <row r="147" spans="1:29">
      <c r="A147" s="23"/>
      <c r="B147" s="24">
        <f t="shared" si="79"/>
        <v>165</v>
      </c>
      <c r="C147" s="24" t="str">
        <f t="shared" si="77"/>
        <v>EEM165</v>
      </c>
      <c r="D147" s="25"/>
      <c r="E147" s="25"/>
      <c r="F147" s="25"/>
      <c r="G147" s="25"/>
      <c r="H147" s="102"/>
      <c r="M147" s="12"/>
      <c r="Q147" s="7"/>
      <c r="W147" s="12"/>
      <c r="X147" s="54"/>
      <c r="AB147" s="12"/>
      <c r="AC147"/>
    </row>
    <row r="148" spans="1:29">
      <c r="A148" s="23"/>
      <c r="B148" s="24">
        <f t="shared" si="79"/>
        <v>166</v>
      </c>
      <c r="C148" s="24" t="str">
        <f t="shared" ref="C148:C211" si="80">"EEM"&amp;B148</f>
        <v>EEM166</v>
      </c>
      <c r="D148" s="25"/>
      <c r="E148" s="25"/>
      <c r="F148" s="25"/>
      <c r="G148" s="25"/>
      <c r="H148" s="23"/>
      <c r="M148" s="12"/>
      <c r="Q148" s="7"/>
      <c r="W148" s="12"/>
      <c r="X148" s="54"/>
      <c r="AB148" s="12"/>
      <c r="AC148"/>
    </row>
    <row r="149" spans="1:29">
      <c r="A149" s="23"/>
      <c r="B149" s="24">
        <f t="shared" si="79"/>
        <v>167</v>
      </c>
      <c r="C149" s="24" t="str">
        <f t="shared" si="80"/>
        <v>EEM167</v>
      </c>
      <c r="D149" s="25"/>
      <c r="E149" s="25"/>
      <c r="F149" s="25"/>
      <c r="G149" s="25"/>
      <c r="H149" s="23"/>
      <c r="M149" s="12"/>
      <c r="Q149" s="7"/>
      <c r="W149" s="12"/>
      <c r="X149" s="54"/>
      <c r="AB149" s="12"/>
      <c r="AC149"/>
    </row>
    <row r="150" spans="1:29">
      <c r="A150" s="23"/>
      <c r="B150" s="24">
        <f t="shared" si="79"/>
        <v>168</v>
      </c>
      <c r="C150" s="24" t="str">
        <f t="shared" si="80"/>
        <v>EEM168</v>
      </c>
      <c r="D150" s="25"/>
      <c r="E150" s="25"/>
      <c r="F150" s="25"/>
      <c r="G150" s="25"/>
      <c r="H150" s="23"/>
      <c r="M150" s="12"/>
      <c r="Q150" s="7"/>
      <c r="W150" s="12"/>
      <c r="X150" s="54"/>
      <c r="AB150" s="12"/>
      <c r="AC150"/>
    </row>
    <row r="151" spans="1:29">
      <c r="A151" s="23"/>
      <c r="B151" s="24">
        <f t="shared" si="79"/>
        <v>169</v>
      </c>
      <c r="C151" s="24" t="str">
        <f t="shared" si="80"/>
        <v>EEM169</v>
      </c>
      <c r="D151" s="25"/>
      <c r="E151" s="25"/>
      <c r="F151" s="25"/>
      <c r="G151" s="25"/>
      <c r="H151" s="23"/>
      <c r="M151" s="12"/>
      <c r="Q151" s="7"/>
      <c r="W151" s="12"/>
      <c r="X151" s="54"/>
      <c r="AB151" s="12"/>
      <c r="AC151"/>
    </row>
    <row r="152" spans="1:29">
      <c r="A152" s="23"/>
      <c r="B152" s="24">
        <f t="shared" si="79"/>
        <v>170</v>
      </c>
      <c r="C152" s="24" t="str">
        <f t="shared" si="80"/>
        <v>EEM170</v>
      </c>
      <c r="D152" s="25"/>
      <c r="E152" s="25"/>
      <c r="F152" s="25"/>
      <c r="G152" s="25"/>
      <c r="H152" s="23"/>
      <c r="M152" s="12"/>
      <c r="Q152" s="7"/>
      <c r="W152" s="12"/>
      <c r="X152" s="54"/>
      <c r="AB152" s="12"/>
      <c r="AC152"/>
    </row>
    <row r="153" spans="1:29">
      <c r="A153" s="23"/>
      <c r="B153" s="24">
        <f t="shared" si="79"/>
        <v>171</v>
      </c>
      <c r="C153" s="24" t="str">
        <f t="shared" si="80"/>
        <v>EEM171</v>
      </c>
      <c r="D153" s="25"/>
      <c r="E153" s="25"/>
      <c r="F153" s="25"/>
      <c r="G153" s="25"/>
      <c r="H153" s="23"/>
      <c r="M153" s="12"/>
      <c r="Q153" s="7"/>
      <c r="W153" s="12"/>
      <c r="X153" s="54"/>
      <c r="AB153" s="12"/>
      <c r="AC153"/>
    </row>
    <row r="154" spans="1:29">
      <c r="A154" s="23"/>
      <c r="B154" s="24">
        <f t="shared" si="79"/>
        <v>172</v>
      </c>
      <c r="C154" s="24" t="str">
        <f t="shared" si="80"/>
        <v>EEM172</v>
      </c>
      <c r="D154" s="25"/>
      <c r="E154" s="25"/>
      <c r="F154" s="25"/>
      <c r="G154" s="25"/>
      <c r="H154" s="23"/>
      <c r="M154" s="12"/>
      <c r="Q154" s="7"/>
      <c r="W154" s="12"/>
      <c r="X154" s="54"/>
      <c r="AB154" s="12"/>
      <c r="AC154"/>
    </row>
    <row r="155" spans="1:29">
      <c r="A155" s="23"/>
      <c r="B155" s="24">
        <f t="shared" si="79"/>
        <v>173</v>
      </c>
      <c r="C155" s="24" t="str">
        <f t="shared" si="80"/>
        <v>EEM173</v>
      </c>
      <c r="D155" s="25"/>
      <c r="E155" s="25"/>
      <c r="F155" s="25"/>
      <c r="G155" s="25"/>
      <c r="H155" s="23"/>
      <c r="M155" s="12"/>
      <c r="Q155" s="7"/>
      <c r="W155" s="12"/>
      <c r="X155" s="54"/>
      <c r="AB155" s="12"/>
      <c r="AC155"/>
    </row>
    <row r="156" spans="1:29">
      <c r="A156" s="23"/>
      <c r="B156" s="24">
        <f t="shared" si="79"/>
        <v>174</v>
      </c>
      <c r="C156" s="24" t="str">
        <f t="shared" si="80"/>
        <v>EEM174</v>
      </c>
      <c r="D156" s="25"/>
      <c r="E156" s="25"/>
      <c r="F156" s="25"/>
      <c r="G156" s="25"/>
      <c r="H156" s="23"/>
      <c r="M156" s="12"/>
      <c r="Q156" s="7"/>
      <c r="W156" s="12"/>
      <c r="X156" s="54"/>
      <c r="AB156" s="12"/>
      <c r="AC156"/>
    </row>
    <row r="157" spans="1:29">
      <c r="A157" s="23"/>
      <c r="B157" s="24">
        <f t="shared" si="79"/>
        <v>175</v>
      </c>
      <c r="C157" s="24" t="str">
        <f t="shared" si="80"/>
        <v>EEM175</v>
      </c>
      <c r="D157" s="25"/>
      <c r="E157" s="25"/>
      <c r="F157" s="25"/>
      <c r="G157" s="25"/>
      <c r="H157" s="23"/>
      <c r="M157" s="12"/>
      <c r="Q157" s="7"/>
      <c r="W157" s="12"/>
      <c r="X157" s="54"/>
      <c r="AB157" s="12"/>
      <c r="AC157"/>
    </row>
    <row r="158" spans="1:29">
      <c r="A158" s="23"/>
      <c r="B158" s="24">
        <f t="shared" si="79"/>
        <v>176</v>
      </c>
      <c r="C158" s="24" t="str">
        <f t="shared" si="80"/>
        <v>EEM176</v>
      </c>
      <c r="D158" s="25"/>
      <c r="E158" s="25"/>
      <c r="F158" s="25"/>
      <c r="G158" s="25"/>
      <c r="H158" s="23"/>
      <c r="M158" s="12"/>
      <c r="Q158" s="7"/>
      <c r="W158" s="12"/>
      <c r="X158" s="54"/>
      <c r="AB158" s="12"/>
      <c r="AC158"/>
    </row>
    <row r="159" spans="1:29">
      <c r="A159" s="23"/>
      <c r="B159" s="24">
        <f t="shared" si="79"/>
        <v>177</v>
      </c>
      <c r="C159" s="24" t="str">
        <f t="shared" si="80"/>
        <v>EEM177</v>
      </c>
      <c r="D159" s="25"/>
      <c r="E159" s="25"/>
      <c r="F159" s="25"/>
      <c r="G159" s="25"/>
      <c r="H159" s="23"/>
      <c r="M159" s="12"/>
      <c r="Q159" s="7"/>
      <c r="W159" s="12"/>
      <c r="X159" s="54"/>
      <c r="AB159" s="12"/>
      <c r="AC159"/>
    </row>
    <row r="160" spans="1:29">
      <c r="A160" s="23"/>
      <c r="B160" s="24">
        <f t="shared" si="79"/>
        <v>178</v>
      </c>
      <c r="C160" s="24" t="str">
        <f t="shared" si="80"/>
        <v>EEM178</v>
      </c>
      <c r="D160" s="25"/>
      <c r="E160" s="25"/>
      <c r="F160" s="25"/>
      <c r="G160" s="25"/>
      <c r="H160" s="23"/>
      <c r="M160" s="12"/>
      <c r="Q160" s="7"/>
      <c r="W160" s="12"/>
      <c r="X160" s="54"/>
      <c r="AB160" s="12"/>
      <c r="AC160"/>
    </row>
    <row r="161" spans="1:29">
      <c r="A161" s="23"/>
      <c r="B161" s="24">
        <f t="shared" si="79"/>
        <v>179</v>
      </c>
      <c r="C161" s="24" t="str">
        <f t="shared" si="80"/>
        <v>EEM179</v>
      </c>
      <c r="D161" s="25"/>
      <c r="E161" s="25"/>
      <c r="F161" s="25"/>
      <c r="G161" s="25"/>
      <c r="H161" s="23"/>
      <c r="M161" s="12"/>
      <c r="Q161" s="7"/>
      <c r="W161" s="12"/>
      <c r="X161" s="54"/>
      <c r="AB161" s="12"/>
      <c r="AC161"/>
    </row>
    <row r="162" spans="1:29">
      <c r="A162" s="23"/>
      <c r="B162" s="24">
        <f t="shared" si="79"/>
        <v>180</v>
      </c>
      <c r="C162" s="24" t="str">
        <f t="shared" si="80"/>
        <v>EEM180</v>
      </c>
      <c r="D162" s="25"/>
      <c r="E162" s="25"/>
      <c r="F162" s="25"/>
      <c r="G162" s="25"/>
      <c r="H162" s="23"/>
      <c r="M162" s="12"/>
      <c r="Q162" s="7"/>
      <c r="W162" s="12"/>
      <c r="X162" s="54"/>
      <c r="AB162" s="12"/>
      <c r="AC162"/>
    </row>
    <row r="163" spans="1:29">
      <c r="A163" s="23"/>
      <c r="B163" s="24">
        <f t="shared" si="79"/>
        <v>181</v>
      </c>
      <c r="C163" s="24" t="str">
        <f t="shared" si="80"/>
        <v>EEM181</v>
      </c>
      <c r="D163" s="25"/>
      <c r="E163" s="25"/>
      <c r="F163" s="25"/>
      <c r="G163" s="25"/>
      <c r="H163" s="23"/>
      <c r="M163" s="12"/>
      <c r="Q163" s="7"/>
      <c r="W163" s="12"/>
      <c r="X163" s="54"/>
      <c r="AB163" s="12"/>
      <c r="AC163"/>
    </row>
    <row r="164" spans="1:29">
      <c r="A164" s="23"/>
      <c r="B164" s="24">
        <f t="shared" si="79"/>
        <v>182</v>
      </c>
      <c r="C164" s="24" t="str">
        <f t="shared" si="80"/>
        <v>EEM182</v>
      </c>
      <c r="D164" s="25"/>
      <c r="E164" s="25"/>
      <c r="F164" s="25"/>
      <c r="G164" s="25"/>
      <c r="H164" s="23"/>
      <c r="M164" s="12"/>
      <c r="Q164" s="7"/>
      <c r="W164" s="12"/>
      <c r="X164" s="54"/>
      <c r="AB164" s="12"/>
      <c r="AC164"/>
    </row>
    <row r="165" spans="1:29">
      <c r="A165" s="23"/>
      <c r="B165" s="24">
        <f t="shared" si="79"/>
        <v>183</v>
      </c>
      <c r="C165" s="24" t="str">
        <f t="shared" si="80"/>
        <v>EEM183</v>
      </c>
      <c r="D165" s="25"/>
      <c r="E165" s="25"/>
      <c r="F165" s="25"/>
      <c r="G165" s="25"/>
      <c r="H165" s="23"/>
      <c r="M165" s="12"/>
      <c r="Q165" s="7"/>
      <c r="W165" s="12"/>
      <c r="X165" s="54"/>
      <c r="AB165" s="12"/>
      <c r="AC165"/>
    </row>
    <row r="166" spans="1:29">
      <c r="A166" s="23"/>
      <c r="B166" s="24">
        <f t="shared" si="79"/>
        <v>184</v>
      </c>
      <c r="C166" s="24" t="str">
        <f t="shared" si="80"/>
        <v>EEM184</v>
      </c>
      <c r="D166" s="25"/>
      <c r="E166" s="25"/>
      <c r="F166" s="25"/>
      <c r="G166" s="25"/>
      <c r="H166" s="23"/>
      <c r="M166" s="12"/>
      <c r="Q166" s="7"/>
      <c r="W166" s="12"/>
      <c r="X166" s="54"/>
      <c r="AB166" s="12"/>
      <c r="AC166"/>
    </row>
    <row r="167" spans="1:29">
      <c r="A167" s="23"/>
      <c r="B167" s="24">
        <f t="shared" si="79"/>
        <v>185</v>
      </c>
      <c r="C167" s="24" t="str">
        <f t="shared" si="80"/>
        <v>EEM185</v>
      </c>
      <c r="D167" s="25"/>
      <c r="E167" s="25"/>
      <c r="F167" s="25"/>
      <c r="G167" s="25"/>
      <c r="H167" s="23"/>
      <c r="M167" s="12"/>
      <c r="Q167" s="7"/>
      <c r="W167" s="12"/>
      <c r="X167" s="54"/>
      <c r="AB167" s="12"/>
      <c r="AC167"/>
    </row>
    <row r="168" spans="1:29">
      <c r="A168" s="23"/>
      <c r="B168" s="24">
        <f t="shared" si="79"/>
        <v>186</v>
      </c>
      <c r="C168" s="24" t="str">
        <f t="shared" si="80"/>
        <v>EEM186</v>
      </c>
      <c r="D168" s="25"/>
      <c r="E168" s="25"/>
      <c r="F168" s="25"/>
      <c r="G168" s="25"/>
      <c r="H168" s="23"/>
      <c r="M168" s="12"/>
      <c r="Q168" s="7"/>
      <c r="W168" s="12"/>
      <c r="X168" s="54"/>
      <c r="AB168" s="12"/>
      <c r="AC168"/>
    </row>
    <row r="169" spans="1:29">
      <c r="A169" s="23"/>
      <c r="B169" s="24">
        <f t="shared" si="79"/>
        <v>187</v>
      </c>
      <c r="C169" s="24" t="str">
        <f t="shared" si="80"/>
        <v>EEM187</v>
      </c>
      <c r="D169" s="25"/>
      <c r="E169" s="25"/>
      <c r="F169" s="25"/>
      <c r="G169" s="25"/>
      <c r="H169" s="23"/>
      <c r="M169" s="12"/>
      <c r="Q169" s="7"/>
      <c r="W169" s="12"/>
      <c r="X169" s="54"/>
      <c r="AB169" s="12"/>
      <c r="AC169"/>
    </row>
    <row r="170" spans="1:29">
      <c r="A170" s="23"/>
      <c r="B170" s="24">
        <f t="shared" si="79"/>
        <v>188</v>
      </c>
      <c r="C170" s="24" t="str">
        <f t="shared" si="80"/>
        <v>EEM188</v>
      </c>
      <c r="D170" s="25"/>
      <c r="E170" s="25"/>
      <c r="F170" s="25"/>
      <c r="G170" s="25"/>
      <c r="H170" s="23"/>
      <c r="M170" s="12"/>
      <c r="Q170" s="7"/>
      <c r="W170" s="12"/>
      <c r="X170" s="54"/>
      <c r="AB170" s="12"/>
      <c r="AC170"/>
    </row>
    <row r="171" spans="1:29">
      <c r="A171" s="23"/>
      <c r="B171" s="24">
        <f t="shared" si="79"/>
        <v>189</v>
      </c>
      <c r="C171" s="24" t="str">
        <f t="shared" si="80"/>
        <v>EEM189</v>
      </c>
      <c r="D171" s="25"/>
      <c r="E171" s="25"/>
      <c r="F171" s="25"/>
      <c r="G171" s="25"/>
      <c r="H171" s="23"/>
      <c r="M171" s="12"/>
      <c r="Q171" s="7"/>
      <c r="W171" s="12"/>
      <c r="X171" s="54"/>
      <c r="AB171" s="12"/>
      <c r="AC171"/>
    </row>
    <row r="172" spans="1:29">
      <c r="A172" s="23"/>
      <c r="B172" s="24">
        <f t="shared" si="79"/>
        <v>190</v>
      </c>
      <c r="C172" s="24" t="str">
        <f t="shared" si="80"/>
        <v>EEM190</v>
      </c>
      <c r="D172" s="25"/>
      <c r="E172" s="25"/>
      <c r="F172" s="25"/>
      <c r="G172" s="25"/>
      <c r="H172" s="23"/>
      <c r="M172" s="12"/>
      <c r="Q172" s="7"/>
      <c r="W172" s="12"/>
      <c r="X172" s="54"/>
      <c r="AB172" s="12"/>
      <c r="AC172"/>
    </row>
    <row r="173" spans="1:29">
      <c r="A173" s="23"/>
      <c r="B173" s="24">
        <f t="shared" si="79"/>
        <v>191</v>
      </c>
      <c r="C173" s="24" t="str">
        <f t="shared" si="80"/>
        <v>EEM191</v>
      </c>
      <c r="D173" s="25"/>
      <c r="E173" s="25"/>
      <c r="F173" s="25"/>
      <c r="G173" s="25"/>
      <c r="H173" s="23"/>
      <c r="M173" s="12"/>
      <c r="Q173" s="7"/>
      <c r="W173" s="12"/>
      <c r="X173" s="54"/>
      <c r="AB173" s="12"/>
      <c r="AC173"/>
    </row>
    <row r="174" spans="1:29">
      <c r="A174" s="23"/>
      <c r="B174" s="24">
        <f t="shared" si="79"/>
        <v>192</v>
      </c>
      <c r="C174" s="24" t="str">
        <f t="shared" si="80"/>
        <v>EEM192</v>
      </c>
      <c r="D174" s="25"/>
      <c r="E174" s="25"/>
      <c r="F174" s="25"/>
      <c r="G174" s="25"/>
      <c r="H174" s="23"/>
      <c r="M174" s="12"/>
      <c r="Q174" s="7"/>
      <c r="W174" s="12"/>
      <c r="X174" s="54"/>
      <c r="AB174" s="12"/>
      <c r="AC174"/>
    </row>
    <row r="175" spans="1:29">
      <c r="A175" s="23"/>
      <c r="B175" s="24">
        <f t="shared" si="79"/>
        <v>193</v>
      </c>
      <c r="C175" s="24" t="str">
        <f t="shared" si="80"/>
        <v>EEM193</v>
      </c>
      <c r="D175" s="25"/>
      <c r="E175" s="25"/>
      <c r="F175" s="25"/>
      <c r="G175" s="25"/>
      <c r="H175" s="23"/>
      <c r="M175" s="12"/>
      <c r="Q175" s="7"/>
      <c r="W175" s="12"/>
      <c r="X175" s="54"/>
      <c r="AB175" s="12"/>
      <c r="AC175"/>
    </row>
    <row r="176" spans="1:29">
      <c r="A176" s="23"/>
      <c r="B176" s="24">
        <f t="shared" si="79"/>
        <v>194</v>
      </c>
      <c r="C176" s="24" t="str">
        <f t="shared" si="80"/>
        <v>EEM194</v>
      </c>
      <c r="D176" s="25"/>
      <c r="E176" s="25"/>
      <c r="F176" s="25"/>
      <c r="G176" s="25"/>
      <c r="H176" s="23"/>
      <c r="M176" s="12"/>
      <c r="Q176" s="7"/>
      <c r="W176" s="12"/>
      <c r="X176" s="54"/>
      <c r="AB176" s="12"/>
      <c r="AC176"/>
    </row>
    <row r="177" spans="1:29">
      <c r="A177" s="23"/>
      <c r="B177" s="24">
        <f t="shared" si="79"/>
        <v>195</v>
      </c>
      <c r="C177" s="24" t="str">
        <f t="shared" si="80"/>
        <v>EEM195</v>
      </c>
      <c r="D177" s="25"/>
      <c r="E177" s="25"/>
      <c r="F177" s="25"/>
      <c r="G177" s="25"/>
      <c r="H177" s="23"/>
      <c r="M177" s="12"/>
      <c r="Q177" s="7"/>
      <c r="W177" s="12"/>
      <c r="X177" s="54"/>
      <c r="AB177" s="12"/>
      <c r="AC177"/>
    </row>
    <row r="178" spans="1:29">
      <c r="A178" s="23"/>
      <c r="B178" s="24">
        <f t="shared" si="79"/>
        <v>196</v>
      </c>
      <c r="C178" s="24" t="str">
        <f t="shared" si="80"/>
        <v>EEM196</v>
      </c>
      <c r="D178" s="25"/>
      <c r="E178" s="25"/>
      <c r="F178" s="25"/>
      <c r="G178" s="25"/>
      <c r="H178" s="23"/>
      <c r="M178" s="12"/>
      <c r="Q178" s="7"/>
      <c r="W178" s="12"/>
      <c r="X178" s="54"/>
      <c r="AB178" s="12"/>
      <c r="AC178"/>
    </row>
    <row r="179" spans="1:29">
      <c r="A179" s="23"/>
      <c r="B179" s="24">
        <f t="shared" si="79"/>
        <v>197</v>
      </c>
      <c r="C179" s="24" t="str">
        <f t="shared" si="80"/>
        <v>EEM197</v>
      </c>
      <c r="D179" s="25"/>
      <c r="E179" s="25"/>
      <c r="F179" s="25"/>
      <c r="G179" s="25"/>
      <c r="H179" s="23"/>
      <c r="M179" s="12"/>
      <c r="Q179" s="7"/>
      <c r="W179" s="12"/>
      <c r="X179" s="54"/>
      <c r="AB179" s="12"/>
      <c r="AC179"/>
    </row>
    <row r="180" spans="1:29">
      <c r="A180" s="23"/>
      <c r="B180" s="24">
        <f t="shared" si="79"/>
        <v>198</v>
      </c>
      <c r="C180" s="24" t="str">
        <f t="shared" si="80"/>
        <v>EEM198</v>
      </c>
      <c r="D180" s="25"/>
      <c r="E180" s="25"/>
      <c r="F180" s="25"/>
      <c r="G180" s="25"/>
      <c r="H180" s="23"/>
      <c r="M180" s="12"/>
      <c r="Q180" s="7"/>
      <c r="W180" s="12"/>
      <c r="X180" s="54"/>
      <c r="AB180" s="12"/>
      <c r="AC180"/>
    </row>
    <row r="181" spans="1:29">
      <c r="A181" s="23"/>
      <c r="B181" s="24">
        <f t="shared" si="79"/>
        <v>199</v>
      </c>
      <c r="C181" s="24" t="str">
        <f t="shared" si="80"/>
        <v>EEM199</v>
      </c>
      <c r="D181" s="25"/>
      <c r="E181" s="25"/>
      <c r="F181" s="25"/>
      <c r="G181" s="25"/>
      <c r="H181" s="23"/>
      <c r="M181" s="12"/>
      <c r="Q181" s="7"/>
      <c r="W181" s="12"/>
      <c r="X181" s="54"/>
      <c r="AB181" s="12"/>
      <c r="AC181"/>
    </row>
    <row r="182" spans="1:29">
      <c r="A182" s="23"/>
      <c r="B182" s="24">
        <f t="shared" si="79"/>
        <v>200</v>
      </c>
      <c r="C182" s="24" t="str">
        <f t="shared" si="80"/>
        <v>EEM200</v>
      </c>
      <c r="D182" s="25"/>
      <c r="E182" s="25"/>
      <c r="F182" s="25"/>
      <c r="G182" s="25"/>
      <c r="H182" s="23"/>
      <c r="M182" s="12"/>
      <c r="Q182" s="7"/>
      <c r="W182" s="12"/>
      <c r="X182" s="54"/>
      <c r="AB182" s="12"/>
      <c r="AC182"/>
    </row>
    <row r="183" spans="1:29">
      <c r="A183" s="23"/>
      <c r="B183" s="24">
        <f t="shared" si="79"/>
        <v>201</v>
      </c>
      <c r="C183" s="24" t="str">
        <f t="shared" si="80"/>
        <v>EEM201</v>
      </c>
      <c r="D183" s="25"/>
      <c r="E183" s="25"/>
      <c r="F183" s="25"/>
      <c r="G183" s="25"/>
      <c r="H183" s="23"/>
      <c r="M183" s="12"/>
      <c r="Q183" s="7"/>
      <c r="W183" s="12"/>
      <c r="X183" s="54"/>
      <c r="AB183" s="12"/>
      <c r="AC183"/>
    </row>
    <row r="184" spans="1:29">
      <c r="A184" s="23"/>
      <c r="B184" s="24">
        <f t="shared" si="79"/>
        <v>202</v>
      </c>
      <c r="C184" s="24" t="str">
        <f t="shared" si="80"/>
        <v>EEM202</v>
      </c>
      <c r="D184" s="25"/>
      <c r="E184" s="25"/>
      <c r="F184" s="25"/>
      <c r="G184" s="25"/>
      <c r="H184" s="23"/>
      <c r="M184" s="12"/>
      <c r="Q184" s="7"/>
      <c r="W184" s="12"/>
      <c r="X184" s="54"/>
      <c r="AB184" s="12"/>
      <c r="AC184"/>
    </row>
    <row r="185" spans="1:29">
      <c r="A185" s="23"/>
      <c r="B185" s="24">
        <f t="shared" si="79"/>
        <v>203</v>
      </c>
      <c r="C185" s="24" t="str">
        <f t="shared" si="80"/>
        <v>EEM203</v>
      </c>
      <c r="D185" s="25"/>
      <c r="E185" s="25"/>
      <c r="F185" s="25"/>
      <c r="G185" s="25"/>
      <c r="H185" s="23"/>
      <c r="M185" s="12"/>
      <c r="Q185" s="7"/>
      <c r="W185" s="12"/>
      <c r="X185" s="54"/>
      <c r="AB185" s="12"/>
      <c r="AC185"/>
    </row>
    <row r="186" spans="1:29">
      <c r="A186" s="23"/>
      <c r="B186" s="24">
        <f t="shared" si="79"/>
        <v>204</v>
      </c>
      <c r="C186" s="24" t="str">
        <f t="shared" si="80"/>
        <v>EEM204</v>
      </c>
      <c r="D186" s="25"/>
      <c r="E186" s="25"/>
      <c r="F186" s="25"/>
      <c r="G186" s="25"/>
      <c r="H186" s="23"/>
      <c r="M186" s="12"/>
      <c r="Q186" s="7"/>
      <c r="W186" s="12"/>
      <c r="X186" s="54"/>
      <c r="AB186" s="12"/>
      <c r="AC186"/>
    </row>
    <row r="187" spans="1:29">
      <c r="A187" s="23"/>
      <c r="B187" s="24">
        <f t="shared" si="79"/>
        <v>205</v>
      </c>
      <c r="C187" s="24" t="str">
        <f t="shared" si="80"/>
        <v>EEM205</v>
      </c>
      <c r="D187" s="25"/>
      <c r="E187" s="25"/>
      <c r="F187" s="25"/>
      <c r="G187" s="25"/>
      <c r="H187" s="23"/>
      <c r="M187" s="12"/>
      <c r="Q187" s="7"/>
      <c r="W187" s="12"/>
      <c r="X187" s="54"/>
      <c r="AB187" s="12"/>
      <c r="AC187"/>
    </row>
    <row r="188" spans="1:29">
      <c r="A188" s="23"/>
      <c r="B188" s="24">
        <f t="shared" si="79"/>
        <v>206</v>
      </c>
      <c r="C188" s="24" t="str">
        <f t="shared" si="80"/>
        <v>EEM206</v>
      </c>
      <c r="D188" s="25"/>
      <c r="E188" s="25"/>
      <c r="F188" s="25"/>
      <c r="G188" s="25"/>
      <c r="H188" s="23"/>
      <c r="M188" s="12"/>
      <c r="Q188" s="7"/>
      <c r="W188" s="12"/>
      <c r="X188" s="54"/>
      <c r="AB188" s="12"/>
      <c r="AC188"/>
    </row>
    <row r="189" spans="1:29">
      <c r="A189" s="23"/>
      <c r="B189" s="24">
        <f t="shared" si="79"/>
        <v>207</v>
      </c>
      <c r="C189" s="24" t="str">
        <f t="shared" si="80"/>
        <v>EEM207</v>
      </c>
      <c r="D189" s="25"/>
      <c r="E189" s="25"/>
      <c r="F189" s="25"/>
      <c r="G189" s="25"/>
      <c r="H189" s="23"/>
      <c r="M189" s="12"/>
      <c r="Q189" s="7"/>
      <c r="W189" s="12"/>
      <c r="X189" s="54"/>
      <c r="AB189" s="12"/>
      <c r="AC189"/>
    </row>
    <row r="190" spans="1:29">
      <c r="A190" s="23"/>
      <c r="B190" s="24">
        <f t="shared" si="79"/>
        <v>208</v>
      </c>
      <c r="C190" s="24" t="str">
        <f t="shared" si="80"/>
        <v>EEM208</v>
      </c>
      <c r="D190" s="25"/>
      <c r="E190" s="25"/>
      <c r="F190" s="25"/>
      <c r="G190" s="25"/>
      <c r="H190" s="23"/>
      <c r="M190" s="12"/>
      <c r="Q190" s="7"/>
      <c r="W190" s="12"/>
      <c r="X190" s="54"/>
      <c r="AB190" s="12"/>
      <c r="AC190"/>
    </row>
    <row r="191" spans="1:29">
      <c r="A191" s="23"/>
      <c r="B191" s="24">
        <f t="shared" si="79"/>
        <v>209</v>
      </c>
      <c r="C191" s="24" t="str">
        <f t="shared" si="80"/>
        <v>EEM209</v>
      </c>
      <c r="D191" s="25"/>
      <c r="E191" s="25"/>
      <c r="F191" s="25"/>
      <c r="G191" s="25"/>
      <c r="H191" s="23"/>
      <c r="M191" s="12"/>
      <c r="Q191" s="7"/>
      <c r="W191" s="12"/>
      <c r="X191" s="54"/>
      <c r="AB191" s="12"/>
      <c r="AC191"/>
    </row>
    <row r="192" spans="1:29">
      <c r="A192" s="23"/>
      <c r="B192" s="24">
        <f t="shared" si="79"/>
        <v>210</v>
      </c>
      <c r="C192" s="24" t="str">
        <f t="shared" si="80"/>
        <v>EEM210</v>
      </c>
      <c r="D192" s="25"/>
      <c r="E192" s="25"/>
      <c r="F192" s="25"/>
      <c r="G192" s="25"/>
      <c r="H192" s="23"/>
      <c r="M192" s="12"/>
      <c r="Q192" s="7"/>
      <c r="W192" s="12"/>
      <c r="X192" s="54"/>
      <c r="AB192" s="12"/>
      <c r="AC192"/>
    </row>
    <row r="193" spans="1:29">
      <c r="A193" s="23"/>
      <c r="B193" s="24">
        <f t="shared" si="79"/>
        <v>211</v>
      </c>
      <c r="C193" s="24" t="str">
        <f t="shared" si="80"/>
        <v>EEM211</v>
      </c>
      <c r="D193" s="25"/>
      <c r="E193" s="25"/>
      <c r="F193" s="25"/>
      <c r="G193" s="25"/>
      <c r="H193" s="23"/>
      <c r="M193" s="12"/>
      <c r="Q193" s="7"/>
      <c r="W193" s="12"/>
      <c r="X193" s="54"/>
      <c r="AB193" s="12"/>
      <c r="AC193"/>
    </row>
    <row r="194" spans="1:29">
      <c r="A194" s="23"/>
      <c r="B194" s="24">
        <f t="shared" si="79"/>
        <v>212</v>
      </c>
      <c r="C194" s="24" t="str">
        <f t="shared" si="80"/>
        <v>EEM212</v>
      </c>
      <c r="D194" s="25"/>
      <c r="E194" s="25"/>
      <c r="F194" s="25"/>
      <c r="G194" s="25"/>
      <c r="H194" s="23"/>
      <c r="M194" s="12"/>
      <c r="Q194" s="7"/>
      <c r="W194" s="12"/>
      <c r="X194" s="54"/>
      <c r="AB194" s="12"/>
      <c r="AC194"/>
    </row>
    <row r="195" spans="1:29">
      <c r="A195" s="23"/>
      <c r="B195" s="24">
        <f t="shared" si="79"/>
        <v>213</v>
      </c>
      <c r="C195" s="24" t="str">
        <f t="shared" si="80"/>
        <v>EEM213</v>
      </c>
      <c r="D195" s="25"/>
      <c r="E195" s="25"/>
      <c r="F195" s="25"/>
      <c r="G195" s="25"/>
      <c r="H195" s="23"/>
      <c r="M195" s="12"/>
      <c r="Q195" s="7"/>
      <c r="W195" s="12"/>
      <c r="X195" s="54"/>
      <c r="AB195" s="12"/>
      <c r="AC195"/>
    </row>
    <row r="196" spans="1:29">
      <c r="A196" s="23"/>
      <c r="B196" s="24">
        <f t="shared" si="79"/>
        <v>214</v>
      </c>
      <c r="C196" s="24" t="str">
        <f t="shared" si="80"/>
        <v>EEM214</v>
      </c>
      <c r="D196" s="25"/>
      <c r="E196" s="25"/>
      <c r="F196" s="25"/>
      <c r="G196" s="25"/>
      <c r="H196" s="23"/>
      <c r="M196" s="12"/>
      <c r="Q196" s="7"/>
      <c r="W196" s="12"/>
      <c r="X196" s="54"/>
      <c r="AB196" s="12"/>
      <c r="AC196"/>
    </row>
    <row r="197" spans="1:29">
      <c r="A197" s="23"/>
      <c r="B197" s="24">
        <f t="shared" ref="B197:B260" si="81">B196+1</f>
        <v>215</v>
      </c>
      <c r="C197" s="24" t="str">
        <f t="shared" si="80"/>
        <v>EEM215</v>
      </c>
      <c r="D197" s="25"/>
      <c r="E197" s="25"/>
      <c r="F197" s="25"/>
      <c r="G197" s="25"/>
      <c r="H197" s="23"/>
      <c r="M197" s="12"/>
      <c r="Q197" s="7"/>
      <c r="W197" s="12"/>
      <c r="X197" s="54"/>
      <c r="AB197" s="12"/>
      <c r="AC197"/>
    </row>
    <row r="198" spans="1:29">
      <c r="A198" s="23"/>
      <c r="B198" s="24">
        <f t="shared" si="81"/>
        <v>216</v>
      </c>
      <c r="C198" s="24" t="str">
        <f t="shared" si="80"/>
        <v>EEM216</v>
      </c>
      <c r="D198" s="25"/>
      <c r="E198" s="25"/>
      <c r="F198" s="25"/>
      <c r="G198" s="25"/>
      <c r="H198" s="23"/>
      <c r="M198" s="12"/>
      <c r="Q198" s="7"/>
      <c r="W198" s="12"/>
      <c r="X198" s="54"/>
      <c r="AB198" s="12"/>
      <c r="AC198"/>
    </row>
    <row r="199" spans="1:29">
      <c r="A199" s="23"/>
      <c r="B199" s="24">
        <f t="shared" si="81"/>
        <v>217</v>
      </c>
      <c r="C199" s="24" t="str">
        <f t="shared" si="80"/>
        <v>EEM217</v>
      </c>
      <c r="D199" s="25"/>
      <c r="E199" s="25"/>
      <c r="F199" s="25"/>
      <c r="G199" s="25"/>
      <c r="H199" s="23"/>
      <c r="M199" s="12"/>
      <c r="Q199" s="7"/>
      <c r="W199" s="12"/>
      <c r="X199" s="54"/>
      <c r="AB199" s="12"/>
      <c r="AC199"/>
    </row>
    <row r="200" spans="1:29">
      <c r="A200" s="23"/>
      <c r="B200" s="24">
        <f t="shared" si="81"/>
        <v>218</v>
      </c>
      <c r="C200" s="24" t="str">
        <f t="shared" si="80"/>
        <v>EEM218</v>
      </c>
      <c r="D200" s="25"/>
      <c r="E200" s="25"/>
      <c r="F200" s="25"/>
      <c r="G200" s="25"/>
      <c r="H200" s="23"/>
      <c r="M200" s="12"/>
      <c r="Q200" s="7"/>
      <c r="W200" s="12"/>
      <c r="X200" s="54"/>
      <c r="AB200" s="12"/>
      <c r="AC200"/>
    </row>
    <row r="201" spans="1:29">
      <c r="A201" s="23"/>
      <c r="B201" s="24">
        <f t="shared" si="81"/>
        <v>219</v>
      </c>
      <c r="C201" s="24" t="str">
        <f t="shared" si="80"/>
        <v>EEM219</v>
      </c>
      <c r="D201" s="25"/>
      <c r="E201" s="25"/>
      <c r="F201" s="25"/>
      <c r="G201" s="25"/>
      <c r="H201" s="23"/>
      <c r="M201" s="12"/>
      <c r="Q201" s="7"/>
      <c r="W201" s="12"/>
      <c r="X201" s="54"/>
      <c r="AB201" s="12"/>
      <c r="AC201"/>
    </row>
    <row r="202" spans="1:29">
      <c r="A202" s="23"/>
      <c r="B202" s="24">
        <f t="shared" si="81"/>
        <v>220</v>
      </c>
      <c r="C202" s="24" t="str">
        <f t="shared" si="80"/>
        <v>EEM220</v>
      </c>
      <c r="D202" s="25"/>
      <c r="E202" s="25"/>
      <c r="F202" s="25"/>
      <c r="G202" s="25"/>
      <c r="H202" s="23"/>
      <c r="M202" s="12"/>
      <c r="Q202" s="7"/>
      <c r="W202" s="12"/>
      <c r="X202" s="54"/>
      <c r="AB202" s="12"/>
      <c r="AC202"/>
    </row>
    <row r="203" spans="1:29">
      <c r="A203" s="23"/>
      <c r="B203" s="24">
        <f t="shared" si="81"/>
        <v>221</v>
      </c>
      <c r="C203" s="24" t="str">
        <f t="shared" si="80"/>
        <v>EEM221</v>
      </c>
      <c r="D203" s="25"/>
      <c r="E203" s="25"/>
      <c r="F203" s="25"/>
      <c r="G203" s="25"/>
      <c r="H203" s="23"/>
      <c r="M203" s="12"/>
      <c r="Q203" s="7"/>
      <c r="W203" s="12"/>
      <c r="X203" s="54"/>
      <c r="AB203" s="12"/>
      <c r="AC203"/>
    </row>
    <row r="204" spans="1:29">
      <c r="A204" s="23"/>
      <c r="B204" s="24">
        <f t="shared" si="81"/>
        <v>222</v>
      </c>
      <c r="C204" s="24" t="str">
        <f t="shared" si="80"/>
        <v>EEM222</v>
      </c>
      <c r="D204" s="25"/>
      <c r="E204" s="25"/>
      <c r="F204" s="25"/>
      <c r="G204" s="25"/>
      <c r="H204" s="23"/>
      <c r="M204" s="12"/>
      <c r="Q204" s="7"/>
      <c r="W204" s="12"/>
      <c r="X204" s="54"/>
      <c r="AB204" s="12"/>
      <c r="AC204"/>
    </row>
    <row r="205" spans="1:29">
      <c r="A205" s="23"/>
      <c r="B205" s="24">
        <f t="shared" si="81"/>
        <v>223</v>
      </c>
      <c r="C205" s="24" t="str">
        <f t="shared" si="80"/>
        <v>EEM223</v>
      </c>
      <c r="D205" s="25"/>
      <c r="E205" s="25"/>
      <c r="F205" s="25"/>
      <c r="G205" s="25"/>
      <c r="H205" s="23"/>
      <c r="M205" s="12"/>
      <c r="Q205" s="7"/>
      <c r="W205" s="12"/>
      <c r="X205" s="54"/>
      <c r="AB205" s="12"/>
      <c r="AC205"/>
    </row>
    <row r="206" spans="1:29">
      <c r="A206" s="23"/>
      <c r="B206" s="24">
        <f t="shared" si="81"/>
        <v>224</v>
      </c>
      <c r="C206" s="24" t="str">
        <f t="shared" si="80"/>
        <v>EEM224</v>
      </c>
      <c r="D206" s="25"/>
      <c r="E206" s="25"/>
      <c r="F206" s="25"/>
      <c r="G206" s="25"/>
      <c r="H206" s="23"/>
      <c r="M206" s="12"/>
      <c r="Q206" s="7"/>
      <c r="W206" s="12"/>
      <c r="X206" s="54"/>
      <c r="AB206" s="12"/>
      <c r="AC206"/>
    </row>
    <row r="207" spans="1:29">
      <c r="A207" s="23"/>
      <c r="B207" s="24">
        <f t="shared" si="81"/>
        <v>225</v>
      </c>
      <c r="C207" s="24" t="str">
        <f t="shared" si="80"/>
        <v>EEM225</v>
      </c>
      <c r="D207" s="25"/>
      <c r="E207" s="25"/>
      <c r="F207" s="25"/>
      <c r="G207" s="25"/>
      <c r="H207" s="23"/>
      <c r="M207" s="12"/>
      <c r="Q207" s="7"/>
      <c r="W207" s="12"/>
      <c r="X207" s="54"/>
      <c r="AB207" s="12"/>
      <c r="AC207"/>
    </row>
    <row r="208" spans="1:29">
      <c r="A208" s="23"/>
      <c r="B208" s="24">
        <f t="shared" si="81"/>
        <v>226</v>
      </c>
      <c r="C208" s="24" t="str">
        <f t="shared" si="80"/>
        <v>EEM226</v>
      </c>
      <c r="D208" s="25"/>
      <c r="E208" s="25"/>
      <c r="F208" s="25"/>
      <c r="G208" s="25"/>
      <c r="H208" s="23"/>
      <c r="M208" s="12"/>
      <c r="Q208" s="7"/>
      <c r="W208" s="12"/>
      <c r="X208" s="54"/>
      <c r="AB208" s="12"/>
      <c r="AC208"/>
    </row>
    <row r="209" spans="1:29">
      <c r="A209" s="23"/>
      <c r="B209" s="24">
        <f t="shared" si="81"/>
        <v>227</v>
      </c>
      <c r="C209" s="24" t="str">
        <f t="shared" si="80"/>
        <v>EEM227</v>
      </c>
      <c r="D209" s="25"/>
      <c r="E209" s="25"/>
      <c r="F209" s="25"/>
      <c r="G209" s="25"/>
      <c r="H209" s="23"/>
      <c r="M209" s="12"/>
      <c r="Q209" s="7"/>
      <c r="W209" s="12"/>
      <c r="X209" s="54"/>
      <c r="AB209" s="12"/>
      <c r="AC209"/>
    </row>
    <row r="210" spans="1:29">
      <c r="A210" s="23"/>
      <c r="B210" s="24">
        <f t="shared" si="81"/>
        <v>228</v>
      </c>
      <c r="C210" s="24" t="str">
        <f t="shared" si="80"/>
        <v>EEM228</v>
      </c>
      <c r="D210" s="25"/>
      <c r="E210" s="25"/>
      <c r="F210" s="25"/>
      <c r="G210" s="25"/>
      <c r="H210" s="23"/>
      <c r="M210" s="12"/>
      <c r="Q210" s="7"/>
      <c r="W210" s="12"/>
      <c r="X210" s="54"/>
      <c r="AB210" s="12"/>
      <c r="AC210"/>
    </row>
    <row r="211" spans="1:29">
      <c r="A211" s="23"/>
      <c r="B211" s="24">
        <f t="shared" si="81"/>
        <v>229</v>
      </c>
      <c r="C211" s="24" t="str">
        <f t="shared" si="80"/>
        <v>EEM229</v>
      </c>
      <c r="D211" s="25"/>
      <c r="E211" s="25"/>
      <c r="F211" s="25"/>
      <c r="G211" s="25"/>
      <c r="H211" s="23"/>
      <c r="M211" s="12"/>
      <c r="Q211" s="7"/>
      <c r="W211" s="12"/>
      <c r="X211" s="54"/>
      <c r="AB211" s="12"/>
      <c r="AC211"/>
    </row>
    <row r="212" spans="1:29">
      <c r="A212" s="23"/>
      <c r="B212" s="24">
        <f t="shared" si="81"/>
        <v>230</v>
      </c>
      <c r="C212" s="24" t="str">
        <f t="shared" ref="C212:C264" si="82">"EEM"&amp;B212</f>
        <v>EEM230</v>
      </c>
      <c r="D212" s="25"/>
      <c r="E212" s="25"/>
      <c r="F212" s="25"/>
      <c r="G212" s="25"/>
      <c r="H212" s="23"/>
      <c r="M212" s="12"/>
      <c r="Q212" s="7"/>
      <c r="W212" s="12"/>
      <c r="X212" s="54"/>
      <c r="AB212" s="12"/>
      <c r="AC212"/>
    </row>
    <row r="213" spans="1:29">
      <c r="A213" s="23"/>
      <c r="B213" s="24">
        <f t="shared" si="81"/>
        <v>231</v>
      </c>
      <c r="C213" s="24" t="str">
        <f t="shared" si="82"/>
        <v>EEM231</v>
      </c>
      <c r="D213" s="25"/>
      <c r="E213" s="25"/>
      <c r="F213" s="25"/>
      <c r="G213" s="25"/>
      <c r="H213" s="23"/>
      <c r="M213" s="12"/>
      <c r="Q213" s="7"/>
      <c r="W213" s="12"/>
      <c r="X213" s="54"/>
      <c r="AB213" s="12"/>
      <c r="AC213"/>
    </row>
    <row r="214" spans="1:29">
      <c r="A214" s="23"/>
      <c r="B214" s="24">
        <f t="shared" si="81"/>
        <v>232</v>
      </c>
      <c r="C214" s="24" t="str">
        <f t="shared" si="82"/>
        <v>EEM232</v>
      </c>
      <c r="D214" s="25"/>
      <c r="E214" s="25"/>
      <c r="F214" s="25"/>
      <c r="G214" s="25"/>
      <c r="H214" s="23"/>
      <c r="M214" s="12"/>
      <c r="Q214" s="7"/>
      <c r="W214" s="12"/>
      <c r="X214" s="54"/>
      <c r="AB214" s="12"/>
      <c r="AC214"/>
    </row>
    <row r="215" spans="1:29">
      <c r="A215" s="23"/>
      <c r="B215" s="24">
        <f t="shared" si="81"/>
        <v>233</v>
      </c>
      <c r="C215" s="24" t="str">
        <f t="shared" si="82"/>
        <v>EEM233</v>
      </c>
      <c r="D215" s="25"/>
      <c r="E215" s="25"/>
      <c r="F215" s="25"/>
      <c r="G215" s="25"/>
      <c r="H215" s="23"/>
      <c r="M215" s="12"/>
      <c r="Q215" s="7"/>
      <c r="W215" s="12"/>
      <c r="X215" s="54"/>
      <c r="AB215" s="12"/>
      <c r="AC215"/>
    </row>
    <row r="216" spans="1:29">
      <c r="A216" s="23"/>
      <c r="B216" s="24">
        <f t="shared" si="81"/>
        <v>234</v>
      </c>
      <c r="C216" s="24" t="str">
        <f t="shared" si="82"/>
        <v>EEM234</v>
      </c>
      <c r="D216" s="25"/>
      <c r="E216" s="25"/>
      <c r="F216" s="25"/>
      <c r="G216" s="25"/>
      <c r="H216" s="23"/>
      <c r="M216" s="12"/>
      <c r="Q216" s="7"/>
      <c r="W216" s="12"/>
      <c r="X216" s="54"/>
      <c r="AB216" s="12"/>
      <c r="AC216"/>
    </row>
    <row r="217" spans="1:29">
      <c r="A217" s="23"/>
      <c r="B217" s="24">
        <f t="shared" si="81"/>
        <v>235</v>
      </c>
      <c r="C217" s="24" t="str">
        <f t="shared" si="82"/>
        <v>EEM235</v>
      </c>
      <c r="D217" s="25"/>
      <c r="E217" s="25"/>
      <c r="F217" s="25"/>
      <c r="G217" s="25"/>
      <c r="H217" s="23"/>
      <c r="M217" s="12"/>
      <c r="Q217" s="7"/>
      <c r="W217" s="12"/>
      <c r="X217" s="54"/>
      <c r="AB217" s="12"/>
      <c r="AC217"/>
    </row>
    <row r="218" spans="1:29">
      <c r="A218" s="23"/>
      <c r="B218" s="24">
        <f t="shared" si="81"/>
        <v>236</v>
      </c>
      <c r="C218" s="24" t="str">
        <f t="shared" si="82"/>
        <v>EEM236</v>
      </c>
      <c r="D218" s="25"/>
      <c r="E218" s="25"/>
      <c r="F218" s="25"/>
      <c r="G218" s="25"/>
      <c r="H218" s="23"/>
      <c r="M218" s="12"/>
      <c r="Q218" s="7"/>
      <c r="W218" s="12"/>
      <c r="X218" s="54"/>
      <c r="AB218" s="12"/>
      <c r="AC218"/>
    </row>
    <row r="219" spans="1:29">
      <c r="A219" s="23"/>
      <c r="B219" s="24">
        <f t="shared" si="81"/>
        <v>237</v>
      </c>
      <c r="C219" s="24" t="str">
        <f t="shared" si="82"/>
        <v>EEM237</v>
      </c>
      <c r="D219" s="25"/>
      <c r="E219" s="25"/>
      <c r="F219" s="25"/>
      <c r="G219" s="25"/>
      <c r="H219" s="23"/>
      <c r="M219" s="12"/>
      <c r="Q219" s="7"/>
      <c r="W219" s="12"/>
      <c r="X219" s="54"/>
      <c r="AB219" s="12"/>
      <c r="AC219"/>
    </row>
    <row r="220" spans="1:29">
      <c r="A220" s="23"/>
      <c r="B220" s="24">
        <f t="shared" si="81"/>
        <v>238</v>
      </c>
      <c r="C220" s="24" t="str">
        <f t="shared" si="82"/>
        <v>EEM238</v>
      </c>
      <c r="D220" s="25"/>
      <c r="E220" s="25"/>
      <c r="F220" s="25"/>
      <c r="G220" s="25"/>
      <c r="H220" s="23"/>
      <c r="M220" s="12"/>
      <c r="Q220" s="7"/>
      <c r="W220" s="12"/>
      <c r="X220" s="54"/>
      <c r="AB220" s="12"/>
      <c r="AC220"/>
    </row>
    <row r="221" spans="1:29">
      <c r="A221" s="23"/>
      <c r="B221" s="24">
        <f t="shared" si="81"/>
        <v>239</v>
      </c>
      <c r="C221" s="24" t="str">
        <f t="shared" si="82"/>
        <v>EEM239</v>
      </c>
      <c r="D221" s="25"/>
      <c r="E221" s="25"/>
      <c r="F221" s="25"/>
      <c r="G221" s="25"/>
      <c r="H221" s="23"/>
      <c r="M221" s="12"/>
      <c r="Q221" s="7"/>
      <c r="W221" s="12"/>
      <c r="X221" s="54"/>
      <c r="AB221" s="12"/>
      <c r="AC221"/>
    </row>
    <row r="222" spans="1:29">
      <c r="A222" s="23"/>
      <c r="B222" s="24">
        <f t="shared" si="81"/>
        <v>240</v>
      </c>
      <c r="C222" s="24" t="str">
        <f t="shared" si="82"/>
        <v>EEM240</v>
      </c>
      <c r="D222" s="25"/>
      <c r="E222" s="25"/>
      <c r="F222" s="25"/>
      <c r="G222" s="25"/>
      <c r="H222" s="23"/>
      <c r="M222" s="12"/>
      <c r="Q222" s="7"/>
      <c r="W222" s="12"/>
      <c r="X222" s="54"/>
      <c r="AB222" s="12"/>
      <c r="AC222"/>
    </row>
    <row r="223" spans="1:29">
      <c r="A223" s="23"/>
      <c r="B223" s="24">
        <f t="shared" si="81"/>
        <v>241</v>
      </c>
      <c r="C223" s="24" t="str">
        <f t="shared" si="82"/>
        <v>EEM241</v>
      </c>
      <c r="D223" s="25"/>
      <c r="E223" s="25"/>
      <c r="F223" s="25"/>
      <c r="G223" s="25"/>
      <c r="H223" s="23"/>
      <c r="M223" s="12"/>
      <c r="Q223" s="7"/>
      <c r="W223" s="12"/>
      <c r="X223" s="54"/>
      <c r="AB223" s="12"/>
      <c r="AC223"/>
    </row>
    <row r="224" spans="1:29">
      <c r="A224" s="23"/>
      <c r="B224" s="24">
        <f t="shared" si="81"/>
        <v>242</v>
      </c>
      <c r="C224" s="24" t="str">
        <f t="shared" si="82"/>
        <v>EEM242</v>
      </c>
      <c r="D224" s="25"/>
      <c r="E224" s="25"/>
      <c r="F224" s="25"/>
      <c r="G224" s="25"/>
      <c r="H224" s="23"/>
      <c r="M224" s="12"/>
      <c r="Q224" s="7"/>
      <c r="W224" s="12"/>
      <c r="X224" s="54"/>
      <c r="AB224" s="12"/>
      <c r="AC224"/>
    </row>
    <row r="225" spans="1:29">
      <c r="A225" s="23"/>
      <c r="B225" s="24">
        <f t="shared" si="81"/>
        <v>243</v>
      </c>
      <c r="C225" s="24" t="str">
        <f t="shared" si="82"/>
        <v>EEM243</v>
      </c>
      <c r="D225" s="25"/>
      <c r="E225" s="25"/>
      <c r="F225" s="25"/>
      <c r="G225" s="25"/>
      <c r="H225" s="23"/>
      <c r="M225" s="12"/>
      <c r="Q225" s="7"/>
      <c r="W225" s="12"/>
      <c r="X225" s="54"/>
      <c r="AB225" s="12"/>
      <c r="AC225"/>
    </row>
    <row r="226" spans="1:29">
      <c r="A226" s="23"/>
      <c r="B226" s="24">
        <f t="shared" si="81"/>
        <v>244</v>
      </c>
      <c r="C226" s="24" t="str">
        <f t="shared" si="82"/>
        <v>EEM244</v>
      </c>
      <c r="D226" s="25"/>
      <c r="E226" s="25"/>
      <c r="F226" s="25"/>
      <c r="G226" s="25"/>
      <c r="H226" s="23"/>
      <c r="M226" s="12"/>
      <c r="Q226" s="7"/>
      <c r="W226" s="12"/>
      <c r="X226" s="54"/>
      <c r="AB226" s="12"/>
      <c r="AC226"/>
    </row>
    <row r="227" spans="1:29">
      <c r="A227" s="23"/>
      <c r="B227" s="24">
        <f t="shared" si="81"/>
        <v>245</v>
      </c>
      <c r="C227" s="24" t="str">
        <f t="shared" si="82"/>
        <v>EEM245</v>
      </c>
      <c r="D227" s="25"/>
      <c r="E227" s="25"/>
      <c r="F227" s="25"/>
      <c r="G227" s="25"/>
      <c r="H227" s="23"/>
      <c r="M227" s="12"/>
      <c r="Q227" s="7"/>
      <c r="W227" s="12"/>
      <c r="X227" s="54"/>
      <c r="AB227" s="12"/>
      <c r="AC227"/>
    </row>
    <row r="228" spans="1:29">
      <c r="A228" s="23"/>
      <c r="B228" s="24">
        <f t="shared" si="81"/>
        <v>246</v>
      </c>
      <c r="C228" s="24" t="str">
        <f t="shared" si="82"/>
        <v>EEM246</v>
      </c>
      <c r="D228" s="25"/>
      <c r="E228" s="25"/>
      <c r="F228" s="25"/>
      <c r="G228" s="25"/>
      <c r="H228" s="23"/>
      <c r="M228" s="12"/>
      <c r="Q228" s="7"/>
      <c r="W228" s="12"/>
      <c r="X228" s="54"/>
      <c r="AB228" s="12"/>
      <c r="AC228"/>
    </row>
    <row r="229" spans="1:29">
      <c r="A229" s="23"/>
      <c r="B229" s="24">
        <f t="shared" si="81"/>
        <v>247</v>
      </c>
      <c r="C229" s="24" t="str">
        <f t="shared" si="82"/>
        <v>EEM247</v>
      </c>
      <c r="D229" s="25"/>
      <c r="E229" s="25"/>
      <c r="F229" s="25"/>
      <c r="G229" s="25"/>
      <c r="H229" s="23"/>
      <c r="M229" s="12"/>
      <c r="Q229" s="7"/>
      <c r="W229" s="12"/>
      <c r="X229" s="54"/>
      <c r="AB229" s="12"/>
      <c r="AC229"/>
    </row>
    <row r="230" spans="1:29">
      <c r="A230" s="23"/>
      <c r="B230" s="24">
        <f t="shared" si="81"/>
        <v>248</v>
      </c>
      <c r="C230" s="24" t="str">
        <f t="shared" si="82"/>
        <v>EEM248</v>
      </c>
      <c r="D230" s="25"/>
      <c r="E230" s="25"/>
      <c r="F230" s="25"/>
      <c r="G230" s="25"/>
      <c r="H230" s="23"/>
      <c r="M230" s="12"/>
      <c r="Q230" s="7"/>
      <c r="W230" s="12"/>
      <c r="X230" s="54"/>
      <c r="AB230" s="12"/>
      <c r="AC230"/>
    </row>
    <row r="231" spans="1:29">
      <c r="A231" s="23"/>
      <c r="B231" s="24">
        <f t="shared" si="81"/>
        <v>249</v>
      </c>
      <c r="C231" s="24" t="str">
        <f t="shared" si="82"/>
        <v>EEM249</v>
      </c>
      <c r="D231" s="25"/>
      <c r="E231" s="25"/>
      <c r="F231" s="25"/>
      <c r="G231" s="25"/>
      <c r="H231" s="23"/>
      <c r="M231" s="12"/>
      <c r="Q231" s="7"/>
      <c r="W231" s="12"/>
      <c r="X231" s="54"/>
      <c r="AB231" s="12"/>
      <c r="AC231"/>
    </row>
    <row r="232" spans="1:29">
      <c r="A232" s="23"/>
      <c r="B232" s="24">
        <f t="shared" si="81"/>
        <v>250</v>
      </c>
      <c r="C232" s="24" t="str">
        <f t="shared" si="82"/>
        <v>EEM250</v>
      </c>
      <c r="D232" s="25"/>
      <c r="E232" s="25"/>
      <c r="F232" s="25"/>
      <c r="G232" s="25"/>
      <c r="H232" s="23"/>
      <c r="M232" s="12"/>
      <c r="Q232" s="7"/>
      <c r="W232" s="12"/>
      <c r="X232" s="54"/>
      <c r="AB232" s="12"/>
      <c r="AC232"/>
    </row>
    <row r="233" spans="1:29">
      <c r="A233" s="23"/>
      <c r="B233" s="24">
        <f t="shared" si="81"/>
        <v>251</v>
      </c>
      <c r="C233" s="24" t="str">
        <f t="shared" si="82"/>
        <v>EEM251</v>
      </c>
      <c r="D233" s="25"/>
      <c r="E233" s="25"/>
      <c r="F233" s="25"/>
      <c r="G233" s="25"/>
      <c r="H233" s="23"/>
      <c r="M233" s="12"/>
      <c r="Q233" s="7"/>
      <c r="W233" s="12"/>
      <c r="X233" s="54"/>
      <c r="AB233" s="12"/>
      <c r="AC233"/>
    </row>
    <row r="234" spans="1:29">
      <c r="A234" s="23"/>
      <c r="B234" s="24">
        <f t="shared" si="81"/>
        <v>252</v>
      </c>
      <c r="C234" s="24" t="str">
        <f t="shared" si="82"/>
        <v>EEM252</v>
      </c>
      <c r="D234" s="25"/>
      <c r="E234" s="25"/>
      <c r="F234" s="25"/>
      <c r="G234" s="25"/>
      <c r="H234" s="23"/>
      <c r="M234" s="12"/>
      <c r="Q234" s="7"/>
      <c r="W234" s="12"/>
      <c r="X234" s="54"/>
      <c r="AB234" s="12"/>
      <c r="AC234"/>
    </row>
    <row r="235" spans="1:29">
      <c r="A235" s="23"/>
      <c r="B235" s="24">
        <f t="shared" si="81"/>
        <v>253</v>
      </c>
      <c r="C235" s="24" t="str">
        <f t="shared" si="82"/>
        <v>EEM253</v>
      </c>
      <c r="D235" s="25"/>
      <c r="E235" s="25"/>
      <c r="F235" s="25"/>
      <c r="G235" s="25"/>
      <c r="H235" s="23"/>
      <c r="M235" s="12"/>
      <c r="Q235" s="7"/>
      <c r="W235" s="12"/>
      <c r="X235" s="54"/>
      <c r="AB235" s="12"/>
      <c r="AC235"/>
    </row>
    <row r="236" spans="1:29">
      <c r="A236" s="23"/>
      <c r="B236" s="24">
        <f t="shared" si="81"/>
        <v>254</v>
      </c>
      <c r="C236" s="24" t="str">
        <f t="shared" si="82"/>
        <v>EEM254</v>
      </c>
      <c r="D236" s="25"/>
      <c r="E236" s="25"/>
      <c r="F236" s="25"/>
      <c r="G236" s="25"/>
      <c r="H236" s="23"/>
      <c r="M236" s="12"/>
      <c r="Q236" s="7"/>
      <c r="W236" s="12"/>
      <c r="X236" s="54"/>
      <c r="AB236" s="12"/>
      <c r="AC236"/>
    </row>
    <row r="237" spans="1:29">
      <c r="A237" s="23"/>
      <c r="B237" s="24">
        <f t="shared" si="81"/>
        <v>255</v>
      </c>
      <c r="C237" s="24" t="str">
        <f t="shared" si="82"/>
        <v>EEM255</v>
      </c>
      <c r="D237" s="25"/>
      <c r="E237" s="25"/>
      <c r="F237" s="25"/>
      <c r="G237" s="25"/>
      <c r="H237" s="23"/>
      <c r="M237" s="12"/>
      <c r="Q237" s="7"/>
      <c r="W237" s="12"/>
      <c r="X237" s="54"/>
      <c r="AB237" s="12"/>
      <c r="AC237"/>
    </row>
    <row r="238" spans="1:29">
      <c r="A238" s="23"/>
      <c r="B238" s="24">
        <f t="shared" si="81"/>
        <v>256</v>
      </c>
      <c r="C238" s="24" t="str">
        <f t="shared" si="82"/>
        <v>EEM256</v>
      </c>
      <c r="D238" s="25"/>
      <c r="E238" s="25"/>
      <c r="F238" s="25"/>
      <c r="G238" s="25"/>
      <c r="H238" s="23"/>
      <c r="M238" s="12"/>
      <c r="Q238" s="7"/>
      <c r="W238" s="12"/>
      <c r="X238" s="54"/>
      <c r="AB238" s="12"/>
      <c r="AC238"/>
    </row>
    <row r="239" spans="1:29">
      <c r="A239" s="23"/>
      <c r="B239" s="24">
        <f t="shared" si="81"/>
        <v>257</v>
      </c>
      <c r="C239" s="24" t="str">
        <f t="shared" si="82"/>
        <v>EEM257</v>
      </c>
      <c r="D239" s="25"/>
      <c r="E239" s="25"/>
      <c r="F239" s="25"/>
      <c r="G239" s="25"/>
      <c r="H239" s="23"/>
      <c r="M239" s="12"/>
      <c r="Q239" s="7"/>
      <c r="W239" s="12"/>
      <c r="X239" s="54"/>
      <c r="AB239" s="12"/>
      <c r="AC239"/>
    </row>
    <row r="240" spans="1:29">
      <c r="A240" s="23"/>
      <c r="B240" s="24">
        <f t="shared" si="81"/>
        <v>258</v>
      </c>
      <c r="C240" s="24" t="str">
        <f t="shared" si="82"/>
        <v>EEM258</v>
      </c>
      <c r="D240" s="25"/>
      <c r="E240" s="25"/>
      <c r="F240" s="25"/>
      <c r="G240" s="25"/>
      <c r="H240" s="23"/>
      <c r="M240" s="12"/>
      <c r="Q240" s="7"/>
      <c r="W240" s="12"/>
      <c r="X240" s="54"/>
      <c r="AB240" s="12"/>
      <c r="AC240"/>
    </row>
    <row r="241" spans="1:29">
      <c r="A241" s="23"/>
      <c r="B241" s="24">
        <f t="shared" si="81"/>
        <v>259</v>
      </c>
      <c r="C241" s="24" t="str">
        <f t="shared" si="82"/>
        <v>EEM259</v>
      </c>
      <c r="D241" s="25"/>
      <c r="E241" s="25"/>
      <c r="F241" s="25"/>
      <c r="G241" s="25"/>
      <c r="H241" s="23"/>
      <c r="M241" s="12"/>
      <c r="Q241" s="7"/>
      <c r="W241" s="12"/>
      <c r="X241" s="54"/>
      <c r="AB241" s="12"/>
      <c r="AC241"/>
    </row>
    <row r="242" spans="1:29">
      <c r="A242" s="23"/>
      <c r="B242" s="24">
        <f t="shared" si="81"/>
        <v>260</v>
      </c>
      <c r="C242" s="24" t="str">
        <f t="shared" si="82"/>
        <v>EEM260</v>
      </c>
      <c r="D242" s="25"/>
      <c r="E242" s="25"/>
      <c r="F242" s="25"/>
      <c r="G242" s="25"/>
      <c r="H242" s="23"/>
      <c r="M242" s="12"/>
      <c r="Q242" s="7"/>
      <c r="W242" s="12"/>
      <c r="X242" s="54"/>
      <c r="AB242" s="12"/>
      <c r="AC242"/>
    </row>
    <row r="243" spans="1:29">
      <c r="A243" s="23"/>
      <c r="B243" s="24">
        <f t="shared" si="81"/>
        <v>261</v>
      </c>
      <c r="C243" s="24" t="str">
        <f t="shared" si="82"/>
        <v>EEM261</v>
      </c>
      <c r="D243" s="25"/>
      <c r="E243" s="25"/>
      <c r="F243" s="25"/>
      <c r="G243" s="25"/>
      <c r="H243" s="23"/>
      <c r="M243" s="12"/>
      <c r="Q243" s="7"/>
      <c r="W243" s="12"/>
      <c r="X243" s="54"/>
      <c r="AB243" s="12"/>
      <c r="AC243"/>
    </row>
    <row r="244" spans="1:29">
      <c r="A244" s="23"/>
      <c r="B244" s="24">
        <f t="shared" si="81"/>
        <v>262</v>
      </c>
      <c r="C244" s="24" t="str">
        <f t="shared" si="82"/>
        <v>EEM262</v>
      </c>
      <c r="D244" s="25"/>
      <c r="E244" s="25"/>
      <c r="F244" s="25"/>
      <c r="G244" s="25"/>
      <c r="H244" s="23"/>
      <c r="M244" s="12"/>
      <c r="Q244" s="7"/>
      <c r="W244" s="12"/>
      <c r="X244" s="54"/>
      <c r="AB244" s="12"/>
      <c r="AC244"/>
    </row>
    <row r="245" spans="1:29">
      <c r="A245" s="23"/>
      <c r="B245" s="24">
        <f t="shared" si="81"/>
        <v>263</v>
      </c>
      <c r="C245" s="24" t="str">
        <f t="shared" si="82"/>
        <v>EEM263</v>
      </c>
      <c r="D245" s="25"/>
      <c r="E245" s="25"/>
      <c r="F245" s="25"/>
      <c r="G245" s="25"/>
      <c r="H245" s="23"/>
      <c r="M245" s="12"/>
      <c r="Q245" s="7"/>
      <c r="W245" s="12"/>
      <c r="X245" s="54"/>
      <c r="AB245" s="12"/>
      <c r="AC245"/>
    </row>
    <row r="246" spans="1:29">
      <c r="A246" s="23"/>
      <c r="B246" s="24">
        <f t="shared" si="81"/>
        <v>264</v>
      </c>
      <c r="C246" s="24" t="str">
        <f t="shared" si="82"/>
        <v>EEM264</v>
      </c>
      <c r="D246" s="25"/>
      <c r="E246" s="25"/>
      <c r="F246" s="25"/>
      <c r="G246" s="25"/>
      <c r="H246" s="23"/>
      <c r="M246" s="12"/>
      <c r="Q246" s="7"/>
      <c r="W246" s="12"/>
      <c r="X246" s="54"/>
      <c r="AB246" s="12"/>
      <c r="AC246"/>
    </row>
    <row r="247" spans="1:29">
      <c r="A247" s="23"/>
      <c r="B247" s="24">
        <f t="shared" si="81"/>
        <v>265</v>
      </c>
      <c r="C247" s="24" t="str">
        <f t="shared" si="82"/>
        <v>EEM265</v>
      </c>
      <c r="D247" s="25"/>
      <c r="E247" s="25"/>
      <c r="F247" s="25"/>
      <c r="G247" s="25"/>
      <c r="H247" s="23"/>
      <c r="M247" s="12"/>
      <c r="Q247" s="7"/>
      <c r="W247" s="12"/>
      <c r="X247" s="54"/>
      <c r="AB247" s="12"/>
      <c r="AC247"/>
    </row>
    <row r="248" spans="1:29">
      <c r="A248" s="23"/>
      <c r="B248" s="24">
        <f t="shared" si="81"/>
        <v>266</v>
      </c>
      <c r="C248" s="24" t="str">
        <f t="shared" si="82"/>
        <v>EEM266</v>
      </c>
      <c r="D248" s="25"/>
      <c r="E248" s="25"/>
      <c r="F248" s="25"/>
      <c r="G248" s="25"/>
      <c r="H248" s="23"/>
      <c r="M248" s="12"/>
      <c r="Q248" s="7"/>
      <c r="W248" s="12"/>
      <c r="X248" s="54"/>
      <c r="AB248" s="12"/>
      <c r="AC248"/>
    </row>
    <row r="249" spans="1:29">
      <c r="A249" s="23"/>
      <c r="B249" s="24">
        <f t="shared" si="81"/>
        <v>267</v>
      </c>
      <c r="C249" s="24" t="str">
        <f t="shared" si="82"/>
        <v>EEM267</v>
      </c>
      <c r="D249" s="25"/>
      <c r="E249" s="25"/>
      <c r="F249" s="25"/>
      <c r="G249" s="25"/>
      <c r="H249" s="23"/>
      <c r="M249" s="12"/>
      <c r="Q249" s="7"/>
      <c r="W249" s="12"/>
      <c r="X249" s="54"/>
      <c r="AB249" s="12"/>
      <c r="AC249"/>
    </row>
    <row r="250" spans="1:29">
      <c r="A250" s="23"/>
      <c r="B250" s="24">
        <f t="shared" si="81"/>
        <v>268</v>
      </c>
      <c r="C250" s="24" t="str">
        <f t="shared" si="82"/>
        <v>EEM268</v>
      </c>
      <c r="D250" s="25"/>
      <c r="E250" s="25"/>
      <c r="F250" s="25"/>
      <c r="G250" s="25"/>
      <c r="H250" s="23"/>
      <c r="M250" s="12"/>
      <c r="Q250" s="7"/>
      <c r="W250" s="12"/>
      <c r="X250" s="54"/>
      <c r="AB250" s="12"/>
      <c r="AC250"/>
    </row>
    <row r="251" spans="1:29">
      <c r="A251" s="23"/>
      <c r="B251" s="24">
        <f t="shared" si="81"/>
        <v>269</v>
      </c>
      <c r="C251" s="24" t="str">
        <f t="shared" si="82"/>
        <v>EEM269</v>
      </c>
      <c r="D251" s="25"/>
      <c r="E251" s="25"/>
      <c r="F251" s="25"/>
      <c r="G251" s="25"/>
      <c r="H251" s="23"/>
      <c r="M251" s="12"/>
      <c r="Q251" s="7"/>
      <c r="W251" s="12"/>
      <c r="X251" s="54"/>
      <c r="AB251" s="12"/>
      <c r="AC251"/>
    </row>
    <row r="252" spans="1:29">
      <c r="A252" s="23"/>
      <c r="B252" s="24">
        <f t="shared" si="81"/>
        <v>270</v>
      </c>
      <c r="C252" s="24" t="str">
        <f t="shared" si="82"/>
        <v>EEM270</v>
      </c>
      <c r="D252" s="25"/>
      <c r="E252" s="25"/>
      <c r="F252" s="25"/>
      <c r="G252" s="25"/>
      <c r="H252" s="23"/>
      <c r="M252" s="12"/>
      <c r="Q252" s="7"/>
      <c r="W252" s="12"/>
      <c r="X252" s="54"/>
      <c r="AB252" s="12"/>
      <c r="AC252"/>
    </row>
    <row r="253" spans="1:29">
      <c r="A253" s="23"/>
      <c r="B253" s="24">
        <f t="shared" si="81"/>
        <v>271</v>
      </c>
      <c r="C253" s="24" t="str">
        <f t="shared" si="82"/>
        <v>EEM271</v>
      </c>
      <c r="D253" s="25"/>
      <c r="E253" s="25"/>
      <c r="F253" s="25"/>
      <c r="G253" s="25"/>
      <c r="H253" s="23"/>
      <c r="M253" s="12"/>
      <c r="Q253" s="7"/>
      <c r="W253" s="12"/>
      <c r="X253" s="54"/>
      <c r="AB253" s="12"/>
      <c r="AC253"/>
    </row>
    <row r="254" spans="1:29">
      <c r="A254" s="23"/>
      <c r="B254" s="24">
        <f t="shared" si="81"/>
        <v>272</v>
      </c>
      <c r="C254" s="24" t="str">
        <f t="shared" si="82"/>
        <v>EEM272</v>
      </c>
      <c r="D254" s="25"/>
      <c r="E254" s="25"/>
      <c r="F254" s="25"/>
      <c r="G254" s="25"/>
      <c r="H254" s="23"/>
      <c r="M254" s="12"/>
      <c r="Q254" s="7"/>
      <c r="W254" s="12"/>
      <c r="X254" s="54"/>
      <c r="AB254" s="12"/>
      <c r="AC254"/>
    </row>
    <row r="255" spans="1:29">
      <c r="A255" s="23"/>
      <c r="B255" s="24">
        <f t="shared" si="81"/>
        <v>273</v>
      </c>
      <c r="C255" s="24" t="str">
        <f t="shared" si="82"/>
        <v>EEM273</v>
      </c>
      <c r="D255" s="25"/>
      <c r="E255" s="25"/>
      <c r="F255" s="25"/>
      <c r="G255" s="25"/>
      <c r="H255" s="23"/>
      <c r="M255" s="12"/>
      <c r="Q255" s="7"/>
      <c r="W255" s="12"/>
      <c r="X255" s="54"/>
      <c r="AB255" s="12"/>
      <c r="AC255"/>
    </row>
    <row r="256" spans="1:29">
      <c r="A256" s="23"/>
      <c r="B256" s="24">
        <f t="shared" si="81"/>
        <v>274</v>
      </c>
      <c r="C256" s="24" t="str">
        <f t="shared" si="82"/>
        <v>EEM274</v>
      </c>
      <c r="D256" s="25"/>
      <c r="E256" s="25"/>
      <c r="F256" s="25"/>
      <c r="G256" s="25"/>
      <c r="H256" s="23"/>
      <c r="M256" s="12"/>
      <c r="Q256" s="7"/>
      <c r="W256" s="12"/>
      <c r="X256" s="54"/>
      <c r="AB256" s="12"/>
      <c r="AC256"/>
    </row>
    <row r="257" spans="1:29">
      <c r="A257" s="23"/>
      <c r="B257" s="24">
        <f t="shared" si="81"/>
        <v>275</v>
      </c>
      <c r="C257" s="24" t="str">
        <f t="shared" si="82"/>
        <v>EEM275</v>
      </c>
      <c r="D257" s="25"/>
      <c r="E257" s="25"/>
      <c r="F257" s="25"/>
      <c r="G257" s="25"/>
      <c r="H257" s="23"/>
      <c r="M257" s="12"/>
      <c r="Q257" s="7"/>
      <c r="W257" s="12"/>
      <c r="X257" s="54"/>
      <c r="AB257" s="12"/>
      <c r="AC257"/>
    </row>
    <row r="258" spans="1:29">
      <c r="A258" s="23"/>
      <c r="B258" s="24">
        <f t="shared" si="81"/>
        <v>276</v>
      </c>
      <c r="C258" s="24" t="str">
        <f t="shared" si="82"/>
        <v>EEM276</v>
      </c>
      <c r="D258" s="25"/>
      <c r="E258" s="25"/>
      <c r="F258" s="25"/>
      <c r="G258" s="25"/>
      <c r="H258" s="23"/>
      <c r="M258" s="12"/>
      <c r="Q258" s="7"/>
      <c r="W258" s="12"/>
      <c r="X258" s="54"/>
      <c r="AB258" s="12"/>
      <c r="AC258"/>
    </row>
    <row r="259" spans="1:29">
      <c r="A259" s="23"/>
      <c r="B259" s="24">
        <f t="shared" si="81"/>
        <v>277</v>
      </c>
      <c r="C259" s="24" t="str">
        <f t="shared" si="82"/>
        <v>EEM277</v>
      </c>
      <c r="D259" s="25"/>
      <c r="E259" s="25"/>
      <c r="F259" s="25"/>
      <c r="G259" s="25"/>
      <c r="H259" s="23"/>
      <c r="M259" s="12"/>
      <c r="Q259" s="7"/>
      <c r="W259" s="12"/>
      <c r="X259" s="54"/>
      <c r="AB259" s="12"/>
      <c r="AC259"/>
    </row>
    <row r="260" spans="1:29">
      <c r="A260" s="23"/>
      <c r="B260" s="24">
        <f t="shared" si="81"/>
        <v>278</v>
      </c>
      <c r="C260" s="24" t="str">
        <f t="shared" si="82"/>
        <v>EEM278</v>
      </c>
      <c r="D260" s="25"/>
      <c r="E260" s="25"/>
      <c r="F260" s="25"/>
      <c r="G260" s="25"/>
      <c r="H260" s="23"/>
      <c r="M260" s="12"/>
      <c r="Q260" s="7"/>
      <c r="W260" s="12"/>
      <c r="X260" s="54"/>
      <c r="AB260" s="12"/>
      <c r="AC260"/>
    </row>
    <row r="261" spans="1:29">
      <c r="A261" s="23"/>
      <c r="B261" s="24">
        <f>B260+1</f>
        <v>279</v>
      </c>
      <c r="C261" s="24" t="str">
        <f t="shared" si="82"/>
        <v>EEM279</v>
      </c>
      <c r="D261" s="25"/>
      <c r="E261" s="25"/>
      <c r="F261" s="25"/>
      <c r="G261" s="25"/>
      <c r="H261" s="23"/>
      <c r="M261" s="12"/>
      <c r="Q261" s="7"/>
      <c r="W261" s="12"/>
      <c r="X261" s="54"/>
      <c r="AB261" s="12"/>
      <c r="AC261"/>
    </row>
    <row r="262" spans="1:29">
      <c r="A262" s="23"/>
      <c r="B262" s="24">
        <f>B261+1</f>
        <v>280</v>
      </c>
      <c r="C262" s="24" t="str">
        <f t="shared" si="82"/>
        <v>EEM280</v>
      </c>
      <c r="D262" s="25"/>
      <c r="E262" s="25"/>
      <c r="F262" s="25"/>
      <c r="G262" s="25"/>
      <c r="H262" s="23"/>
      <c r="M262" s="12"/>
      <c r="Q262" s="7"/>
      <c r="W262" s="12"/>
      <c r="X262" s="54"/>
      <c r="AB262" s="12"/>
      <c r="AC262"/>
    </row>
    <row r="263" spans="1:29">
      <c r="A263" s="23"/>
      <c r="B263" s="24">
        <f>B262+1</f>
        <v>281</v>
      </c>
      <c r="C263" s="24" t="str">
        <f t="shared" si="82"/>
        <v>EEM281</v>
      </c>
      <c r="D263" s="25"/>
      <c r="E263" s="25"/>
      <c r="F263" s="25"/>
      <c r="G263" s="25"/>
      <c r="H263" s="23"/>
      <c r="M263" s="12"/>
      <c r="Q263" s="7"/>
      <c r="W263" s="12"/>
      <c r="X263" s="54"/>
      <c r="AB263" s="12"/>
      <c r="AC263"/>
    </row>
    <row r="264" spans="1:29">
      <c r="A264" s="23"/>
      <c r="B264" s="24">
        <f>B263+1</f>
        <v>282</v>
      </c>
      <c r="C264" s="24" t="str">
        <f t="shared" si="82"/>
        <v>EEM282</v>
      </c>
      <c r="D264" s="25"/>
      <c r="E264" s="25"/>
      <c r="F264" s="25"/>
      <c r="G264" s="25"/>
      <c r="H264" s="23"/>
      <c r="M264" s="12"/>
      <c r="Q264" s="7"/>
      <c r="W264" s="12"/>
      <c r="X264" s="54"/>
      <c r="AB264" s="12"/>
      <c r="AC264"/>
    </row>
    <row r="266" spans="1:29">
      <c r="A266" s="13" t="s">
        <v>283</v>
      </c>
    </row>
  </sheetData>
  <mergeCells count="4">
    <mergeCell ref="B6:J6"/>
    <mergeCell ref="K6:P6"/>
    <mergeCell ref="R6:U6"/>
    <mergeCell ref="V6:AA6"/>
  </mergeCells>
  <phoneticPr fontId="0" type="noConversion"/>
  <pageMargins left="0.5" right="0.5" top="0.5" bottom="0.5" header="0.5" footer="0.5"/>
  <pageSetup scale="15" orientation="landscape" horizontalDpi="4294967292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S131"/>
  <sheetViews>
    <sheetView zoomScaleNormal="100" workbookViewId="0">
      <pane xSplit="1" ySplit="5" topLeftCell="B9" activePane="bottomRight" state="frozen"/>
      <selection pane="topRight" activeCell="B1" sqref="B1"/>
      <selection pane="bottomLeft" activeCell="A2" sqref="A2"/>
      <selection pane="bottomRight" activeCell="Q29" sqref="Q29"/>
    </sheetView>
  </sheetViews>
  <sheetFormatPr defaultRowHeight="12.75"/>
  <cols>
    <col min="1" max="1" width="14.42578125" style="286" customWidth="1"/>
    <col min="2" max="2" width="7.42578125" style="249" customWidth="1"/>
    <col min="3" max="3" width="7" style="250" customWidth="1"/>
    <col min="4" max="4" width="6.7109375" style="250" customWidth="1"/>
    <col min="5" max="5" width="7.140625" style="250" customWidth="1"/>
    <col min="6" max="7" width="7.28515625" style="250" customWidth="1"/>
    <col min="8" max="8" width="9.28515625" style="250" customWidth="1"/>
    <col min="9" max="9" width="9" style="250" customWidth="1"/>
    <col min="10" max="10" width="8.28515625" style="250" customWidth="1"/>
    <col min="11" max="12" width="9.42578125" style="250" customWidth="1"/>
    <col min="13" max="13" width="30.7109375" style="251" customWidth="1"/>
    <col min="14" max="14" width="9.140625" style="252"/>
  </cols>
  <sheetData>
    <row r="1" spans="1:14">
      <c r="A1" s="248">
        <v>39611</v>
      </c>
    </row>
    <row r="2" spans="1:14">
      <c r="A2" s="248" t="s">
        <v>48</v>
      </c>
      <c r="B2" s="252"/>
      <c r="C2"/>
      <c r="D2"/>
      <c r="E2"/>
      <c r="F2"/>
      <c r="G2"/>
      <c r="H2"/>
      <c r="I2"/>
      <c r="J2"/>
      <c r="K2"/>
      <c r="L2"/>
      <c r="M2"/>
      <c r="N2"/>
    </row>
    <row r="3" spans="1:14">
      <c r="A3" s="248"/>
      <c r="I3" s="250" t="s">
        <v>386</v>
      </c>
    </row>
    <row r="4" spans="1:14">
      <c r="A4" s="253" t="s">
        <v>49</v>
      </c>
    </row>
    <row r="5" spans="1:14" s="258" customFormat="1" ht="66" customHeight="1">
      <c r="A5" s="254" t="s">
        <v>50</v>
      </c>
      <c r="B5" s="255" t="s">
        <v>51</v>
      </c>
      <c r="C5" s="256" t="s">
        <v>52</v>
      </c>
      <c r="D5" s="256" t="s">
        <v>53</v>
      </c>
      <c r="E5" s="256" t="s">
        <v>54</v>
      </c>
      <c r="F5" s="256" t="s">
        <v>55</v>
      </c>
      <c r="G5" s="256" t="s">
        <v>56</v>
      </c>
      <c r="H5" s="256" t="s">
        <v>57</v>
      </c>
      <c r="I5" s="256" t="s">
        <v>58</v>
      </c>
      <c r="J5" s="256" t="s">
        <v>59</v>
      </c>
      <c r="K5" s="256" t="s">
        <v>60</v>
      </c>
      <c r="L5" s="256" t="s">
        <v>61</v>
      </c>
      <c r="M5" s="254" t="s">
        <v>62</v>
      </c>
      <c r="N5" s="257"/>
    </row>
    <row r="6" spans="1:14">
      <c r="A6" s="259" t="s">
        <v>63</v>
      </c>
      <c r="B6" s="260" t="s">
        <v>64</v>
      </c>
      <c r="C6" s="261">
        <v>2.2799999999999998</v>
      </c>
      <c r="D6" s="262">
        <v>0.66</v>
      </c>
      <c r="E6" s="262" t="s">
        <v>64</v>
      </c>
      <c r="F6" s="262" t="s">
        <v>64</v>
      </c>
      <c r="G6" s="262" t="s">
        <v>64</v>
      </c>
      <c r="H6" s="262" t="s">
        <v>64</v>
      </c>
      <c r="I6" s="262" t="s">
        <v>64</v>
      </c>
      <c r="J6" s="263" t="s">
        <v>64</v>
      </c>
      <c r="K6" s="262" t="s">
        <v>64</v>
      </c>
      <c r="L6" s="262"/>
      <c r="M6" s="264" t="s">
        <v>65</v>
      </c>
    </row>
    <row r="7" spans="1:14">
      <c r="A7" s="259" t="s">
        <v>66</v>
      </c>
      <c r="B7" s="261">
        <v>41</v>
      </c>
      <c r="C7" s="261">
        <v>2.6</v>
      </c>
      <c r="D7" s="262" t="s">
        <v>64</v>
      </c>
      <c r="E7" s="262" t="s">
        <v>64</v>
      </c>
      <c r="F7" s="262" t="s">
        <v>64</v>
      </c>
      <c r="G7" s="262" t="s">
        <v>64</v>
      </c>
      <c r="H7" s="265">
        <f>AVERAGE(0.003, 0.017)</f>
        <v>0.01</v>
      </c>
      <c r="I7" s="262" t="s">
        <v>64</v>
      </c>
      <c r="J7" s="266">
        <v>6.7</v>
      </c>
      <c r="K7" s="267">
        <v>1</v>
      </c>
      <c r="L7" s="267"/>
      <c r="M7" s="264" t="s">
        <v>67</v>
      </c>
    </row>
    <row r="8" spans="1:14" ht="27.75">
      <c r="A8" s="259" t="s">
        <v>68</v>
      </c>
      <c r="B8" s="261">
        <v>45</v>
      </c>
      <c r="C8" s="261">
        <v>3.2</v>
      </c>
      <c r="D8" s="262">
        <v>0.66</v>
      </c>
      <c r="E8" s="262">
        <v>0.2</v>
      </c>
      <c r="F8" s="262">
        <v>0.3</v>
      </c>
      <c r="G8" s="260">
        <v>1.1000000000000001</v>
      </c>
      <c r="H8" s="262" t="s">
        <v>64</v>
      </c>
      <c r="I8" s="262" t="s">
        <v>64</v>
      </c>
      <c r="J8" s="266">
        <v>6.8</v>
      </c>
      <c r="K8" s="262" t="s">
        <v>64</v>
      </c>
      <c r="L8" s="262"/>
      <c r="M8" s="264" t="s">
        <v>69</v>
      </c>
    </row>
    <row r="9" spans="1:14">
      <c r="A9" s="259" t="s">
        <v>70</v>
      </c>
      <c r="B9" s="261">
        <v>57</v>
      </c>
      <c r="C9" s="262" t="s">
        <v>64</v>
      </c>
      <c r="D9" s="262">
        <v>0.9</v>
      </c>
      <c r="E9" s="267">
        <v>0.02</v>
      </c>
      <c r="F9" s="267">
        <v>0</v>
      </c>
      <c r="G9" s="268">
        <v>0.98</v>
      </c>
      <c r="H9" s="269">
        <v>4.9000000000000002E-2</v>
      </c>
      <c r="I9" s="262" t="s">
        <v>64</v>
      </c>
      <c r="J9" s="263" t="s">
        <v>64</v>
      </c>
      <c r="K9" s="262" t="s">
        <v>64</v>
      </c>
      <c r="L9" s="262"/>
      <c r="M9" s="264" t="s">
        <v>71</v>
      </c>
    </row>
    <row r="10" spans="1:14" ht="21" customHeight="1">
      <c r="A10" s="259" t="s">
        <v>72</v>
      </c>
      <c r="B10" s="261">
        <v>64</v>
      </c>
      <c r="C10" s="261">
        <v>3.2</v>
      </c>
      <c r="D10" s="262">
        <v>0.75</v>
      </c>
      <c r="E10" s="262" t="s">
        <v>64</v>
      </c>
      <c r="F10" s="262" t="s">
        <v>64</v>
      </c>
      <c r="G10" s="262" t="s">
        <v>64</v>
      </c>
      <c r="H10" s="262" t="s">
        <v>64</v>
      </c>
      <c r="I10" s="269">
        <v>5.5999999999999999E-3</v>
      </c>
      <c r="J10" s="266" t="s">
        <v>64</v>
      </c>
      <c r="K10" s="267" t="s">
        <v>64</v>
      </c>
      <c r="L10" s="267"/>
      <c r="M10" s="264" t="s">
        <v>73</v>
      </c>
    </row>
    <row r="11" spans="1:14" ht="22.5">
      <c r="A11" s="259" t="s">
        <v>74</v>
      </c>
      <c r="B11" s="261">
        <v>44</v>
      </c>
      <c r="C11" s="261">
        <v>2.7</v>
      </c>
      <c r="D11" s="262">
        <v>0.86</v>
      </c>
      <c r="E11" s="267">
        <v>0.15</v>
      </c>
      <c r="F11" s="267">
        <v>0.11</v>
      </c>
      <c r="G11" s="268">
        <v>0.96</v>
      </c>
      <c r="H11" s="267" t="s">
        <v>64</v>
      </c>
      <c r="I11" s="269" t="s">
        <v>64</v>
      </c>
      <c r="J11" s="266" t="s">
        <v>64</v>
      </c>
      <c r="K11" s="262" t="s">
        <v>64</v>
      </c>
      <c r="L11" s="262"/>
      <c r="M11" s="264" t="s">
        <v>75</v>
      </c>
    </row>
    <row r="12" spans="1:14">
      <c r="A12" s="259" t="s">
        <v>76</v>
      </c>
      <c r="B12" s="261">
        <v>66</v>
      </c>
      <c r="C12" s="262" t="s">
        <v>64</v>
      </c>
      <c r="D12" s="262">
        <v>0.95</v>
      </c>
      <c r="E12" s="262" t="s">
        <v>64</v>
      </c>
      <c r="F12" s="262" t="s">
        <v>64</v>
      </c>
      <c r="G12" s="262" t="s">
        <v>64</v>
      </c>
      <c r="H12" s="262" t="s">
        <v>64</v>
      </c>
      <c r="I12" s="269">
        <v>2E-3</v>
      </c>
      <c r="J12" s="263" t="s">
        <v>64</v>
      </c>
      <c r="K12" s="262" t="s">
        <v>64</v>
      </c>
      <c r="L12" s="262"/>
      <c r="M12" s="264" t="s">
        <v>77</v>
      </c>
    </row>
    <row r="13" spans="1:14">
      <c r="A13" s="259" t="s">
        <v>78</v>
      </c>
      <c r="B13" s="261">
        <v>44.2</v>
      </c>
      <c r="C13" s="261">
        <v>3.4</v>
      </c>
      <c r="D13" s="262">
        <v>0.73</v>
      </c>
      <c r="E13" s="270">
        <v>0.06</v>
      </c>
      <c r="F13" s="270">
        <v>0.25</v>
      </c>
      <c r="G13" s="271">
        <v>1.19</v>
      </c>
      <c r="H13" s="269">
        <v>3.56E-2</v>
      </c>
      <c r="I13" s="269" t="s">
        <v>64</v>
      </c>
      <c r="J13" s="266">
        <v>5.8</v>
      </c>
      <c r="K13" s="267">
        <v>1</v>
      </c>
      <c r="L13" s="267"/>
      <c r="M13" s="272" t="s">
        <v>79</v>
      </c>
    </row>
    <row r="14" spans="1:14" s="250" customFormat="1" ht="18.75" customHeight="1">
      <c r="A14" s="273" t="s">
        <v>80</v>
      </c>
      <c r="B14" s="274">
        <v>69</v>
      </c>
      <c r="C14" s="261">
        <v>4</v>
      </c>
      <c r="D14" s="262" t="s">
        <v>64</v>
      </c>
      <c r="E14" s="262" t="s">
        <v>64</v>
      </c>
      <c r="F14" s="262" t="s">
        <v>64</v>
      </c>
      <c r="G14" s="262" t="s">
        <v>64</v>
      </c>
      <c r="H14" s="269">
        <v>1.0999999999999999E-2</v>
      </c>
      <c r="I14" s="269" t="s">
        <v>64</v>
      </c>
      <c r="J14" s="263" t="s">
        <v>64</v>
      </c>
      <c r="K14" s="267">
        <v>0.75</v>
      </c>
      <c r="L14" s="267"/>
      <c r="M14" s="275" t="s">
        <v>81</v>
      </c>
      <c r="N14" s="276"/>
    </row>
    <row r="15" spans="1:14" ht="29.25" customHeight="1">
      <c r="A15" s="259" t="s">
        <v>82</v>
      </c>
      <c r="B15" s="261">
        <v>48.7</v>
      </c>
      <c r="C15" s="261">
        <v>2.7</v>
      </c>
      <c r="D15" s="262">
        <v>0.61599999999999999</v>
      </c>
      <c r="E15" s="262">
        <v>0.11</v>
      </c>
      <c r="F15" s="262">
        <v>0.22</v>
      </c>
      <c r="G15" s="277">
        <v>1.1100000000000001</v>
      </c>
      <c r="H15" s="262" t="s">
        <v>64</v>
      </c>
      <c r="I15" s="269" t="s">
        <v>64</v>
      </c>
      <c r="J15" s="266" t="s">
        <v>64</v>
      </c>
      <c r="K15" s="269" t="s">
        <v>64</v>
      </c>
      <c r="L15" s="269"/>
      <c r="M15" s="264" t="s">
        <v>83</v>
      </c>
    </row>
    <row r="16" spans="1:14" ht="30" customHeight="1">
      <c r="A16" s="259" t="s">
        <v>84</v>
      </c>
      <c r="B16" s="261">
        <v>40.9</v>
      </c>
      <c r="C16" s="261">
        <v>4.7</v>
      </c>
      <c r="D16" s="262">
        <v>0.623</v>
      </c>
      <c r="E16" s="278">
        <v>0.19</v>
      </c>
      <c r="F16" s="278">
        <v>0.04</v>
      </c>
      <c r="G16" s="277">
        <v>0.85</v>
      </c>
      <c r="H16" s="278" t="s">
        <v>64</v>
      </c>
      <c r="I16" s="269" t="s">
        <v>64</v>
      </c>
      <c r="J16" s="269" t="s">
        <v>64</v>
      </c>
      <c r="K16" s="269" t="s">
        <v>64</v>
      </c>
      <c r="L16" s="269"/>
      <c r="M16" s="264" t="s">
        <v>85</v>
      </c>
    </row>
    <row r="17" spans="1:15" ht="22.5">
      <c r="A17" s="259" t="s">
        <v>86</v>
      </c>
      <c r="B17" s="261">
        <v>52</v>
      </c>
      <c r="C17" s="261">
        <v>3.4</v>
      </c>
      <c r="D17" s="262">
        <v>0.7</v>
      </c>
      <c r="E17" s="269" t="s">
        <v>64</v>
      </c>
      <c r="F17" s="269" t="s">
        <v>64</v>
      </c>
      <c r="G17" s="262" t="s">
        <v>64</v>
      </c>
      <c r="H17" s="269" t="s">
        <v>64</v>
      </c>
      <c r="I17" s="269" t="s">
        <v>64</v>
      </c>
      <c r="J17" s="269" t="s">
        <v>64</v>
      </c>
      <c r="K17" s="269" t="s">
        <v>64</v>
      </c>
      <c r="L17" s="269"/>
      <c r="M17" s="264" t="s">
        <v>87</v>
      </c>
    </row>
    <row r="18" spans="1:15">
      <c r="A18" s="279" t="s">
        <v>88</v>
      </c>
      <c r="B18" s="280">
        <f t="shared" ref="B18:K18" si="0">AVERAGE(B6:B17)</f>
        <v>51.981818181818177</v>
      </c>
      <c r="C18" s="280">
        <f t="shared" si="0"/>
        <v>3.218</v>
      </c>
      <c r="D18" s="281">
        <f t="shared" si="0"/>
        <v>0.74490000000000001</v>
      </c>
      <c r="E18" s="281">
        <f t="shared" si="0"/>
        <v>0.12166666666666666</v>
      </c>
      <c r="F18" s="281">
        <f t="shared" si="0"/>
        <v>0.15333333333333332</v>
      </c>
      <c r="G18" s="282">
        <f t="shared" si="0"/>
        <v>1.0316666666666667</v>
      </c>
      <c r="H18" s="283">
        <f t="shared" si="0"/>
        <v>2.64E-2</v>
      </c>
      <c r="I18" s="283">
        <f t="shared" si="0"/>
        <v>3.8E-3</v>
      </c>
      <c r="J18" s="280">
        <f t="shared" si="0"/>
        <v>6.4333333333333336</v>
      </c>
      <c r="K18" s="281">
        <f t="shared" si="0"/>
        <v>0.91666666666666663</v>
      </c>
      <c r="L18" s="281"/>
      <c r="M18" s="284"/>
      <c r="O18" s="285"/>
    </row>
    <row r="19" spans="1:15">
      <c r="B19" s="287"/>
      <c r="C19" s="287"/>
      <c r="D19" s="287"/>
      <c r="E19" s="287"/>
      <c r="F19" s="287"/>
      <c r="G19" s="287"/>
      <c r="H19" s="287"/>
      <c r="I19" s="287"/>
      <c r="J19" s="287"/>
      <c r="K19" s="287"/>
      <c r="L19" s="287"/>
    </row>
    <row r="20" spans="1:15" s="297" customFormat="1" ht="22.5">
      <c r="A20" s="288" t="s">
        <v>89</v>
      </c>
      <c r="B20" s="289">
        <f>B13</f>
        <v>44.2</v>
      </c>
      <c r="C20" s="290">
        <v>2.7</v>
      </c>
      <c r="D20" s="291">
        <v>0.73</v>
      </c>
      <c r="E20" s="291">
        <v>0.2</v>
      </c>
      <c r="F20" s="292">
        <v>0.3</v>
      </c>
      <c r="G20" s="293">
        <v>1.1000000000000001</v>
      </c>
      <c r="H20" s="294">
        <f>H18</f>
        <v>2.64E-2</v>
      </c>
      <c r="I20" s="290" t="s">
        <v>90</v>
      </c>
      <c r="J20" s="289">
        <v>6</v>
      </c>
      <c r="K20" s="292">
        <v>1</v>
      </c>
      <c r="L20" s="292"/>
      <c r="M20" s="295" t="s">
        <v>91</v>
      </c>
      <c r="N20" s="296"/>
    </row>
    <row r="21" spans="1:15" s="299" customFormat="1" ht="22.5">
      <c r="A21" s="288" t="s">
        <v>92</v>
      </c>
      <c r="B21" s="289">
        <v>101.1</v>
      </c>
      <c r="C21" s="290"/>
      <c r="D21" s="292">
        <v>0.9</v>
      </c>
      <c r="E21" s="292"/>
      <c r="F21" s="292"/>
      <c r="G21" s="292"/>
      <c r="H21" s="294">
        <v>6.1699999999999998E-2</v>
      </c>
      <c r="I21" s="290"/>
      <c r="J21" s="290">
        <v>5.4</v>
      </c>
      <c r="K21" s="292">
        <v>1</v>
      </c>
      <c r="L21" s="292"/>
      <c r="M21" s="295"/>
      <c r="N21" s="298"/>
    </row>
    <row r="22" spans="1:15" s="299" customFormat="1">
      <c r="A22" s="300"/>
      <c r="B22" s="301"/>
      <c r="C22" s="302"/>
      <c r="D22" s="302"/>
      <c r="E22" s="303"/>
      <c r="F22" s="303"/>
      <c r="G22" s="303"/>
      <c r="H22" s="303"/>
      <c r="I22" s="302"/>
      <c r="J22" s="302"/>
      <c r="K22" s="303"/>
      <c r="L22" s="303"/>
      <c r="M22" s="246"/>
      <c r="N22" s="298"/>
    </row>
    <row r="23" spans="1:15" s="299" customFormat="1" ht="22.5">
      <c r="A23" s="304" t="s">
        <v>93</v>
      </c>
      <c r="B23" s="305">
        <v>60.4</v>
      </c>
      <c r="C23" s="306">
        <v>3</v>
      </c>
      <c r="D23" s="307">
        <v>1</v>
      </c>
      <c r="E23" s="307">
        <v>0</v>
      </c>
      <c r="F23" s="307">
        <v>0</v>
      </c>
      <c r="G23" s="308">
        <v>1</v>
      </c>
      <c r="H23" s="309">
        <f>(0.047+0.067+0.052)/3</f>
        <v>5.5333333333333339E-2</v>
      </c>
      <c r="I23" s="306"/>
      <c r="J23" s="305">
        <f>(8000/3)/365</f>
        <v>7.3059360730593603</v>
      </c>
      <c r="K23" s="307">
        <v>0.01</v>
      </c>
      <c r="L23" s="307"/>
      <c r="M23" s="310"/>
      <c r="N23" s="298"/>
    </row>
    <row r="24" spans="1:15" s="299" customFormat="1">
      <c r="A24" s="300"/>
      <c r="B24" s="301"/>
      <c r="C24" s="302"/>
      <c r="D24" s="302"/>
      <c r="E24" s="303"/>
      <c r="F24" s="303"/>
      <c r="G24" s="303"/>
      <c r="H24" s="303"/>
      <c r="I24" s="302"/>
      <c r="J24" s="302"/>
      <c r="K24" s="303"/>
      <c r="L24" s="303"/>
      <c r="M24" s="246"/>
      <c r="N24" s="298"/>
    </row>
    <row r="25" spans="1:15" s="299" customFormat="1">
      <c r="A25" s="300"/>
      <c r="B25" s="301"/>
      <c r="C25" s="302"/>
      <c r="D25" s="302"/>
      <c r="E25" s="303"/>
      <c r="F25" s="303"/>
      <c r="G25" s="303"/>
      <c r="H25" s="303"/>
      <c r="I25" s="302"/>
      <c r="J25" s="302"/>
      <c r="K25" s="303"/>
      <c r="L25" s="303"/>
      <c r="M25" s="246"/>
      <c r="N25" s="298"/>
    </row>
    <row r="26" spans="1:15" s="299" customFormat="1" ht="22.5" hidden="1">
      <c r="A26" s="311" t="s">
        <v>94</v>
      </c>
      <c r="B26" s="301" t="s">
        <v>95</v>
      </c>
      <c r="C26" s="302"/>
      <c r="D26" s="302"/>
      <c r="E26" s="303"/>
      <c r="F26" s="303"/>
      <c r="G26" s="303" t="s">
        <v>386</v>
      </c>
      <c r="H26" s="303"/>
      <c r="I26" s="302"/>
      <c r="J26" s="302"/>
      <c r="K26" s="303"/>
      <c r="L26" s="303"/>
      <c r="M26" s="246"/>
      <c r="N26" s="298"/>
    </row>
    <row r="27" spans="1:15" s="299" customFormat="1" ht="22.5" hidden="1">
      <c r="A27" s="311" t="s">
        <v>96</v>
      </c>
      <c r="B27" s="301" t="s">
        <v>95</v>
      </c>
      <c r="C27" s="302"/>
      <c r="D27" s="302"/>
      <c r="E27" s="303"/>
      <c r="F27" s="303"/>
      <c r="G27" s="303"/>
      <c r="H27" s="303"/>
      <c r="I27" s="302"/>
      <c r="J27" s="302"/>
      <c r="K27" s="303"/>
      <c r="L27" s="303"/>
      <c r="M27" s="246"/>
      <c r="N27" s="298"/>
    </row>
    <row r="28" spans="1:15" s="299" customFormat="1">
      <c r="A28" s="300"/>
      <c r="B28" s="301"/>
      <c r="C28" s="302"/>
      <c r="D28" s="302"/>
      <c r="E28" s="303"/>
      <c r="F28" s="303"/>
      <c r="G28" s="303"/>
      <c r="H28" s="303"/>
      <c r="I28" s="302"/>
      <c r="J28" s="302"/>
      <c r="K28" s="303"/>
      <c r="L28" s="303"/>
      <c r="M28" s="246"/>
      <c r="N28" s="298"/>
    </row>
    <row r="29" spans="1:15" s="299" customFormat="1">
      <c r="A29" s="300"/>
      <c r="B29" s="301"/>
      <c r="C29" s="302"/>
      <c r="D29" s="302"/>
      <c r="E29" s="303"/>
      <c r="F29" s="303"/>
      <c r="G29" s="303"/>
      <c r="H29" s="303"/>
      <c r="I29" s="302"/>
      <c r="J29" s="302"/>
      <c r="K29" s="303"/>
      <c r="L29" s="303"/>
      <c r="M29" s="246"/>
      <c r="N29" s="298"/>
    </row>
    <row r="30" spans="1:15" s="299" customFormat="1">
      <c r="A30" s="300"/>
      <c r="B30" s="301"/>
      <c r="C30" s="302"/>
      <c r="D30" s="302"/>
      <c r="E30" s="303"/>
      <c r="F30" s="303"/>
      <c r="G30" s="303"/>
      <c r="H30" s="303"/>
      <c r="I30" s="302"/>
      <c r="J30" s="302"/>
      <c r="K30" s="303"/>
      <c r="L30" s="303"/>
      <c r="M30" s="246"/>
      <c r="N30" s="298"/>
    </row>
    <row r="31" spans="1:15" s="299" customFormat="1">
      <c r="A31" s="300"/>
      <c r="B31" s="301"/>
      <c r="C31" s="302"/>
      <c r="D31" s="302"/>
      <c r="E31" s="303"/>
      <c r="F31" s="303"/>
      <c r="G31" s="303"/>
      <c r="H31" s="303"/>
      <c r="I31" s="302"/>
      <c r="J31" s="302"/>
      <c r="K31" s="303"/>
      <c r="L31" s="303"/>
      <c r="M31" s="246"/>
      <c r="N31" s="298"/>
    </row>
    <row r="32" spans="1:15">
      <c r="A32" s="312" t="s">
        <v>97</v>
      </c>
      <c r="B32" s="313"/>
      <c r="C32" s="314"/>
      <c r="D32" s="314"/>
      <c r="E32" s="314"/>
      <c r="F32" s="314"/>
      <c r="G32" s="314"/>
      <c r="H32" s="314"/>
      <c r="I32" s="314"/>
      <c r="J32" s="314"/>
      <c r="K32" s="314"/>
      <c r="L32" s="314"/>
      <c r="M32" s="315"/>
    </row>
    <row r="34" spans="1:18" s="252" customFormat="1" ht="18">
      <c r="A34" s="316" t="s">
        <v>66</v>
      </c>
      <c r="B34" s="247" t="s">
        <v>98</v>
      </c>
      <c r="C34" s="244"/>
      <c r="D34" s="244"/>
      <c r="E34" s="244"/>
      <c r="F34" s="244"/>
      <c r="G34" s="499" t="s">
        <v>99</v>
      </c>
      <c r="H34" s="499"/>
      <c r="I34" s="244"/>
      <c r="J34" s="496" t="s">
        <v>100</v>
      </c>
      <c r="K34" s="500"/>
      <c r="L34" s="245"/>
      <c r="M34" s="317"/>
      <c r="N34" s="317"/>
      <c r="O34" s="318"/>
    </row>
    <row r="35" spans="1:18" s="252" customFormat="1">
      <c r="A35" s="319"/>
      <c r="B35" s="320" t="s">
        <v>101</v>
      </c>
      <c r="C35" s="317"/>
      <c r="D35" s="320" t="s">
        <v>102</v>
      </c>
      <c r="E35" s="317"/>
      <c r="F35" s="317"/>
      <c r="G35" s="501" t="s">
        <v>103</v>
      </c>
      <c r="H35" s="501"/>
      <c r="I35" s="317"/>
      <c r="J35" s="317" t="s">
        <v>104</v>
      </c>
      <c r="K35" s="321"/>
      <c r="L35" s="317"/>
      <c r="M35" s="317"/>
      <c r="N35" s="317"/>
      <c r="O35" s="318"/>
    </row>
    <row r="36" spans="1:18" s="252" customFormat="1">
      <c r="A36" s="319"/>
      <c r="B36" s="320" t="s">
        <v>105</v>
      </c>
      <c r="C36" s="317"/>
      <c r="D36" s="320" t="s">
        <v>106</v>
      </c>
      <c r="E36" s="317"/>
      <c r="F36" s="317"/>
      <c r="G36" s="501"/>
      <c r="H36" s="501"/>
      <c r="I36" s="317"/>
      <c r="J36" s="317" t="s">
        <v>107</v>
      </c>
      <c r="K36" s="321">
        <f>AVERAGE(5, 7, 8)</f>
        <v>6.666666666666667</v>
      </c>
      <c r="L36" s="317"/>
      <c r="M36" s="317"/>
      <c r="N36" s="317"/>
      <c r="O36" s="318"/>
    </row>
    <row r="37" spans="1:18" s="252" customFormat="1">
      <c r="A37" s="322"/>
      <c r="B37" s="320" t="s">
        <v>108</v>
      </c>
      <c r="C37" s="317"/>
      <c r="D37" s="320" t="s">
        <v>109</v>
      </c>
      <c r="E37" s="317"/>
      <c r="F37" s="317"/>
      <c r="G37" s="317"/>
      <c r="H37" s="317"/>
      <c r="I37" s="317"/>
      <c r="J37" s="317"/>
      <c r="K37" s="321"/>
      <c r="L37" s="317"/>
      <c r="M37" s="317"/>
      <c r="N37" s="317"/>
      <c r="O37" s="318"/>
    </row>
    <row r="38" spans="1:18" s="252" customFormat="1">
      <c r="A38" s="322"/>
      <c r="B38" s="320" t="s">
        <v>110</v>
      </c>
      <c r="C38" s="317"/>
      <c r="D38" s="320" t="s">
        <v>111</v>
      </c>
      <c r="E38" s="317"/>
      <c r="F38" s="317"/>
      <c r="G38" s="317"/>
      <c r="H38" s="317"/>
      <c r="I38" s="317"/>
      <c r="J38" s="317"/>
      <c r="K38" s="323"/>
      <c r="L38" s="318"/>
      <c r="M38" s="324"/>
      <c r="N38" s="324"/>
      <c r="O38" s="324"/>
    </row>
    <row r="39" spans="1:18" s="252" customFormat="1">
      <c r="A39" s="322"/>
      <c r="B39" s="320" t="s">
        <v>112</v>
      </c>
      <c r="C39" s="317"/>
      <c r="D39" s="320" t="s">
        <v>113</v>
      </c>
      <c r="E39" s="317"/>
      <c r="F39" s="317"/>
      <c r="G39" s="317"/>
      <c r="H39" s="317"/>
      <c r="I39" s="317"/>
      <c r="J39" s="317"/>
      <c r="K39" s="323"/>
      <c r="L39" s="318"/>
      <c r="M39" s="324"/>
      <c r="N39" s="324"/>
      <c r="O39" s="324"/>
    </row>
    <row r="40" spans="1:18" s="252" customFormat="1">
      <c r="A40" s="322"/>
      <c r="B40" s="320" t="s">
        <v>114</v>
      </c>
      <c r="C40" s="317"/>
      <c r="D40" s="320" t="s">
        <v>115</v>
      </c>
      <c r="E40" s="317"/>
      <c r="F40" s="317"/>
      <c r="G40" s="317"/>
      <c r="H40" s="317"/>
      <c r="I40" s="317"/>
      <c r="J40" s="317"/>
      <c r="K40" s="323"/>
      <c r="L40" s="318"/>
      <c r="M40" s="324"/>
      <c r="N40" s="324"/>
      <c r="O40" s="324"/>
    </row>
    <row r="41" spans="1:18" s="252" customFormat="1">
      <c r="A41" s="322"/>
      <c r="B41" s="320" t="s">
        <v>116</v>
      </c>
      <c r="C41" s="317"/>
      <c r="D41" s="320" t="s">
        <v>117</v>
      </c>
      <c r="E41" s="317"/>
      <c r="F41" s="317"/>
      <c r="G41" s="317"/>
      <c r="H41" s="317"/>
      <c r="I41" s="317"/>
      <c r="J41" s="317"/>
      <c r="K41" s="323"/>
      <c r="L41" s="318"/>
      <c r="M41" s="324"/>
      <c r="N41" s="324"/>
      <c r="O41" s="324"/>
    </row>
    <row r="42" spans="1:18" s="252" customFormat="1">
      <c r="A42" s="322"/>
      <c r="B42" s="320" t="s">
        <v>118</v>
      </c>
      <c r="C42" s="317"/>
      <c r="D42" s="320" t="s">
        <v>119</v>
      </c>
      <c r="E42" s="317"/>
      <c r="F42" s="317"/>
      <c r="G42" s="317"/>
      <c r="H42" s="317"/>
      <c r="I42" s="317"/>
      <c r="J42" s="317"/>
      <c r="K42" s="323"/>
      <c r="L42" s="318"/>
      <c r="M42" s="324"/>
      <c r="N42" s="324"/>
      <c r="O42" s="324"/>
    </row>
    <row r="43" spans="1:18" s="252" customFormat="1">
      <c r="A43" s="322"/>
      <c r="B43" s="320" t="s">
        <v>120</v>
      </c>
      <c r="C43" s="317"/>
      <c r="D43" s="320" t="s">
        <v>121</v>
      </c>
      <c r="E43" s="317"/>
      <c r="F43" s="317"/>
      <c r="G43" s="317"/>
      <c r="H43" s="317"/>
      <c r="I43" s="317"/>
      <c r="J43" s="317"/>
      <c r="K43" s="323"/>
      <c r="L43" s="318"/>
      <c r="M43" s="324"/>
      <c r="N43" s="324"/>
      <c r="O43" s="324"/>
    </row>
    <row r="44" spans="1:18" s="252" customFormat="1">
      <c r="A44" s="322"/>
      <c r="B44" s="320" t="s">
        <v>122</v>
      </c>
      <c r="C44" s="317"/>
      <c r="D44" s="320" t="s">
        <v>123</v>
      </c>
      <c r="E44" s="317"/>
      <c r="F44" s="317"/>
      <c r="G44" s="317"/>
      <c r="H44" s="317"/>
      <c r="I44" s="317"/>
      <c r="J44" s="317"/>
      <c r="K44" s="323"/>
      <c r="L44" s="318"/>
      <c r="M44" s="324"/>
      <c r="N44" s="324"/>
      <c r="O44" s="324"/>
    </row>
    <row r="45" spans="1:18" s="252" customFormat="1">
      <c r="A45" s="325"/>
      <c r="B45" s="326" t="s">
        <v>124</v>
      </c>
      <c r="C45" s="327"/>
      <c r="D45" s="327"/>
      <c r="E45" s="327"/>
      <c r="F45" s="327"/>
      <c r="G45" s="327"/>
      <c r="H45" s="327"/>
      <c r="I45" s="327"/>
      <c r="J45" s="327"/>
      <c r="K45" s="328"/>
      <c r="L45" s="318"/>
      <c r="M45" s="324"/>
      <c r="N45" s="324"/>
      <c r="O45" s="324"/>
    </row>
    <row r="46" spans="1:18" s="252" customFormat="1">
      <c r="A46" s="329"/>
      <c r="B46" s="330"/>
      <c r="C46" s="331"/>
      <c r="D46" s="331"/>
      <c r="E46" s="331"/>
      <c r="F46" s="331"/>
      <c r="G46" s="331"/>
      <c r="H46" s="331"/>
      <c r="I46" s="331"/>
      <c r="J46" s="331"/>
      <c r="K46" s="331"/>
      <c r="L46" s="331"/>
      <c r="M46" s="331"/>
      <c r="N46" s="331"/>
      <c r="O46" s="332"/>
    </row>
    <row r="47" spans="1:18" s="252" customFormat="1" ht="18">
      <c r="A47" s="316" t="s">
        <v>125</v>
      </c>
      <c r="B47" s="494" t="s">
        <v>126</v>
      </c>
      <c r="C47" s="495"/>
      <c r="D47" s="244"/>
      <c r="E47" s="244" t="s">
        <v>127</v>
      </c>
      <c r="F47" s="244"/>
      <c r="G47" s="244"/>
      <c r="H47" s="247" t="s">
        <v>128</v>
      </c>
      <c r="I47" s="244"/>
      <c r="J47" s="244" t="s">
        <v>129</v>
      </c>
      <c r="K47" s="244"/>
      <c r="L47" s="244"/>
      <c r="M47" s="496" t="s">
        <v>100</v>
      </c>
      <c r="N47" s="497"/>
      <c r="O47" s="333"/>
      <c r="P47" s="87"/>
      <c r="Q47" s="87"/>
      <c r="R47" s="87"/>
    </row>
    <row r="48" spans="1:18" s="252" customFormat="1" ht="18">
      <c r="A48" s="322"/>
      <c r="B48" s="320" t="s">
        <v>130</v>
      </c>
      <c r="C48" s="317"/>
      <c r="D48" s="317"/>
      <c r="E48" s="317" t="s">
        <v>131</v>
      </c>
      <c r="F48" s="317"/>
      <c r="G48" s="317"/>
      <c r="H48" s="245" t="s">
        <v>132</v>
      </c>
      <c r="I48" s="317"/>
      <c r="J48" s="317" t="s">
        <v>133</v>
      </c>
      <c r="K48" s="317"/>
      <c r="L48" s="317"/>
      <c r="M48" s="317" t="s">
        <v>134</v>
      </c>
      <c r="N48" s="334"/>
      <c r="O48" s="333"/>
      <c r="P48" s="87"/>
      <c r="Q48" s="87"/>
      <c r="R48" s="87"/>
    </row>
    <row r="49" spans="1:19" s="252" customFormat="1">
      <c r="A49" s="325"/>
      <c r="B49" s="326" t="s">
        <v>135</v>
      </c>
      <c r="C49" s="327"/>
      <c r="D49" s="327"/>
      <c r="E49" s="327" t="s">
        <v>136</v>
      </c>
      <c r="F49" s="327"/>
      <c r="G49" s="327"/>
      <c r="H49" s="327"/>
      <c r="I49" s="327"/>
      <c r="J49" s="327"/>
      <c r="K49" s="327"/>
      <c r="L49" s="327"/>
      <c r="M49" s="335" t="s">
        <v>107</v>
      </c>
      <c r="N49" s="336">
        <f>AVERAGE(5.1, 6.8, 8.6)</f>
        <v>6.833333333333333</v>
      </c>
      <c r="O49" s="333"/>
      <c r="P49" s="87"/>
      <c r="Q49" s="87"/>
      <c r="R49" s="87"/>
    </row>
    <row r="50" spans="1:19" s="252" customFormat="1">
      <c r="A50" s="245"/>
      <c r="B50" s="320"/>
      <c r="C50" s="317"/>
      <c r="D50" s="317"/>
      <c r="E50" s="317"/>
      <c r="F50" s="317"/>
      <c r="G50" s="317"/>
      <c r="H50" s="317"/>
      <c r="I50" s="317"/>
      <c r="J50" s="317"/>
      <c r="K50" s="317"/>
      <c r="L50" s="317"/>
      <c r="M50" s="317"/>
      <c r="N50" s="324"/>
      <c r="O50" s="324"/>
      <c r="P50" s="87"/>
      <c r="Q50" s="87"/>
      <c r="R50" s="87"/>
      <c r="S50" s="87"/>
    </row>
    <row r="51" spans="1:19" s="252" customFormat="1" ht="18">
      <c r="A51" s="316" t="s">
        <v>74</v>
      </c>
      <c r="B51" s="243" t="s">
        <v>98</v>
      </c>
      <c r="C51" s="244"/>
      <c r="D51" s="244"/>
      <c r="E51" s="244"/>
      <c r="F51" s="244"/>
      <c r="G51" s="244"/>
      <c r="H51" s="337"/>
      <c r="I51" s="317"/>
      <c r="J51" s="317"/>
      <c r="K51" s="317"/>
      <c r="L51" s="317"/>
      <c r="M51" s="317"/>
      <c r="N51" s="324"/>
      <c r="O51" s="324"/>
      <c r="P51" s="87"/>
      <c r="Q51" s="87"/>
      <c r="R51" s="87"/>
      <c r="S51" s="87"/>
    </row>
    <row r="52" spans="1:19" s="252" customFormat="1" ht="18">
      <c r="A52" s="319"/>
      <c r="B52" s="245" t="s">
        <v>205</v>
      </c>
      <c r="C52" s="245"/>
      <c r="D52" s="245" t="s">
        <v>206</v>
      </c>
      <c r="E52" s="317"/>
      <c r="F52" s="245" t="s">
        <v>207</v>
      </c>
      <c r="G52" s="317"/>
      <c r="H52" s="338" t="s">
        <v>208</v>
      </c>
      <c r="I52" s="339"/>
      <c r="J52" s="339"/>
      <c r="K52" s="339"/>
      <c r="L52" s="339"/>
      <c r="M52" s="339"/>
      <c r="N52" s="339"/>
      <c r="O52" s="339"/>
      <c r="P52" s="340"/>
    </row>
    <row r="53" spans="1:19" s="252" customFormat="1" ht="18">
      <c r="A53" s="319"/>
      <c r="B53" s="245" t="s">
        <v>209</v>
      </c>
      <c r="C53" s="245"/>
      <c r="D53" s="245" t="s">
        <v>210</v>
      </c>
      <c r="E53" s="317"/>
      <c r="F53" s="245" t="s">
        <v>211</v>
      </c>
      <c r="G53" s="317"/>
      <c r="H53" s="338" t="s">
        <v>212</v>
      </c>
      <c r="I53" s="339"/>
      <c r="J53" s="339"/>
      <c r="K53" s="339"/>
      <c r="L53" s="339"/>
      <c r="M53" s="339"/>
      <c r="N53" s="339"/>
      <c r="O53" s="339"/>
      <c r="P53" s="339"/>
      <c r="Q53" s="340"/>
    </row>
    <row r="54" spans="1:19" s="252" customFormat="1" ht="18">
      <c r="A54" s="319"/>
      <c r="B54" s="245" t="s">
        <v>213</v>
      </c>
      <c r="C54" s="245"/>
      <c r="D54" s="245" t="s">
        <v>214</v>
      </c>
      <c r="E54" s="317"/>
      <c r="F54" s="245" t="s">
        <v>215</v>
      </c>
      <c r="G54" s="317"/>
      <c r="H54" s="338" t="s">
        <v>216</v>
      </c>
      <c r="I54" s="339"/>
      <c r="J54" s="339"/>
      <c r="K54" s="339"/>
      <c r="L54" s="339"/>
      <c r="M54" s="339"/>
      <c r="N54" s="339"/>
      <c r="O54" s="339"/>
      <c r="P54" s="339"/>
      <c r="Q54" s="340"/>
    </row>
    <row r="55" spans="1:19" s="252" customFormat="1" ht="18">
      <c r="A55" s="319"/>
      <c r="B55" s="245" t="s">
        <v>217</v>
      </c>
      <c r="C55" s="245"/>
      <c r="D55" s="245" t="s">
        <v>218</v>
      </c>
      <c r="E55" s="317"/>
      <c r="F55" s="245" t="s">
        <v>219</v>
      </c>
      <c r="G55" s="317"/>
      <c r="H55" s="321" t="s">
        <v>137</v>
      </c>
      <c r="I55" s="339"/>
      <c r="J55" s="339"/>
      <c r="K55" s="339"/>
      <c r="L55" s="339"/>
      <c r="M55" s="339"/>
      <c r="N55" s="339"/>
      <c r="O55" s="339"/>
      <c r="P55" s="339"/>
      <c r="Q55" s="340"/>
    </row>
    <row r="56" spans="1:19" s="252" customFormat="1" ht="18">
      <c r="A56" s="319"/>
      <c r="B56" s="245" t="s">
        <v>220</v>
      </c>
      <c r="C56" s="245"/>
      <c r="D56" s="245" t="s">
        <v>221</v>
      </c>
      <c r="E56" s="317"/>
      <c r="F56" s="245" t="s">
        <v>222</v>
      </c>
      <c r="G56" s="317"/>
      <c r="H56" s="321">
        <f>AVERAGE(25, 23, 22, 21, 37, 36, 35, 34, 45, 44, 44, 43, 42, 53, 52, 51, 58, 57, 56, 56, 86)</f>
        <v>43.80952380952381</v>
      </c>
      <c r="I56" s="339"/>
      <c r="J56" s="339"/>
      <c r="K56" s="339"/>
      <c r="L56" s="339"/>
      <c r="M56" s="339"/>
      <c r="N56" s="339"/>
      <c r="O56" s="339"/>
      <c r="P56" s="339"/>
      <c r="Q56" s="340"/>
    </row>
    <row r="57" spans="1:19" s="252" customFormat="1" ht="18">
      <c r="A57" s="319"/>
      <c r="B57" s="324"/>
      <c r="C57" s="324"/>
      <c r="D57" s="245" t="s">
        <v>223</v>
      </c>
      <c r="E57" s="317"/>
      <c r="F57" s="245" t="s">
        <v>224</v>
      </c>
      <c r="G57" s="317"/>
      <c r="H57" s="321"/>
      <c r="I57" s="339"/>
      <c r="J57" s="339"/>
      <c r="K57" s="339"/>
      <c r="L57" s="339"/>
      <c r="M57" s="339"/>
      <c r="N57" s="339"/>
      <c r="O57" s="339"/>
      <c r="P57" s="339"/>
      <c r="Q57" s="340"/>
    </row>
    <row r="58" spans="1:19" s="252" customFormat="1" ht="18">
      <c r="A58" s="341"/>
      <c r="B58" s="335"/>
      <c r="C58" s="335"/>
      <c r="D58" s="342" t="s">
        <v>225</v>
      </c>
      <c r="E58" s="327"/>
      <c r="F58" s="342" t="s">
        <v>226</v>
      </c>
      <c r="G58" s="327"/>
      <c r="H58" s="343"/>
      <c r="I58" s="339"/>
      <c r="J58" s="339"/>
      <c r="K58" s="339"/>
      <c r="L58" s="339"/>
      <c r="M58" s="339"/>
      <c r="N58" s="339"/>
      <c r="O58" s="339"/>
      <c r="P58" s="339"/>
      <c r="Q58" s="340"/>
    </row>
    <row r="59" spans="1:19" s="252" customFormat="1">
      <c r="A59" s="329"/>
      <c r="B59" s="330"/>
      <c r="C59" s="331"/>
      <c r="D59" s="331"/>
      <c r="E59" s="331"/>
      <c r="F59" s="331"/>
      <c r="G59" s="331"/>
      <c r="H59" s="331"/>
      <c r="I59" s="331"/>
      <c r="J59" s="331"/>
      <c r="K59" s="331"/>
      <c r="L59" s="331"/>
      <c r="M59" s="331"/>
      <c r="N59" s="331"/>
      <c r="O59" s="332"/>
    </row>
    <row r="60" spans="1:19" s="252" customFormat="1">
      <c r="A60" s="316" t="s">
        <v>78</v>
      </c>
      <c r="B60" s="243" t="s">
        <v>138</v>
      </c>
      <c r="C60" s="244"/>
      <c r="D60" s="244"/>
      <c r="E60" s="244"/>
      <c r="F60" s="344" t="s">
        <v>100</v>
      </c>
      <c r="G60" s="244"/>
      <c r="H60" s="244"/>
      <c r="I60" s="244"/>
      <c r="J60" s="244"/>
      <c r="K60" s="337"/>
      <c r="L60" s="317"/>
      <c r="M60" s="331"/>
      <c r="N60" s="331"/>
      <c r="O60" s="332"/>
    </row>
    <row r="61" spans="1:19" s="252" customFormat="1">
      <c r="A61" s="322"/>
      <c r="B61" s="320" t="s">
        <v>139</v>
      </c>
      <c r="C61" s="317"/>
      <c r="D61" s="317"/>
      <c r="E61" s="317"/>
      <c r="F61" s="317" t="s">
        <v>140</v>
      </c>
      <c r="G61" s="317"/>
      <c r="H61" s="317"/>
      <c r="I61" s="317"/>
      <c r="J61" s="317"/>
      <c r="K61" s="321"/>
      <c r="L61" s="317"/>
      <c r="M61" s="331"/>
      <c r="N61" s="331"/>
      <c r="O61" s="332"/>
    </row>
    <row r="62" spans="1:19" s="252" customFormat="1">
      <c r="A62" s="322"/>
      <c r="B62" s="320" t="s">
        <v>141</v>
      </c>
      <c r="C62" s="317"/>
      <c r="D62" s="317"/>
      <c r="E62" s="317"/>
      <c r="F62" s="317" t="s">
        <v>107</v>
      </c>
      <c r="G62" s="317">
        <f>AVERAGE(6.5, 6.3, 4.6)</f>
        <v>5.8</v>
      </c>
      <c r="H62" s="317"/>
      <c r="I62" s="317"/>
      <c r="J62" s="317"/>
      <c r="K62" s="321"/>
      <c r="L62" s="317"/>
      <c r="M62" s="331"/>
      <c r="N62" s="331"/>
      <c r="O62" s="332"/>
    </row>
    <row r="63" spans="1:19" s="252" customFormat="1">
      <c r="A63" s="322"/>
      <c r="B63" s="320" t="s">
        <v>142</v>
      </c>
      <c r="C63" s="317"/>
      <c r="D63" s="317"/>
      <c r="E63" s="317"/>
      <c r="F63" s="317"/>
      <c r="G63" s="317"/>
      <c r="H63" s="317"/>
      <c r="I63" s="317"/>
      <c r="J63" s="317"/>
      <c r="K63" s="321"/>
      <c r="L63" s="317"/>
      <c r="M63" s="331"/>
      <c r="N63" s="331"/>
      <c r="O63" s="332"/>
    </row>
    <row r="64" spans="1:19" s="252" customFormat="1">
      <c r="A64" s="325"/>
      <c r="B64" s="326" t="s">
        <v>143</v>
      </c>
      <c r="C64" s="327"/>
      <c r="D64" s="327"/>
      <c r="E64" s="327"/>
      <c r="F64" s="327"/>
      <c r="G64" s="327"/>
      <c r="H64" s="327"/>
      <c r="I64" s="327"/>
      <c r="J64" s="327"/>
      <c r="K64" s="343"/>
      <c r="L64" s="317"/>
      <c r="M64" s="331"/>
      <c r="N64" s="331"/>
      <c r="O64" s="332"/>
    </row>
    <row r="65" spans="1:15" s="252" customFormat="1">
      <c r="A65" s="329"/>
      <c r="B65" s="330"/>
      <c r="C65" s="331"/>
      <c r="D65" s="331"/>
      <c r="E65" s="331"/>
      <c r="F65" s="331"/>
      <c r="G65" s="331"/>
      <c r="H65" s="331"/>
      <c r="I65" s="331"/>
      <c r="J65" s="331"/>
      <c r="K65" s="331"/>
      <c r="L65" s="331"/>
      <c r="M65" s="331"/>
      <c r="N65" s="332"/>
    </row>
    <row r="66" spans="1:15" s="252" customFormat="1">
      <c r="A66" s="316" t="s">
        <v>144</v>
      </c>
      <c r="B66" s="243" t="s">
        <v>98</v>
      </c>
      <c r="C66" s="244"/>
      <c r="D66" s="244"/>
      <c r="E66" s="244" t="s">
        <v>145</v>
      </c>
      <c r="F66" s="244"/>
      <c r="G66" s="337"/>
    </row>
    <row r="67" spans="1:15" s="252" customFormat="1">
      <c r="A67" s="322"/>
      <c r="B67" s="320" t="s">
        <v>146</v>
      </c>
      <c r="C67" s="317"/>
      <c r="D67" s="317"/>
      <c r="E67" s="317" t="s">
        <v>147</v>
      </c>
      <c r="F67" s="317"/>
      <c r="G67" s="321"/>
    </row>
    <row r="68" spans="1:15" s="252" customFormat="1">
      <c r="A68" s="322"/>
      <c r="B68" s="320" t="s">
        <v>148</v>
      </c>
      <c r="C68" s="317"/>
      <c r="D68" s="317"/>
      <c r="E68" s="317" t="s">
        <v>149</v>
      </c>
      <c r="F68" s="317"/>
      <c r="G68" s="321"/>
    </row>
    <row r="69" spans="1:15" s="252" customFormat="1">
      <c r="A69" s="322"/>
      <c r="B69" s="320" t="s">
        <v>150</v>
      </c>
      <c r="C69" s="317"/>
      <c r="D69" s="317"/>
      <c r="E69" s="317" t="s">
        <v>151</v>
      </c>
      <c r="F69" s="317"/>
      <c r="G69" s="321"/>
    </row>
    <row r="70" spans="1:15" s="252" customFormat="1">
      <c r="A70" s="325"/>
      <c r="B70" s="326" t="s">
        <v>152</v>
      </c>
      <c r="C70" s="327"/>
      <c r="D70" s="327"/>
      <c r="E70" s="327" t="s">
        <v>153</v>
      </c>
      <c r="F70" s="327"/>
      <c r="G70" s="343"/>
    </row>
    <row r="71" spans="1:15" s="252" customFormat="1">
      <c r="A71" s="329"/>
      <c r="B71" s="330"/>
      <c r="C71" s="331"/>
      <c r="D71" s="331"/>
      <c r="E71" s="331"/>
      <c r="F71" s="331"/>
      <c r="G71" s="331"/>
    </row>
    <row r="72" spans="1:15" s="252" customFormat="1" ht="12.75" customHeight="1">
      <c r="A72" s="316" t="s">
        <v>154</v>
      </c>
      <c r="B72" s="243" t="s">
        <v>98</v>
      </c>
      <c r="C72" s="244"/>
      <c r="D72" s="244"/>
      <c r="E72" s="244" t="s">
        <v>99</v>
      </c>
      <c r="F72" s="244"/>
      <c r="G72" s="337"/>
    </row>
    <row r="73" spans="1:15" s="252" customFormat="1">
      <c r="A73" s="322"/>
      <c r="B73" s="320" t="s">
        <v>155</v>
      </c>
      <c r="C73" s="317"/>
      <c r="D73" s="317"/>
      <c r="E73" s="317" t="s">
        <v>156</v>
      </c>
      <c r="F73" s="317"/>
      <c r="G73" s="321"/>
    </row>
    <row r="74" spans="1:15" s="252" customFormat="1">
      <c r="A74" s="322"/>
      <c r="B74" s="320" t="s">
        <v>157</v>
      </c>
      <c r="C74" s="317"/>
      <c r="D74" s="317"/>
      <c r="E74" s="317" t="s">
        <v>158</v>
      </c>
      <c r="F74" s="317"/>
      <c r="G74" s="321"/>
    </row>
    <row r="75" spans="1:15" s="252" customFormat="1">
      <c r="A75" s="325"/>
      <c r="B75" s="326" t="s">
        <v>159</v>
      </c>
      <c r="C75" s="327"/>
      <c r="D75" s="327"/>
      <c r="E75" s="327" t="s">
        <v>160</v>
      </c>
      <c r="F75" s="327"/>
      <c r="G75" s="343"/>
    </row>
    <row r="76" spans="1:15" s="252" customFormat="1">
      <c r="A76" s="345"/>
      <c r="B76" s="346"/>
      <c r="C76" s="339"/>
      <c r="D76" s="339"/>
      <c r="E76" s="339"/>
      <c r="F76" s="339"/>
      <c r="G76" s="339"/>
      <c r="H76" s="339"/>
      <c r="I76" s="339"/>
      <c r="K76" s="339"/>
      <c r="L76" s="339"/>
      <c r="M76" s="339"/>
      <c r="N76" s="339"/>
      <c r="O76" s="340"/>
    </row>
    <row r="77" spans="1:15">
      <c r="A77" s="316" t="s">
        <v>161</v>
      </c>
      <c r="B77" s="243" t="s">
        <v>98</v>
      </c>
      <c r="C77" s="244"/>
      <c r="D77" s="244"/>
      <c r="E77" s="244" t="s">
        <v>99</v>
      </c>
      <c r="F77" s="244"/>
      <c r="G77" s="347"/>
    </row>
    <row r="78" spans="1:15">
      <c r="A78" s="322"/>
      <c r="B78" s="320" t="s">
        <v>162</v>
      </c>
      <c r="C78" s="317"/>
      <c r="D78" s="317"/>
      <c r="E78" s="317" t="s">
        <v>163</v>
      </c>
      <c r="F78" s="317"/>
      <c r="G78" s="348"/>
    </row>
    <row r="79" spans="1:15">
      <c r="A79" s="322"/>
      <c r="B79" s="320" t="s">
        <v>164</v>
      </c>
      <c r="C79" s="317"/>
      <c r="D79" s="317"/>
      <c r="E79" s="317" t="s">
        <v>165</v>
      </c>
      <c r="F79" s="317"/>
      <c r="G79" s="348"/>
    </row>
    <row r="80" spans="1:15">
      <c r="A80" s="322"/>
      <c r="B80" s="320" t="s">
        <v>166</v>
      </c>
      <c r="C80" s="317"/>
      <c r="D80" s="317"/>
      <c r="E80" s="317" t="s">
        <v>167</v>
      </c>
      <c r="F80" s="317"/>
      <c r="G80" s="348"/>
    </row>
    <row r="81" spans="1:13">
      <c r="A81" s="322"/>
      <c r="B81" s="320" t="s">
        <v>168</v>
      </c>
      <c r="C81" s="317"/>
      <c r="D81" s="317"/>
      <c r="E81" s="317" t="s">
        <v>169</v>
      </c>
      <c r="F81" s="317"/>
      <c r="G81" s="348"/>
    </row>
    <row r="82" spans="1:13">
      <c r="A82" s="349"/>
      <c r="B82" s="317"/>
      <c r="C82" s="317"/>
      <c r="D82" s="317"/>
      <c r="E82" s="318"/>
      <c r="F82" s="324"/>
      <c r="G82" s="348"/>
    </row>
    <row r="83" spans="1:13">
      <c r="A83" s="349"/>
      <c r="B83" s="498" t="s">
        <v>100</v>
      </c>
      <c r="C83" s="498"/>
      <c r="D83" s="498"/>
      <c r="E83" s="498"/>
      <c r="F83" s="324"/>
      <c r="G83" s="348"/>
    </row>
    <row r="84" spans="1:13">
      <c r="A84" s="349"/>
      <c r="B84" s="317" t="s">
        <v>139</v>
      </c>
      <c r="C84" s="318"/>
      <c r="D84" s="317" t="s">
        <v>142</v>
      </c>
      <c r="E84" s="324"/>
      <c r="F84" s="324" t="s">
        <v>170</v>
      </c>
      <c r="G84" s="348"/>
    </row>
    <row r="85" spans="1:13">
      <c r="A85" s="349"/>
      <c r="B85" s="317" t="s">
        <v>141</v>
      </c>
      <c r="C85" s="318"/>
      <c r="D85" s="317" t="s">
        <v>143</v>
      </c>
      <c r="E85" s="324"/>
      <c r="F85" s="324">
        <f>AVERAGE(6.85,6.39,6.16,4.57)</f>
        <v>5.9924999999999997</v>
      </c>
      <c r="G85" s="348"/>
    </row>
    <row r="86" spans="1:13">
      <c r="A86" s="350"/>
      <c r="B86" s="335"/>
      <c r="C86" s="351"/>
      <c r="D86" s="335"/>
      <c r="E86" s="335"/>
      <c r="F86" s="335"/>
      <c r="G86" s="352"/>
    </row>
    <row r="88" spans="1:13" ht="25.5">
      <c r="A88" s="353" t="s">
        <v>171</v>
      </c>
      <c r="B88" s="354" t="s">
        <v>172</v>
      </c>
      <c r="C88" s="355"/>
      <c r="D88" s="355"/>
      <c r="E88" s="355"/>
      <c r="F88" s="355"/>
      <c r="G88" s="355"/>
      <c r="H88" s="355"/>
      <c r="I88" s="355"/>
      <c r="J88" s="355"/>
      <c r="K88" s="355"/>
      <c r="L88" s="355"/>
      <c r="M88" s="356"/>
    </row>
    <row r="89" spans="1:13">
      <c r="A89" s="357"/>
      <c r="B89" s="358" t="s">
        <v>173</v>
      </c>
      <c r="C89" s="359"/>
      <c r="D89" s="359"/>
      <c r="E89" s="359"/>
      <c r="F89" s="359"/>
      <c r="G89" s="359"/>
      <c r="H89" s="359"/>
      <c r="I89" s="359"/>
      <c r="J89" s="359"/>
      <c r="K89" s="359"/>
      <c r="L89" s="359"/>
      <c r="M89" s="360"/>
    </row>
    <row r="90" spans="1:13">
      <c r="A90" s="357"/>
      <c r="B90" s="361"/>
      <c r="C90" s="359"/>
      <c r="D90" s="359"/>
      <c r="E90" s="359"/>
      <c r="F90" s="359"/>
      <c r="G90" s="359"/>
      <c r="H90" s="359"/>
      <c r="I90" s="359"/>
      <c r="J90" s="359"/>
      <c r="K90" s="359"/>
      <c r="L90" s="359"/>
      <c r="M90" s="360"/>
    </row>
    <row r="91" spans="1:13">
      <c r="A91" s="357"/>
      <c r="B91" s="358" t="s">
        <v>174</v>
      </c>
      <c r="C91" s="359"/>
      <c r="D91" s="359"/>
      <c r="E91" s="359"/>
      <c r="F91" s="359"/>
      <c r="G91" s="359"/>
      <c r="H91" s="359"/>
      <c r="I91" s="359"/>
      <c r="J91" s="359"/>
      <c r="K91" s="359"/>
      <c r="L91" s="359"/>
      <c r="M91" s="360"/>
    </row>
    <row r="92" spans="1:13">
      <c r="A92" s="357"/>
      <c r="B92" s="358" t="s">
        <v>175</v>
      </c>
      <c r="C92" s="359"/>
      <c r="D92" s="359"/>
      <c r="E92" s="359"/>
      <c r="F92" s="359"/>
      <c r="G92" s="359"/>
      <c r="H92" s="359"/>
      <c r="I92" s="359"/>
      <c r="J92" s="359"/>
      <c r="K92" s="359"/>
      <c r="L92" s="359"/>
      <c r="M92" s="360"/>
    </row>
    <row r="93" spans="1:13">
      <c r="A93" s="357"/>
      <c r="B93" s="362"/>
      <c r="C93" s="359"/>
      <c r="D93" s="359"/>
      <c r="E93" s="359"/>
      <c r="F93" s="359"/>
      <c r="G93" s="359"/>
      <c r="H93" s="359"/>
      <c r="I93" s="359"/>
      <c r="J93" s="359"/>
      <c r="K93" s="359"/>
      <c r="L93" s="359"/>
      <c r="M93" s="360"/>
    </row>
    <row r="94" spans="1:13" ht="14.25">
      <c r="A94" s="363"/>
      <c r="B94" s="364" t="s">
        <v>227</v>
      </c>
      <c r="C94" s="365"/>
      <c r="D94" s="365"/>
      <c r="E94" s="365"/>
      <c r="F94" s="365"/>
      <c r="G94" s="366">
        <f>B95*B96*B97*B98</f>
        <v>101.11331520000003</v>
      </c>
      <c r="H94" s="365"/>
      <c r="I94" s="365"/>
      <c r="J94" s="365"/>
      <c r="K94" s="365"/>
      <c r="L94" s="365"/>
      <c r="M94" s="367"/>
    </row>
    <row r="95" spans="1:13">
      <c r="A95" s="363"/>
      <c r="B95" s="12">
        <v>5.6800000000000003E-2</v>
      </c>
      <c r="C95" s="12"/>
      <c r="D95" s="365"/>
      <c r="E95" s="365"/>
      <c r="F95" s="365"/>
      <c r="G95" s="365"/>
      <c r="H95" s="365"/>
      <c r="I95" s="365"/>
      <c r="J95" s="365"/>
      <c r="K95" s="365"/>
      <c r="L95" s="365"/>
      <c r="M95" s="367"/>
    </row>
    <row r="96" spans="1:13">
      <c r="A96" s="363"/>
      <c r="B96" s="12">
        <v>1866</v>
      </c>
      <c r="C96" s="12" t="s">
        <v>176</v>
      </c>
      <c r="D96" s="365"/>
      <c r="E96" s="365"/>
      <c r="F96" s="365"/>
      <c r="G96" s="365"/>
      <c r="H96" s="365"/>
      <c r="I96" s="365"/>
      <c r="J96" s="365"/>
      <c r="K96" s="365"/>
      <c r="L96" s="365"/>
      <c r="M96" s="367"/>
    </row>
    <row r="97" spans="1:15" s="252" customFormat="1">
      <c r="A97" s="363"/>
      <c r="B97" s="12">
        <v>0.9</v>
      </c>
      <c r="C97" s="12" t="s">
        <v>177</v>
      </c>
      <c r="D97" s="365"/>
      <c r="E97" s="365"/>
      <c r="F97" s="365"/>
      <c r="G97" s="365"/>
      <c r="H97" s="365"/>
      <c r="I97" s="365"/>
      <c r="J97" s="365"/>
      <c r="K97" s="365"/>
      <c r="L97" s="365"/>
      <c r="M97" s="367"/>
    </row>
    <row r="98" spans="1:15" s="252" customFormat="1">
      <c r="A98" s="363"/>
      <c r="B98" s="12">
        <v>1.06</v>
      </c>
      <c r="C98" s="12" t="s">
        <v>178</v>
      </c>
      <c r="D98" s="365"/>
      <c r="E98" s="365"/>
      <c r="F98" s="365"/>
      <c r="G98" s="365"/>
      <c r="H98" s="365"/>
      <c r="I98" s="365"/>
      <c r="J98" s="365"/>
      <c r="K98" s="365"/>
      <c r="L98" s="365"/>
      <c r="M98" s="367"/>
    </row>
    <row r="99" spans="1:15" s="252" customFormat="1">
      <c r="A99" s="363"/>
      <c r="B99" s="12"/>
      <c r="C99" s="12"/>
      <c r="D99" s="365"/>
      <c r="E99" s="365"/>
      <c r="F99" s="365"/>
      <c r="G99" s="365"/>
      <c r="H99" s="366" t="s">
        <v>179</v>
      </c>
      <c r="I99" s="365"/>
      <c r="J99" s="365"/>
      <c r="K99" s="365"/>
      <c r="L99" s="365"/>
      <c r="M99" s="367" t="s">
        <v>180</v>
      </c>
    </row>
    <row r="100" spans="1:15" s="252" customFormat="1" ht="38.25">
      <c r="A100" s="363"/>
      <c r="B100" s="368" t="s">
        <v>181</v>
      </c>
      <c r="C100" s="368" t="s">
        <v>182</v>
      </c>
      <c r="D100" s="369" t="s">
        <v>183</v>
      </c>
      <c r="E100" s="365"/>
      <c r="F100" s="369" t="s">
        <v>184</v>
      </c>
      <c r="G100" s="365"/>
      <c r="H100" s="370" t="s">
        <v>185</v>
      </c>
      <c r="I100" s="369" t="s">
        <v>186</v>
      </c>
      <c r="J100" s="371" t="s">
        <v>137</v>
      </c>
      <c r="K100" s="87"/>
      <c r="L100" s="87"/>
      <c r="M100" s="372" t="s">
        <v>187</v>
      </c>
    </row>
    <row r="101" spans="1:15" s="252" customFormat="1" ht="15">
      <c r="A101" s="363"/>
      <c r="B101" s="373">
        <v>0</v>
      </c>
      <c r="C101" s="373">
        <v>729.9</v>
      </c>
      <c r="D101" s="374">
        <v>3000</v>
      </c>
      <c r="E101" s="375"/>
      <c r="F101" s="376">
        <f>AVERAGE(B101:C109)</f>
        <v>1865.5111111111109</v>
      </c>
      <c r="G101" s="365"/>
      <c r="H101" s="376">
        <f t="shared" ref="H101:H109" si="1">AVERAGE(B101:C101)</f>
        <v>364.95</v>
      </c>
      <c r="I101" s="365">
        <f t="shared" ref="I101:I109" si="2">D101/H101</f>
        <v>8.2203041512535968</v>
      </c>
      <c r="J101" s="365">
        <f>AVERAGE(I101:I109)</f>
        <v>5.357083603657153</v>
      </c>
      <c r="K101" s="365"/>
      <c r="L101" s="365"/>
      <c r="M101" s="377">
        <f>F101/8760</f>
        <v>0.21295788939624555</v>
      </c>
      <c r="N101" s="340"/>
    </row>
    <row r="102" spans="1:15" s="252" customFormat="1" ht="15">
      <c r="A102" s="363"/>
      <c r="B102" s="373">
        <v>730</v>
      </c>
      <c r="C102" s="373">
        <v>912.4</v>
      </c>
      <c r="D102" s="374">
        <v>5000</v>
      </c>
      <c r="E102" s="375"/>
      <c r="F102" s="365"/>
      <c r="G102" s="365"/>
      <c r="H102" s="376">
        <f t="shared" si="1"/>
        <v>821.2</v>
      </c>
      <c r="I102" s="365">
        <f t="shared" si="2"/>
        <v>6.0886507549926936</v>
      </c>
      <c r="J102" s="365"/>
      <c r="K102" s="365"/>
      <c r="L102" s="365"/>
      <c r="M102" s="348"/>
      <c r="N102" s="340"/>
    </row>
    <row r="103" spans="1:15" s="252" customFormat="1" ht="15">
      <c r="A103" s="363"/>
      <c r="B103" s="373">
        <v>912.5</v>
      </c>
      <c r="C103" s="373">
        <v>1094.9000000000001</v>
      </c>
      <c r="D103" s="374">
        <v>6000</v>
      </c>
      <c r="E103" s="87"/>
      <c r="F103" s="365"/>
      <c r="G103" s="365"/>
      <c r="H103" s="376">
        <f t="shared" si="1"/>
        <v>1003.7</v>
      </c>
      <c r="I103" s="365">
        <f t="shared" si="2"/>
        <v>5.977881837202351</v>
      </c>
      <c r="J103" s="365"/>
      <c r="K103" s="365"/>
      <c r="L103" s="365"/>
      <c r="M103" s="348"/>
      <c r="N103" s="340"/>
    </row>
    <row r="104" spans="1:15" s="252" customFormat="1" ht="15">
      <c r="A104" s="363"/>
      <c r="B104" s="373">
        <v>1095</v>
      </c>
      <c r="C104" s="373">
        <v>1277.4000000000001</v>
      </c>
      <c r="D104" s="374">
        <v>7000</v>
      </c>
      <c r="E104" s="375"/>
      <c r="F104" s="365"/>
      <c r="G104" s="365"/>
      <c r="H104" s="376">
        <f t="shared" si="1"/>
        <v>1186.2</v>
      </c>
      <c r="I104" s="365">
        <f t="shared" si="2"/>
        <v>5.9011970999831389</v>
      </c>
      <c r="J104" s="365"/>
      <c r="K104" s="365"/>
      <c r="L104" s="365"/>
      <c r="M104" s="348"/>
      <c r="N104" s="340"/>
    </row>
    <row r="105" spans="1:15" s="252" customFormat="1" ht="15">
      <c r="A105" s="363"/>
      <c r="B105" s="373">
        <v>1277.5</v>
      </c>
      <c r="C105" s="373">
        <v>1459.9</v>
      </c>
      <c r="D105" s="374">
        <v>8000</v>
      </c>
      <c r="E105" s="375"/>
      <c r="F105" s="365"/>
      <c r="G105" s="365"/>
      <c r="H105" s="376">
        <f t="shared" si="1"/>
        <v>1368.7</v>
      </c>
      <c r="I105" s="365">
        <f t="shared" si="2"/>
        <v>5.8449623730547229</v>
      </c>
      <c r="J105" s="365"/>
      <c r="K105" s="365"/>
      <c r="L105" s="365"/>
      <c r="M105" s="348"/>
      <c r="N105" s="340"/>
    </row>
    <row r="106" spans="1:15" s="252" customFormat="1" ht="15">
      <c r="A106" s="363"/>
      <c r="B106" s="373">
        <v>1460</v>
      </c>
      <c r="C106" s="373">
        <v>1824.9</v>
      </c>
      <c r="D106" s="374">
        <v>9000</v>
      </c>
      <c r="E106" s="375"/>
      <c r="F106" s="365"/>
      <c r="G106" s="365"/>
      <c r="H106" s="376">
        <f t="shared" si="1"/>
        <v>1642.45</v>
      </c>
      <c r="I106" s="365">
        <f t="shared" si="2"/>
        <v>5.4796188620658164</v>
      </c>
      <c r="J106" s="365"/>
      <c r="K106" s="365"/>
      <c r="L106" s="365"/>
      <c r="M106" s="348"/>
      <c r="N106" s="340"/>
    </row>
    <row r="107" spans="1:15" ht="15">
      <c r="A107" s="357"/>
      <c r="B107" s="373">
        <v>1825</v>
      </c>
      <c r="C107" s="373">
        <v>2189.9</v>
      </c>
      <c r="D107" s="374">
        <v>9500</v>
      </c>
      <c r="E107" s="375"/>
      <c r="F107" s="359"/>
      <c r="G107" s="359"/>
      <c r="H107" s="376">
        <f t="shared" si="1"/>
        <v>2007.45</v>
      </c>
      <c r="I107" s="365">
        <f t="shared" si="2"/>
        <v>4.7323719146180476</v>
      </c>
      <c r="J107" s="359"/>
      <c r="K107" s="359"/>
      <c r="L107" s="359"/>
      <c r="M107" s="378"/>
      <c r="N107" s="251"/>
      <c r="O107" s="252"/>
    </row>
    <row r="108" spans="1:15" ht="15">
      <c r="A108" s="357"/>
      <c r="B108" s="373">
        <v>2190</v>
      </c>
      <c r="C108" s="373">
        <v>2919.9</v>
      </c>
      <c r="D108" s="374">
        <v>10000</v>
      </c>
      <c r="E108" s="375"/>
      <c r="F108" s="359"/>
      <c r="G108" s="359"/>
      <c r="H108" s="376">
        <f t="shared" si="1"/>
        <v>2554.9499999999998</v>
      </c>
      <c r="I108" s="365">
        <f t="shared" si="2"/>
        <v>3.9139709191960708</v>
      </c>
      <c r="J108" s="359"/>
      <c r="K108" s="359"/>
      <c r="L108" s="359"/>
      <c r="M108" s="378"/>
      <c r="N108" s="251"/>
      <c r="O108" s="252"/>
    </row>
    <row r="109" spans="1:15" ht="15">
      <c r="A109" s="357"/>
      <c r="B109" s="373">
        <v>2920</v>
      </c>
      <c r="C109" s="373">
        <v>8760</v>
      </c>
      <c r="D109" s="374">
        <v>12000</v>
      </c>
      <c r="E109" s="375"/>
      <c r="F109" s="359"/>
      <c r="G109" s="359"/>
      <c r="H109" s="376">
        <f t="shared" si="1"/>
        <v>5840</v>
      </c>
      <c r="I109" s="365">
        <f t="shared" si="2"/>
        <v>2.0547945205479454</v>
      </c>
      <c r="J109" s="359"/>
      <c r="K109" s="359"/>
      <c r="L109" s="359"/>
      <c r="M109" s="378"/>
      <c r="N109" s="251"/>
      <c r="O109" s="252"/>
    </row>
    <row r="110" spans="1:15">
      <c r="A110" s="357"/>
      <c r="B110" s="375"/>
      <c r="C110" s="365"/>
      <c r="D110" s="359"/>
      <c r="E110" s="359"/>
      <c r="F110" s="359"/>
      <c r="G110" s="359"/>
      <c r="H110" s="359"/>
      <c r="I110" s="359"/>
      <c r="J110" s="359"/>
      <c r="K110" s="359"/>
      <c r="L110" s="359"/>
      <c r="M110" s="360"/>
    </row>
    <row r="111" spans="1:15" ht="14.25">
      <c r="A111" s="357"/>
      <c r="B111" s="364" t="s">
        <v>228</v>
      </c>
      <c r="C111" s="359"/>
      <c r="D111" s="359"/>
      <c r="E111" s="359"/>
      <c r="F111" s="359">
        <f>B112*B113*B114</f>
        <v>6.1705799999999998E-2</v>
      </c>
      <c r="G111" s="359"/>
      <c r="H111" s="359"/>
      <c r="I111" s="359"/>
      <c r="J111" s="359"/>
      <c r="K111" s="359"/>
      <c r="L111" s="359"/>
      <c r="M111" s="360"/>
    </row>
    <row r="112" spans="1:15" ht="15">
      <c r="A112" s="357"/>
      <c r="B112" s="379">
        <v>5.8599999999999999E-2</v>
      </c>
      <c r="C112" s="12"/>
      <c r="D112" s="359"/>
      <c r="E112" s="359"/>
      <c r="F112" s="359"/>
      <c r="G112" s="359"/>
      <c r="H112" s="359"/>
      <c r="I112" s="359"/>
      <c r="J112" s="359"/>
      <c r="K112" s="359"/>
      <c r="L112" s="359"/>
      <c r="M112" s="360"/>
    </row>
    <row r="113" spans="1:13" ht="15">
      <c r="A113" s="357"/>
      <c r="B113" s="379">
        <v>0.9</v>
      </c>
      <c r="C113" s="12" t="s">
        <v>177</v>
      </c>
      <c r="D113" s="359"/>
      <c r="E113" s="359"/>
      <c r="F113" s="359"/>
      <c r="G113" s="359"/>
      <c r="H113" s="359"/>
      <c r="I113" s="359"/>
      <c r="J113" s="359"/>
      <c r="K113" s="359"/>
      <c r="L113" s="359"/>
      <c r="M113" s="360"/>
    </row>
    <row r="114" spans="1:13" ht="15">
      <c r="A114" s="357"/>
      <c r="B114" s="379">
        <v>1.17</v>
      </c>
      <c r="C114" s="12" t="s">
        <v>188</v>
      </c>
      <c r="D114" s="359"/>
      <c r="E114" s="359"/>
      <c r="F114" s="359"/>
      <c r="G114" s="359"/>
      <c r="H114" s="359"/>
      <c r="I114" s="359"/>
      <c r="J114" s="359"/>
      <c r="K114" s="359"/>
      <c r="L114" s="359"/>
      <c r="M114" s="360"/>
    </row>
    <row r="115" spans="1:13">
      <c r="A115" s="357"/>
      <c r="B115" s="362"/>
      <c r="C115" s="359"/>
      <c r="D115" s="359"/>
      <c r="E115" s="359"/>
      <c r="F115" s="359"/>
      <c r="G115" s="359"/>
      <c r="H115" s="359"/>
      <c r="I115" s="359"/>
      <c r="J115" s="359"/>
      <c r="K115" s="359"/>
      <c r="L115" s="359"/>
      <c r="M115" s="360"/>
    </row>
    <row r="116" spans="1:13">
      <c r="A116" s="363"/>
      <c r="B116" s="380" t="s">
        <v>189</v>
      </c>
      <c r="C116" s="381"/>
      <c r="D116" s="381"/>
      <c r="E116" s="365"/>
      <c r="F116" s="365"/>
      <c r="G116" s="365"/>
      <c r="H116" s="365"/>
      <c r="I116" s="365"/>
      <c r="J116" s="365"/>
      <c r="K116" s="365"/>
      <c r="L116" s="365"/>
      <c r="M116" s="367"/>
    </row>
    <row r="117" spans="1:13" ht="25.5">
      <c r="A117" s="363"/>
      <c r="B117" s="493" t="s">
        <v>190</v>
      </c>
      <c r="C117" s="493"/>
      <c r="D117" s="242" t="s">
        <v>191</v>
      </c>
      <c r="E117" s="365"/>
      <c r="F117" s="366" t="s">
        <v>192</v>
      </c>
      <c r="G117" s="382" t="s">
        <v>193</v>
      </c>
      <c r="H117" s="365"/>
      <c r="I117" s="365"/>
      <c r="J117" s="365"/>
      <c r="K117" s="365"/>
      <c r="L117" s="365"/>
      <c r="M117" s="367"/>
    </row>
    <row r="118" spans="1:13">
      <c r="A118" s="363"/>
      <c r="B118" s="383" t="s">
        <v>194</v>
      </c>
      <c r="C118" s="384"/>
      <c r="D118" s="385">
        <v>3435</v>
      </c>
      <c r="E118" s="365"/>
      <c r="F118" s="386">
        <f>AVERAGE(D118:D130)</f>
        <v>3422</v>
      </c>
      <c r="G118" s="387">
        <f>F118/8760</f>
        <v>0.39063926940639271</v>
      </c>
      <c r="H118" s="365"/>
      <c r="I118" s="365"/>
      <c r="J118" s="365"/>
      <c r="K118" s="365"/>
      <c r="L118" s="365"/>
      <c r="M118" s="367"/>
    </row>
    <row r="119" spans="1:13" ht="22.5">
      <c r="A119" s="363"/>
      <c r="B119" s="383" t="s">
        <v>195</v>
      </c>
      <c r="C119" s="383"/>
      <c r="D119" s="388">
        <v>4156</v>
      </c>
      <c r="E119" s="365"/>
      <c r="F119" s="365"/>
      <c r="G119" s="365"/>
      <c r="H119" s="365"/>
      <c r="I119" s="365"/>
      <c r="J119" s="365"/>
      <c r="K119" s="365"/>
      <c r="L119" s="365"/>
      <c r="M119" s="367"/>
    </row>
    <row r="120" spans="1:13">
      <c r="A120" s="363"/>
      <c r="B120" s="383" t="s">
        <v>43</v>
      </c>
      <c r="C120" s="383"/>
      <c r="D120" s="388">
        <v>3068</v>
      </c>
      <c r="E120" s="365"/>
      <c r="F120" s="365"/>
      <c r="G120" s="365"/>
      <c r="H120" s="365"/>
      <c r="I120" s="365"/>
      <c r="J120" s="365"/>
      <c r="K120" s="365"/>
      <c r="L120" s="365"/>
      <c r="M120" s="367"/>
    </row>
    <row r="121" spans="1:13" ht="33.75">
      <c r="A121" s="363"/>
      <c r="B121" s="383" t="s">
        <v>196</v>
      </c>
      <c r="C121" s="383"/>
      <c r="D121" s="388">
        <v>4612</v>
      </c>
      <c r="E121" s="365"/>
      <c r="F121" s="365"/>
      <c r="G121" s="365"/>
      <c r="H121" s="365"/>
      <c r="I121" s="365"/>
      <c r="J121" s="365"/>
      <c r="K121" s="365"/>
      <c r="L121" s="365"/>
      <c r="M121" s="367"/>
    </row>
    <row r="122" spans="1:13" ht="22.5">
      <c r="A122" s="363"/>
      <c r="B122" s="383" t="s">
        <v>44</v>
      </c>
      <c r="C122" s="383"/>
      <c r="D122" s="388">
        <v>2388</v>
      </c>
      <c r="E122" s="365"/>
      <c r="F122" s="365"/>
      <c r="G122" s="365"/>
      <c r="H122" s="365"/>
      <c r="I122" s="365"/>
      <c r="J122" s="365"/>
      <c r="K122" s="365"/>
      <c r="L122" s="365"/>
      <c r="M122" s="367"/>
    </row>
    <row r="123" spans="1:13" ht="33.75">
      <c r="A123" s="363"/>
      <c r="B123" s="383" t="s">
        <v>197</v>
      </c>
      <c r="C123" s="383"/>
      <c r="D123" s="388">
        <v>2080</v>
      </c>
      <c r="E123" s="365"/>
      <c r="F123" s="365"/>
      <c r="G123" s="365"/>
      <c r="H123" s="365"/>
      <c r="I123" s="365"/>
      <c r="J123" s="365"/>
      <c r="K123" s="365"/>
      <c r="L123" s="365"/>
      <c r="M123" s="367"/>
    </row>
    <row r="124" spans="1:13">
      <c r="A124" s="363"/>
      <c r="B124" s="383" t="s">
        <v>198</v>
      </c>
      <c r="C124" s="383"/>
      <c r="D124" s="388">
        <v>5010</v>
      </c>
      <c r="E124" s="365"/>
      <c r="F124" s="365"/>
      <c r="G124" s="365"/>
      <c r="H124" s="365"/>
      <c r="I124" s="365"/>
      <c r="J124" s="365"/>
      <c r="K124" s="365"/>
      <c r="L124" s="365"/>
      <c r="M124" s="367"/>
    </row>
    <row r="125" spans="1:13">
      <c r="A125" s="363"/>
      <c r="B125" s="383" t="s">
        <v>199</v>
      </c>
      <c r="C125" s="383"/>
      <c r="D125" s="388">
        <v>3392</v>
      </c>
      <c r="E125" s="365"/>
      <c r="F125" s="365"/>
      <c r="G125" s="365"/>
      <c r="H125" s="365"/>
      <c r="I125" s="365"/>
      <c r="J125" s="365"/>
      <c r="K125" s="365"/>
      <c r="L125" s="365"/>
      <c r="M125" s="367"/>
    </row>
    <row r="126" spans="1:13">
      <c r="A126" s="363"/>
      <c r="B126" s="383" t="s">
        <v>200</v>
      </c>
      <c r="C126" s="383"/>
      <c r="D126" s="388">
        <v>4532</v>
      </c>
      <c r="E126" s="365"/>
      <c r="F126" s="365"/>
      <c r="G126" s="365"/>
      <c r="H126" s="365"/>
      <c r="I126" s="365"/>
      <c r="J126" s="365"/>
      <c r="K126" s="365"/>
      <c r="L126" s="365"/>
      <c r="M126" s="367"/>
    </row>
    <row r="127" spans="1:13" ht="22.5">
      <c r="A127" s="363"/>
      <c r="B127" s="383" t="s">
        <v>201</v>
      </c>
      <c r="C127" s="383"/>
      <c r="D127" s="388">
        <v>2697</v>
      </c>
      <c r="E127" s="365"/>
      <c r="F127" s="365"/>
      <c r="G127" s="365"/>
      <c r="H127" s="365"/>
      <c r="I127" s="365"/>
      <c r="J127" s="365"/>
      <c r="K127" s="365"/>
      <c r="L127" s="365"/>
      <c r="M127" s="367"/>
    </row>
    <row r="128" spans="1:13" ht="22.5">
      <c r="A128" s="363"/>
      <c r="B128" s="383" t="s">
        <v>202</v>
      </c>
      <c r="C128" s="383"/>
      <c r="D128" s="388">
        <v>3500</v>
      </c>
      <c r="E128" s="365"/>
      <c r="F128" s="365"/>
      <c r="G128" s="365"/>
      <c r="H128" s="365"/>
      <c r="I128" s="365"/>
      <c r="J128" s="365"/>
      <c r="K128" s="365"/>
      <c r="L128" s="365"/>
      <c r="M128" s="367"/>
    </row>
    <row r="129" spans="1:13" ht="22.5">
      <c r="A129" s="363"/>
      <c r="B129" s="383" t="s">
        <v>203</v>
      </c>
      <c r="C129" s="383"/>
      <c r="D129" s="388">
        <v>2278</v>
      </c>
      <c r="E129" s="365"/>
      <c r="F129" s="365"/>
      <c r="G129" s="365"/>
      <c r="H129" s="365"/>
      <c r="I129" s="365"/>
      <c r="J129" s="365"/>
      <c r="K129" s="365"/>
      <c r="L129" s="365"/>
      <c r="M129" s="367"/>
    </row>
    <row r="130" spans="1:13" ht="22.5">
      <c r="A130" s="389"/>
      <c r="B130" s="390" t="s">
        <v>204</v>
      </c>
      <c r="C130" s="390"/>
      <c r="D130" s="391">
        <v>3338</v>
      </c>
      <c r="E130" s="392"/>
      <c r="F130" s="392"/>
      <c r="G130" s="392"/>
      <c r="H130" s="392"/>
      <c r="I130" s="392"/>
      <c r="J130" s="392"/>
      <c r="K130" s="392"/>
      <c r="L130" s="392"/>
      <c r="M130" s="393"/>
    </row>
    <row r="131" spans="1:13">
      <c r="A131" s="345"/>
      <c r="B131" s="346"/>
      <c r="C131" s="339"/>
      <c r="D131" s="339"/>
      <c r="E131" s="339"/>
      <c r="F131" s="339"/>
      <c r="G131" s="339"/>
      <c r="H131" s="339"/>
      <c r="I131" s="339"/>
      <c r="J131" s="339"/>
      <c r="K131" s="339"/>
      <c r="L131" s="339"/>
      <c r="M131" s="340"/>
    </row>
  </sheetData>
  <mergeCells count="7">
    <mergeCell ref="B117:C117"/>
    <mergeCell ref="B47:C47"/>
    <mergeCell ref="M47:N47"/>
    <mergeCell ref="B83:E83"/>
    <mergeCell ref="G34:H34"/>
    <mergeCell ref="J34:K34"/>
    <mergeCell ref="G35:H36"/>
  </mergeCells>
  <phoneticPr fontId="21" type="noConversion"/>
  <pageMargins left="0.5" right="0.5" top="0.75" bottom="0.6" header="0.25" footer="0.25"/>
  <pageSetup scale="86" orientation="landscape" r:id="rId1"/>
  <headerFooter alignWithMargins="0">
    <oddHeader>&amp;C&amp;"Arial,Bold"&amp;14CFL Deemed Savings Estimates&amp;R06/10/08</oddHeader>
    <oddFooter>&amp;CSummit Blue Consulting</oddFooter>
  </headerFooter>
  <rowBreaks count="1" manualBreakCount="1">
    <brk id="28" max="12" man="1"/>
  </rowBreaks>
  <colBreaks count="1" manualBreakCount="1">
    <brk id="13" max="1048575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SACE ROG 70</vt:lpstr>
      <vt:lpstr>SACE ROG 77</vt:lpstr>
      <vt:lpstr>Single-Family Existing</vt:lpstr>
      <vt:lpstr>Strategist Inputs</vt:lpstr>
      <vt:lpstr>Miscellaneous</vt:lpstr>
      <vt:lpstr>CFLs</vt:lpstr>
      <vt:lpstr>CFLs!_ftn1</vt:lpstr>
      <vt:lpstr>CFLs!_ftnref1</vt:lpstr>
      <vt:lpstr>EEM_exist</vt:lpstr>
      <vt:lpstr>CFLs!Print_Area</vt:lpstr>
      <vt:lpstr>'SACE ROG 77'!Print_Area</vt:lpstr>
    </vt:vector>
  </TitlesOfParts>
  <Company>Summit Blue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Brent Barkett</dc:creator>
  <cp:lastModifiedBy>Ina Abdrabu</cp:lastModifiedBy>
  <cp:lastPrinted>2006-10-12T21:14:43Z</cp:lastPrinted>
  <dcterms:created xsi:type="dcterms:W3CDTF">2005-05-16T17:46:45Z</dcterms:created>
  <dcterms:modified xsi:type="dcterms:W3CDTF">2019-07-11T20:12:34Z</dcterms:modified>
</cp:coreProperties>
</file>