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300"/>
  </bookViews>
  <sheets>
    <sheet name="Summary" sheetId="1" r:id="rId1"/>
    <sheet name="Summary Clear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2" i="2" s="1"/>
  <c r="C11" i="2"/>
  <c r="D11" i="2"/>
  <c r="E11" i="2"/>
  <c r="E12" i="2" s="1"/>
  <c r="C12" i="2"/>
  <c r="D12" i="2"/>
  <c r="C3" i="2"/>
  <c r="F10" i="2"/>
  <c r="H10" i="2" s="1"/>
  <c r="F9" i="2"/>
  <c r="H9" i="2" s="1"/>
  <c r="F8" i="2"/>
  <c r="H8" i="2" s="1"/>
  <c r="F7" i="2"/>
  <c r="H7" i="2" s="1"/>
  <c r="F6" i="2"/>
  <c r="H6" i="2" s="1"/>
  <c r="F4" i="2"/>
  <c r="H4" i="2" s="1"/>
  <c r="F3" i="2"/>
  <c r="H3" i="2" s="1"/>
  <c r="G11" i="2"/>
  <c r="G12" i="2" s="1"/>
  <c r="L33" i="1"/>
  <c r="D33" i="1"/>
  <c r="H33" i="1"/>
  <c r="H31" i="1"/>
  <c r="H29" i="1"/>
  <c r="L27" i="1"/>
  <c r="D26" i="1"/>
  <c r="C24" i="1"/>
  <c r="G24" i="1"/>
  <c r="K24" i="1"/>
  <c r="K23" i="1"/>
  <c r="G23" i="1"/>
  <c r="K22" i="1"/>
  <c r="G22" i="1"/>
  <c r="K21" i="1"/>
  <c r="K20" i="1"/>
  <c r="G20" i="1"/>
  <c r="C20" i="1"/>
  <c r="K19" i="1"/>
  <c r="G19" i="1"/>
  <c r="C19" i="1"/>
  <c r="G7" i="1"/>
  <c r="K7" i="1"/>
  <c r="P15" i="1"/>
  <c r="H7" i="1"/>
  <c r="K12" i="1"/>
  <c r="L7" i="1"/>
  <c r="L12" i="1"/>
  <c r="G3" i="1"/>
  <c r="F11" i="2" l="1"/>
  <c r="F12" i="2" s="1"/>
  <c r="H11" i="2"/>
  <c r="H12" i="2" s="1"/>
  <c r="N15" i="1"/>
  <c r="C15" i="1" l="1"/>
  <c r="D15" i="1"/>
  <c r="F15" i="1"/>
  <c r="G15" i="1"/>
  <c r="H15" i="1"/>
  <c r="J15" i="1"/>
  <c r="K15" i="1"/>
  <c r="L15" i="1"/>
  <c r="B15" i="1"/>
  <c r="E4" i="1"/>
  <c r="E5" i="1"/>
  <c r="E6" i="1"/>
  <c r="E7" i="1"/>
  <c r="E8" i="1"/>
  <c r="E9" i="1"/>
  <c r="E10" i="1"/>
  <c r="E11" i="1"/>
  <c r="E12" i="1"/>
  <c r="E13" i="1"/>
  <c r="E14" i="1"/>
  <c r="E3" i="1"/>
  <c r="I4" i="1"/>
  <c r="I5" i="1"/>
  <c r="I6" i="1"/>
  <c r="I7" i="1"/>
  <c r="I8" i="1"/>
  <c r="I9" i="1"/>
  <c r="I10" i="1"/>
  <c r="I11" i="1"/>
  <c r="I12" i="1"/>
  <c r="I13" i="1"/>
  <c r="I14" i="1"/>
  <c r="I3" i="1"/>
  <c r="M4" i="1"/>
  <c r="M5" i="1"/>
  <c r="M6" i="1"/>
  <c r="M7" i="1"/>
  <c r="M8" i="1"/>
  <c r="M9" i="1"/>
  <c r="M10" i="1"/>
  <c r="M11" i="1"/>
  <c r="O11" i="1" s="1"/>
  <c r="Q11" i="1" s="1"/>
  <c r="M12" i="1"/>
  <c r="M13" i="1"/>
  <c r="M14" i="1"/>
  <c r="M3" i="1"/>
  <c r="O12" i="1" l="1"/>
  <c r="Q12" i="1" s="1"/>
  <c r="O8" i="1"/>
  <c r="Q8" i="1" s="1"/>
  <c r="O4" i="1"/>
  <c r="Q4" i="1" s="1"/>
  <c r="O13" i="1"/>
  <c r="Q13" i="1" s="1"/>
  <c r="O9" i="1"/>
  <c r="Q9" i="1" s="1"/>
  <c r="O5" i="1"/>
  <c r="Q5" i="1" s="1"/>
  <c r="O14" i="1"/>
  <c r="Q14" i="1" s="1"/>
  <c r="O10" i="1"/>
  <c r="Q10" i="1" s="1"/>
  <c r="O6" i="1"/>
  <c r="Q6" i="1" s="1"/>
  <c r="O7" i="1"/>
  <c r="Q7" i="1" s="1"/>
  <c r="O3" i="1"/>
  <c r="M15" i="1"/>
  <c r="I15" i="1"/>
  <c r="E15" i="1"/>
  <c r="Q15" i="1" l="1"/>
  <c r="O15" i="1"/>
</calcChain>
</file>

<file path=xl/sharedStrings.xml><?xml version="1.0" encoding="utf-8"?>
<sst xmlns="http://schemas.openxmlformats.org/spreadsheetml/2006/main" count="68" uniqueCount="57">
  <si>
    <t>Grand Total</t>
  </si>
  <si>
    <t>Dorian</t>
  </si>
  <si>
    <t>Total</t>
  </si>
  <si>
    <t>Line MDN-4</t>
  </si>
  <si>
    <t>Alternative School</t>
  </si>
  <si>
    <t>Bad Debt</t>
  </si>
  <si>
    <t>Call Center Costs</t>
  </si>
  <si>
    <t>Clearing</t>
  </si>
  <si>
    <t>Contractor Costs</t>
  </si>
  <si>
    <t>Employee Expenses</t>
  </si>
  <si>
    <t xml:space="preserve">Equipment </t>
  </si>
  <si>
    <t>Fuel</t>
  </si>
  <si>
    <t>Logistics</t>
  </si>
  <si>
    <t>Materials</t>
  </si>
  <si>
    <t>Miscellaneous</t>
  </si>
  <si>
    <t>Overhead Allocation</t>
  </si>
  <si>
    <t>16 and 21</t>
  </si>
  <si>
    <t>Consulting</t>
  </si>
  <si>
    <t>Pike Correction</t>
  </si>
  <si>
    <t>Enercon</t>
  </si>
  <si>
    <t>Cost of Removal</t>
  </si>
  <si>
    <t>Storm</t>
  </si>
  <si>
    <t>Plant</t>
  </si>
  <si>
    <t>Adjustments</t>
  </si>
  <si>
    <t>Profoma</t>
  </si>
  <si>
    <t>Total Cost of Removal</t>
  </si>
  <si>
    <t>Total Storm Costs</t>
  </si>
  <si>
    <t>Total Plant Costs</t>
  </si>
  <si>
    <t>Hurricane Michael</t>
  </si>
  <si>
    <t>Hurricane Dorian</t>
  </si>
  <si>
    <t>Storm Costs</t>
  </si>
  <si>
    <t>Non-Incremental</t>
  </si>
  <si>
    <t>Total Incremental</t>
  </si>
  <si>
    <t>3,4,5</t>
  </si>
  <si>
    <t>Descriptions</t>
  </si>
  <si>
    <t>Remove Alternative School Credit</t>
  </si>
  <si>
    <t>Move Alternative School to Contractor Costs</t>
  </si>
  <si>
    <t>Move Alternative School to Materials</t>
  </si>
  <si>
    <t>Transfer Invoices Storm to Plant</t>
  </si>
  <si>
    <t>Reverse Accruals</t>
  </si>
  <si>
    <t>Transfer MDR costs to Contractor Costs</t>
  </si>
  <si>
    <t>Remove MDR costs from Materials</t>
  </si>
  <si>
    <t>Temp to do OPC Schedules</t>
  </si>
  <si>
    <t>Additional Logistics Invoice Received</t>
  </si>
  <si>
    <t>Salaries</t>
  </si>
  <si>
    <t>Overtime/Comp Time/On Call</t>
  </si>
  <si>
    <t>Payroll Taxes</t>
  </si>
  <si>
    <t>Benefit Costs</t>
  </si>
  <si>
    <t>Incentive Pay</t>
  </si>
  <si>
    <t>Department Expenses</t>
  </si>
  <si>
    <t>Vehicle Expenses</t>
  </si>
  <si>
    <t>Total Payroll Overhead Allocations</t>
  </si>
  <si>
    <t>Total Clearing</t>
  </si>
  <si>
    <t>Non Incremental</t>
  </si>
  <si>
    <t>Michael</t>
  </si>
  <si>
    <t>Summary of Adjustments:</t>
  </si>
  <si>
    <t>Summary of Proforma Adjustments: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</si>
</sst>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44" fontId="0" fillId="0" borderId="0" xfId="2" applyFont="1"/>
    <xf numFmtId="44" fontId="2" fillId="0" borderId="0" xfId="2" applyFont="1" applyAlignment="1">
      <alignment horizontal="center"/>
    </xf>
    <xf numFmtId="44" fontId="0" fillId="0" borderId="0" xfId="2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2" fillId="5" borderId="3" xfId="0" applyFont="1" applyFill="1" applyBorder="1"/>
    <xf numFmtId="44" fontId="2" fillId="6" borderId="4" xfId="2" applyFont="1" applyFill="1" applyBorder="1" applyAlignment="1">
      <alignment horizontal="center" wrapText="1"/>
    </xf>
    <xf numFmtId="44" fontId="2" fillId="4" borderId="0" xfId="2" applyFont="1" applyFill="1" applyBorder="1" applyAlignment="1">
      <alignment horizontal="center"/>
    </xf>
    <xf numFmtId="44" fontId="2" fillId="4" borderId="8" xfId="2" applyFont="1" applyFill="1" applyBorder="1" applyAlignment="1">
      <alignment horizontal="center" wrapText="1"/>
    </xf>
    <xf numFmtId="44" fontId="2" fillId="3" borderId="12" xfId="2" applyFont="1" applyFill="1" applyBorder="1" applyAlignment="1">
      <alignment horizontal="center"/>
    </xf>
    <xf numFmtId="44" fontId="2" fillId="3" borderId="13" xfId="2" applyFont="1" applyFill="1" applyBorder="1" applyAlignment="1">
      <alignment horizontal="center"/>
    </xf>
    <xf numFmtId="44" fontId="2" fillId="3" borderId="14" xfId="2" applyFont="1" applyFill="1" applyBorder="1" applyAlignment="1">
      <alignment horizontal="center" wrapText="1"/>
    </xf>
    <xf numFmtId="44" fontId="2" fillId="2" borderId="12" xfId="2" applyFont="1" applyFill="1" applyBorder="1" applyAlignment="1">
      <alignment horizontal="center"/>
    </xf>
    <xf numFmtId="44" fontId="2" fillId="2" borderId="13" xfId="2" applyFont="1" applyFill="1" applyBorder="1" applyAlignment="1">
      <alignment horizontal="center"/>
    </xf>
    <xf numFmtId="44" fontId="2" fillId="2" borderId="14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horizontal="left"/>
    </xf>
    <xf numFmtId="165" fontId="0" fillId="0" borderId="0" xfId="2" applyNumberFormat="1" applyFont="1"/>
    <xf numFmtId="165" fontId="2" fillId="0" borderId="0" xfId="2" applyNumberFormat="1" applyFont="1" applyAlignment="1"/>
    <xf numFmtId="165" fontId="2" fillId="0" borderId="0" xfId="2" applyNumberFormat="1" applyFont="1" applyAlignment="1">
      <alignment horizontal="left"/>
    </xf>
    <xf numFmtId="165" fontId="2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left"/>
    </xf>
    <xf numFmtId="165" fontId="0" fillId="0" borderId="0" xfId="2" applyNumberFormat="1" applyFont="1" applyBorder="1"/>
    <xf numFmtId="165" fontId="0" fillId="0" borderId="15" xfId="2" applyNumberFormat="1" applyFont="1" applyBorder="1"/>
    <xf numFmtId="165" fontId="0" fillId="0" borderId="13" xfId="2" applyNumberFormat="1" applyFont="1" applyBorder="1"/>
    <xf numFmtId="165" fontId="0" fillId="0" borderId="1" xfId="2" applyNumberFormat="1" applyFont="1" applyBorder="1"/>
    <xf numFmtId="165" fontId="0" fillId="3" borderId="7" xfId="2" applyNumberFormat="1" applyFont="1" applyFill="1" applyBorder="1"/>
    <xf numFmtId="165" fontId="0" fillId="3" borderId="0" xfId="2" applyNumberFormat="1" applyFont="1" applyFill="1" applyBorder="1"/>
    <xf numFmtId="165" fontId="0" fillId="3" borderId="8" xfId="2" applyNumberFormat="1" applyFont="1" applyFill="1" applyBorder="1"/>
    <xf numFmtId="165" fontId="0" fillId="2" borderId="7" xfId="2" applyNumberFormat="1" applyFont="1" applyFill="1" applyBorder="1"/>
    <xf numFmtId="165" fontId="0" fillId="2" borderId="0" xfId="2" applyNumberFormat="1" applyFont="1" applyFill="1" applyBorder="1"/>
    <xf numFmtId="165" fontId="0" fillId="2" borderId="8" xfId="2" applyNumberFormat="1" applyFont="1" applyFill="1" applyBorder="1"/>
    <xf numFmtId="165" fontId="0" fillId="4" borderId="0" xfId="2" applyNumberFormat="1" applyFont="1" applyFill="1" applyBorder="1"/>
    <xf numFmtId="165" fontId="0" fillId="4" borderId="8" xfId="2" applyNumberFormat="1" applyFont="1" applyFill="1" applyBorder="1"/>
    <xf numFmtId="165" fontId="0" fillId="6" borderId="4" xfId="2" applyNumberFormat="1" applyFont="1" applyFill="1" applyBorder="1"/>
    <xf numFmtId="165" fontId="0" fillId="0" borderId="0" xfId="2" applyNumberFormat="1" applyFont="1" applyAlignment="1">
      <alignment horizontal="right"/>
    </xf>
    <xf numFmtId="165" fontId="0" fillId="3" borderId="9" xfId="2" applyNumberFormat="1" applyFont="1" applyFill="1" applyBorder="1"/>
    <xf numFmtId="165" fontId="0" fillId="3" borderId="10" xfId="2" applyNumberFormat="1" applyFont="1" applyFill="1" applyBorder="1"/>
    <xf numFmtId="165" fontId="0" fillId="3" borderId="11" xfId="2" applyNumberFormat="1" applyFont="1" applyFill="1" applyBorder="1"/>
    <xf numFmtId="165" fontId="0" fillId="2" borderId="9" xfId="2" applyNumberFormat="1" applyFont="1" applyFill="1" applyBorder="1"/>
    <xf numFmtId="165" fontId="0" fillId="2" borderId="10" xfId="2" applyNumberFormat="1" applyFont="1" applyFill="1" applyBorder="1"/>
    <xf numFmtId="165" fontId="0" fillId="2" borderId="11" xfId="2" applyNumberFormat="1" applyFont="1" applyFill="1" applyBorder="1"/>
    <xf numFmtId="165" fontId="0" fillId="4" borderId="10" xfId="2" applyNumberFormat="1" applyFont="1" applyFill="1" applyBorder="1"/>
    <xf numFmtId="165" fontId="0" fillId="4" borderId="11" xfId="2" applyNumberFormat="1" applyFont="1" applyFill="1" applyBorder="1"/>
    <xf numFmtId="165" fontId="0" fillId="6" borderId="2" xfId="2" applyNumberFormat="1" applyFont="1" applyFill="1" applyBorder="1"/>
    <xf numFmtId="165" fontId="2" fillId="3" borderId="0" xfId="2" applyNumberFormat="1" applyFont="1" applyFill="1" applyAlignment="1">
      <alignment horizontal="righ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5" fontId="2" fillId="0" borderId="0" xfId="2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6" sqref="A26"/>
    </sheetView>
  </sheetViews>
  <sheetFormatPr defaultRowHeight="15" x14ac:dyDescent="0.25"/>
  <cols>
    <col min="1" max="1" width="29.85546875" bestFit="1" customWidth="1"/>
    <col min="2" max="2" width="17" bestFit="1" customWidth="1"/>
    <col min="3" max="5" width="17" style="1" customWidth="1"/>
    <col min="6" max="6" width="15.28515625" bestFit="1" customWidth="1"/>
    <col min="7" max="9" width="15.28515625" style="1" customWidth="1"/>
    <col min="10" max="10" width="15.28515625" bestFit="1" customWidth="1"/>
    <col min="11" max="13" width="15.28515625" style="1" customWidth="1"/>
    <col min="14" max="14" width="17.140625" style="1" customWidth="1"/>
    <col min="15" max="15" width="19" bestFit="1" customWidth="1"/>
    <col min="16" max="17" width="19" style="1" customWidth="1"/>
    <col min="18" max="18" width="14.42578125" bestFit="1" customWidth="1"/>
  </cols>
  <sheetData>
    <row r="1" spans="1:18" s="1" customFormat="1" ht="15.75" thickBot="1" x14ac:dyDescent="0.3">
      <c r="B1" s="46" t="s">
        <v>28</v>
      </c>
      <c r="C1" s="47"/>
      <c r="D1" s="47"/>
      <c r="E1" s="47"/>
      <c r="F1" s="47"/>
      <c r="G1" s="47"/>
      <c r="H1" s="47"/>
      <c r="I1" s="47"/>
      <c r="J1" s="48"/>
      <c r="K1" s="48"/>
      <c r="L1" s="48"/>
      <c r="M1" s="49"/>
      <c r="N1" s="6" t="s">
        <v>29</v>
      </c>
    </row>
    <row r="2" spans="1:18" ht="30" x14ac:dyDescent="0.25">
      <c r="A2" s="2" t="s">
        <v>34</v>
      </c>
      <c r="B2" s="10" t="s">
        <v>20</v>
      </c>
      <c r="C2" s="11" t="s">
        <v>23</v>
      </c>
      <c r="D2" s="11" t="s">
        <v>24</v>
      </c>
      <c r="E2" s="12" t="s">
        <v>25</v>
      </c>
      <c r="F2" s="13" t="s">
        <v>21</v>
      </c>
      <c r="G2" s="14" t="s">
        <v>23</v>
      </c>
      <c r="H2" s="14" t="s">
        <v>24</v>
      </c>
      <c r="I2" s="15" t="s">
        <v>26</v>
      </c>
      <c r="J2" s="8" t="s">
        <v>22</v>
      </c>
      <c r="K2" s="8" t="s">
        <v>23</v>
      </c>
      <c r="L2" s="8" t="s">
        <v>24</v>
      </c>
      <c r="M2" s="9" t="s">
        <v>27</v>
      </c>
      <c r="N2" s="7" t="s">
        <v>30</v>
      </c>
      <c r="O2" s="3" t="s">
        <v>32</v>
      </c>
      <c r="P2" s="3" t="s">
        <v>31</v>
      </c>
      <c r="Q2" s="3" t="s">
        <v>2</v>
      </c>
      <c r="R2" s="5" t="s">
        <v>3</v>
      </c>
    </row>
    <row r="3" spans="1:18" x14ac:dyDescent="0.25">
      <c r="A3" s="4" t="s">
        <v>4</v>
      </c>
      <c r="B3" s="26">
        <v>-75727.090000000011</v>
      </c>
      <c r="C3" s="27">
        <v>75727.09</v>
      </c>
      <c r="D3" s="27"/>
      <c r="E3" s="28">
        <f>SUM(B3:D3)</f>
        <v>0</v>
      </c>
      <c r="F3" s="29">
        <v>-242217.16</v>
      </c>
      <c r="G3" s="30">
        <f>242217.16</f>
        <v>242217.16</v>
      </c>
      <c r="H3" s="30"/>
      <c r="I3" s="31">
        <f>SUM(F3:H3)</f>
        <v>0</v>
      </c>
      <c r="J3" s="32">
        <v>-184843.32999999996</v>
      </c>
      <c r="K3" s="32">
        <v>184843.33</v>
      </c>
      <c r="L3" s="32"/>
      <c r="M3" s="33">
        <f>SUM(J3:L3)</f>
        <v>0</v>
      </c>
      <c r="N3" s="34"/>
      <c r="O3" s="17">
        <f>M3+I3+E3+N3</f>
        <v>0</v>
      </c>
      <c r="P3" s="17"/>
      <c r="Q3" s="17"/>
      <c r="R3" s="17"/>
    </row>
    <row r="4" spans="1:18" x14ac:dyDescent="0.25">
      <c r="A4" s="4" t="s">
        <v>5</v>
      </c>
      <c r="B4" s="26"/>
      <c r="C4" s="27"/>
      <c r="D4" s="27"/>
      <c r="E4" s="28">
        <f t="shared" ref="E4:E14" si="0">SUM(B4:D4)</f>
        <v>0</v>
      </c>
      <c r="F4" s="29">
        <v>120320.81</v>
      </c>
      <c r="G4" s="30"/>
      <c r="H4" s="30"/>
      <c r="I4" s="31">
        <f t="shared" ref="I4:I14" si="1">SUM(F4:H4)</f>
        <v>120320.81</v>
      </c>
      <c r="J4" s="32"/>
      <c r="K4" s="32"/>
      <c r="L4" s="32"/>
      <c r="M4" s="33">
        <f t="shared" ref="M4:M14" si="2">SUM(J4:L4)</f>
        <v>0</v>
      </c>
      <c r="N4" s="34"/>
      <c r="O4" s="17">
        <f t="shared" ref="O4:O14" si="3">M4+I4+E4+N4</f>
        <v>120320.81</v>
      </c>
      <c r="P4" s="17"/>
      <c r="Q4" s="17">
        <f>O4+P4</f>
        <v>120320.81</v>
      </c>
      <c r="R4" s="17">
        <v>14</v>
      </c>
    </row>
    <row r="5" spans="1:18" x14ac:dyDescent="0.25">
      <c r="A5" s="4" t="s">
        <v>6</v>
      </c>
      <c r="B5" s="26"/>
      <c r="C5" s="27"/>
      <c r="D5" s="27"/>
      <c r="E5" s="28">
        <f t="shared" si="0"/>
        <v>0</v>
      </c>
      <c r="F5" s="29">
        <v>26516.46</v>
      </c>
      <c r="G5" s="30"/>
      <c r="H5" s="30"/>
      <c r="I5" s="31">
        <f t="shared" si="1"/>
        <v>26516.46</v>
      </c>
      <c r="J5" s="32"/>
      <c r="K5" s="32"/>
      <c r="L5" s="32"/>
      <c r="M5" s="33">
        <f t="shared" si="2"/>
        <v>0</v>
      </c>
      <c r="N5" s="34"/>
      <c r="O5" s="17">
        <f t="shared" si="3"/>
        <v>26516.46</v>
      </c>
      <c r="P5" s="17"/>
      <c r="Q5" s="17">
        <f t="shared" ref="Q5:Q14" si="4">O5+P5</f>
        <v>26516.46</v>
      </c>
      <c r="R5" s="17">
        <v>13</v>
      </c>
    </row>
    <row r="6" spans="1:18" x14ac:dyDescent="0.25">
      <c r="A6" s="4" t="s">
        <v>7</v>
      </c>
      <c r="B6" s="26">
        <v>138041.74999999991</v>
      </c>
      <c r="C6" s="27"/>
      <c r="D6" s="27"/>
      <c r="E6" s="28">
        <f t="shared" si="0"/>
        <v>138041.74999999991</v>
      </c>
      <c r="F6" s="29">
        <v>672659.07999999984</v>
      </c>
      <c r="G6" s="30"/>
      <c r="H6" s="30"/>
      <c r="I6" s="31">
        <f t="shared" si="1"/>
        <v>672659.07999999984</v>
      </c>
      <c r="J6" s="32">
        <v>458951.13999999996</v>
      </c>
      <c r="K6" s="32"/>
      <c r="L6" s="32"/>
      <c r="M6" s="33">
        <f t="shared" si="2"/>
        <v>458951.13999999996</v>
      </c>
      <c r="N6" s="34">
        <v>16696.97</v>
      </c>
      <c r="O6" s="17">
        <f t="shared" si="3"/>
        <v>1286348.9399999997</v>
      </c>
      <c r="P6" s="17">
        <v>185181.74</v>
      </c>
      <c r="Q6" s="17">
        <f t="shared" si="4"/>
        <v>1471530.6799999997</v>
      </c>
      <c r="R6" s="35" t="s">
        <v>33</v>
      </c>
    </row>
    <row r="7" spans="1:18" x14ac:dyDescent="0.25">
      <c r="A7" s="4" t="s">
        <v>8</v>
      </c>
      <c r="B7" s="26">
        <v>7103207.0700000236</v>
      </c>
      <c r="C7" s="27">
        <v>-75727.09</v>
      </c>
      <c r="D7" s="27">
        <v>283889.03999999998</v>
      </c>
      <c r="E7" s="28">
        <f t="shared" si="0"/>
        <v>7311369.0200000238</v>
      </c>
      <c r="F7" s="29">
        <v>32454231.149999976</v>
      </c>
      <c r="G7" s="30">
        <f>-69108.62-20548.75-242217.16</f>
        <v>-331874.53000000003</v>
      </c>
      <c r="H7" s="30">
        <f>186468+5328+907534.24-6647.48</f>
        <v>1092682.76</v>
      </c>
      <c r="I7" s="31">
        <f t="shared" si="1"/>
        <v>33215039.379999977</v>
      </c>
      <c r="J7" s="32">
        <v>14409230.530000009</v>
      </c>
      <c r="K7" s="32">
        <f>69108.62-37053.75-149462.68</f>
        <v>-117407.81</v>
      </c>
      <c r="L7" s="32">
        <f>1000000+559897.13</f>
        <v>1559897.13</v>
      </c>
      <c r="M7" s="33">
        <f t="shared" si="2"/>
        <v>15851719.850000009</v>
      </c>
      <c r="N7" s="34">
        <v>769040.08</v>
      </c>
      <c r="O7" s="17">
        <f t="shared" si="3"/>
        <v>57147168.330000013</v>
      </c>
      <c r="P7" s="17"/>
      <c r="Q7" s="17">
        <f t="shared" si="4"/>
        <v>57147168.330000013</v>
      </c>
      <c r="R7" s="17">
        <v>8</v>
      </c>
    </row>
    <row r="8" spans="1:18" x14ac:dyDescent="0.25">
      <c r="A8" s="4" t="s">
        <v>9</v>
      </c>
      <c r="B8" s="26"/>
      <c r="C8" s="27"/>
      <c r="D8" s="27"/>
      <c r="E8" s="28">
        <f t="shared" si="0"/>
        <v>0</v>
      </c>
      <c r="F8" s="29">
        <v>67979.750000000058</v>
      </c>
      <c r="G8" s="30"/>
      <c r="H8" s="30"/>
      <c r="I8" s="31">
        <f t="shared" si="1"/>
        <v>67979.750000000058</v>
      </c>
      <c r="J8" s="32"/>
      <c r="K8" s="32"/>
      <c r="L8" s="32"/>
      <c r="M8" s="33">
        <f t="shared" si="2"/>
        <v>0</v>
      </c>
      <c r="N8" s="34">
        <v>9575.6299999999992</v>
      </c>
      <c r="O8" s="17">
        <f t="shared" si="3"/>
        <v>77555.380000000063</v>
      </c>
      <c r="P8" s="17"/>
      <c r="Q8" s="17">
        <f t="shared" si="4"/>
        <v>77555.380000000063</v>
      </c>
      <c r="R8" s="17">
        <v>7</v>
      </c>
    </row>
    <row r="9" spans="1:18" x14ac:dyDescent="0.25">
      <c r="A9" s="4" t="s">
        <v>10</v>
      </c>
      <c r="B9" s="26"/>
      <c r="C9" s="27"/>
      <c r="D9" s="27"/>
      <c r="E9" s="28">
        <f t="shared" si="0"/>
        <v>0</v>
      </c>
      <c r="F9" s="29">
        <v>232333.58999999997</v>
      </c>
      <c r="G9" s="30"/>
      <c r="H9" s="30"/>
      <c r="I9" s="31">
        <f t="shared" si="1"/>
        <v>232333.58999999997</v>
      </c>
      <c r="J9" s="32"/>
      <c r="K9" s="32"/>
      <c r="L9" s="32"/>
      <c r="M9" s="33">
        <f t="shared" si="2"/>
        <v>0</v>
      </c>
      <c r="N9" s="34"/>
      <c r="O9" s="17">
        <f t="shared" si="3"/>
        <v>232333.58999999997</v>
      </c>
      <c r="P9" s="17"/>
      <c r="Q9" s="17">
        <f t="shared" si="4"/>
        <v>232333.58999999997</v>
      </c>
      <c r="R9" s="17">
        <v>11</v>
      </c>
    </row>
    <row r="10" spans="1:18" x14ac:dyDescent="0.25">
      <c r="A10" s="4" t="s">
        <v>11</v>
      </c>
      <c r="B10" s="26"/>
      <c r="C10" s="27"/>
      <c r="D10" s="27"/>
      <c r="E10" s="28">
        <f t="shared" si="0"/>
        <v>0</v>
      </c>
      <c r="F10" s="29">
        <v>1441963.9899999998</v>
      </c>
      <c r="G10" s="30"/>
      <c r="H10" s="30"/>
      <c r="I10" s="31">
        <f t="shared" si="1"/>
        <v>1441963.9899999998</v>
      </c>
      <c r="J10" s="32"/>
      <c r="K10" s="32"/>
      <c r="L10" s="32"/>
      <c r="M10" s="33">
        <f t="shared" si="2"/>
        <v>0</v>
      </c>
      <c r="N10" s="34">
        <v>33344.82</v>
      </c>
      <c r="O10" s="17">
        <f t="shared" si="3"/>
        <v>1475308.8099999998</v>
      </c>
      <c r="P10" s="17"/>
      <c r="Q10" s="17">
        <f t="shared" si="4"/>
        <v>1475308.8099999998</v>
      </c>
      <c r="R10" s="17">
        <v>10</v>
      </c>
    </row>
    <row r="11" spans="1:18" x14ac:dyDescent="0.25">
      <c r="A11" s="4" t="s">
        <v>12</v>
      </c>
      <c r="B11" s="26"/>
      <c r="C11" s="27"/>
      <c r="D11" s="27"/>
      <c r="E11" s="28">
        <f t="shared" si="0"/>
        <v>0</v>
      </c>
      <c r="F11" s="29">
        <v>1441477.9099999939</v>
      </c>
      <c r="G11" s="30"/>
      <c r="H11" s="30">
        <v>15000</v>
      </c>
      <c r="I11" s="31">
        <f t="shared" si="1"/>
        <v>1456477.9099999939</v>
      </c>
      <c r="J11" s="32"/>
      <c r="K11" s="32"/>
      <c r="L11" s="32"/>
      <c r="M11" s="33">
        <f t="shared" si="2"/>
        <v>0</v>
      </c>
      <c r="N11" s="34">
        <v>298229.38</v>
      </c>
      <c r="O11" s="17">
        <f t="shared" si="3"/>
        <v>1754707.289999994</v>
      </c>
      <c r="P11" s="17"/>
      <c r="Q11" s="17">
        <f t="shared" si="4"/>
        <v>1754707.289999994</v>
      </c>
      <c r="R11" s="17">
        <v>9</v>
      </c>
    </row>
    <row r="12" spans="1:18" x14ac:dyDescent="0.25">
      <c r="A12" s="4" t="s">
        <v>13</v>
      </c>
      <c r="B12" s="26">
        <v>-54439.340000000004</v>
      </c>
      <c r="C12" s="27"/>
      <c r="D12" s="27"/>
      <c r="E12" s="28">
        <f t="shared" si="0"/>
        <v>-54439.340000000004</v>
      </c>
      <c r="F12" s="29">
        <v>1208056.229999996</v>
      </c>
      <c r="G12" s="30"/>
      <c r="H12" s="30"/>
      <c r="I12" s="31">
        <f t="shared" si="1"/>
        <v>1208056.229999996</v>
      </c>
      <c r="J12" s="32">
        <v>5433273.3500000034</v>
      </c>
      <c r="K12" s="32">
        <f>-35380.65</f>
        <v>-35380.65</v>
      </c>
      <c r="L12" s="32">
        <f>-1751320.41</f>
        <v>-1751320.41</v>
      </c>
      <c r="M12" s="33">
        <f t="shared" si="2"/>
        <v>3646572.2900000028</v>
      </c>
      <c r="N12" s="34">
        <v>13003.97</v>
      </c>
      <c r="O12" s="17">
        <f t="shared" si="3"/>
        <v>4813193.1499999985</v>
      </c>
      <c r="P12" s="17"/>
      <c r="Q12" s="17">
        <f t="shared" si="4"/>
        <v>4813193.1499999985</v>
      </c>
      <c r="R12" s="17">
        <v>12</v>
      </c>
    </row>
    <row r="13" spans="1:18" x14ac:dyDescent="0.25">
      <c r="A13" s="4" t="s">
        <v>14</v>
      </c>
      <c r="B13" s="26"/>
      <c r="C13" s="27"/>
      <c r="D13" s="27"/>
      <c r="E13" s="28">
        <f t="shared" si="0"/>
        <v>0</v>
      </c>
      <c r="F13" s="29">
        <v>129486.43000000001</v>
      </c>
      <c r="G13" s="30"/>
      <c r="H13" s="30"/>
      <c r="I13" s="31">
        <f t="shared" si="1"/>
        <v>129486.43000000001</v>
      </c>
      <c r="J13" s="32">
        <v>56</v>
      </c>
      <c r="K13" s="32"/>
      <c r="L13" s="32"/>
      <c r="M13" s="33">
        <f t="shared" si="2"/>
        <v>56</v>
      </c>
      <c r="N13" s="34">
        <v>35755.18</v>
      </c>
      <c r="O13" s="17">
        <f t="shared" si="3"/>
        <v>165297.61000000002</v>
      </c>
      <c r="P13" s="17"/>
      <c r="Q13" s="17">
        <f t="shared" si="4"/>
        <v>165297.61000000002</v>
      </c>
      <c r="R13" s="17">
        <v>15</v>
      </c>
    </row>
    <row r="14" spans="1:18" x14ac:dyDescent="0.25">
      <c r="A14" s="4" t="s">
        <v>15</v>
      </c>
      <c r="B14" s="26"/>
      <c r="C14" s="27"/>
      <c r="D14" s="27"/>
      <c r="E14" s="28">
        <f t="shared" si="0"/>
        <v>0</v>
      </c>
      <c r="F14" s="29"/>
      <c r="G14" s="30"/>
      <c r="H14" s="30"/>
      <c r="I14" s="31">
        <f t="shared" si="1"/>
        <v>0</v>
      </c>
      <c r="J14" s="32">
        <v>46026.859999999993</v>
      </c>
      <c r="K14" s="32"/>
      <c r="L14" s="32"/>
      <c r="M14" s="33">
        <f t="shared" si="2"/>
        <v>46026.859999999993</v>
      </c>
      <c r="N14" s="34"/>
      <c r="O14" s="17">
        <f t="shared" si="3"/>
        <v>46026.859999999993</v>
      </c>
      <c r="P14" s="17"/>
      <c r="Q14" s="17">
        <f t="shared" si="4"/>
        <v>46026.859999999993</v>
      </c>
      <c r="R14" s="17">
        <v>6</v>
      </c>
    </row>
    <row r="15" spans="1:18" ht="15.75" thickBot="1" x14ac:dyDescent="0.3">
      <c r="A15" s="4" t="s">
        <v>0</v>
      </c>
      <c r="B15" s="36">
        <f>SUM(B3:B14)</f>
        <v>7111082.3900000239</v>
      </c>
      <c r="C15" s="37">
        <f t="shared" ref="C15:M15" si="5">SUM(C3:C14)</f>
        <v>0</v>
      </c>
      <c r="D15" s="37">
        <f t="shared" si="5"/>
        <v>283889.03999999998</v>
      </c>
      <c r="E15" s="38">
        <f t="shared" si="5"/>
        <v>7394971.4300000239</v>
      </c>
      <c r="F15" s="39">
        <f t="shared" si="5"/>
        <v>37552808.239999972</v>
      </c>
      <c r="G15" s="40">
        <f t="shared" si="5"/>
        <v>-89657.370000000024</v>
      </c>
      <c r="H15" s="40">
        <f t="shared" si="5"/>
        <v>1107682.76</v>
      </c>
      <c r="I15" s="41">
        <f t="shared" si="5"/>
        <v>38570833.629999973</v>
      </c>
      <c r="J15" s="42">
        <f t="shared" si="5"/>
        <v>20162694.550000012</v>
      </c>
      <c r="K15" s="42">
        <f t="shared" si="5"/>
        <v>32054.869999999988</v>
      </c>
      <c r="L15" s="42">
        <f t="shared" si="5"/>
        <v>-191423.28000000003</v>
      </c>
      <c r="M15" s="43">
        <f t="shared" si="5"/>
        <v>20003326.140000012</v>
      </c>
      <c r="N15" s="44">
        <f t="shared" ref="N15" si="6">SUM(N3:N14)</f>
        <v>1175646.0299999998</v>
      </c>
      <c r="O15" s="25">
        <f t="shared" ref="O15" si="7">SUM(O3:O14)</f>
        <v>67144777.230000019</v>
      </c>
      <c r="P15" s="25">
        <f t="shared" ref="P15" si="8">SUM(P3:P14)</f>
        <v>185181.74</v>
      </c>
      <c r="Q15" s="25">
        <f t="shared" ref="Q15" si="9">SUM(Q3:Q14)</f>
        <v>67329958.970000014</v>
      </c>
      <c r="R15" s="45" t="s">
        <v>16</v>
      </c>
    </row>
    <row r="16" spans="1:18" ht="15.75" thickTop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16" t="s">
        <v>55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16" t="s">
        <v>35</v>
      </c>
      <c r="B19" s="17"/>
      <c r="C19" s="17">
        <f>C3</f>
        <v>75727.09</v>
      </c>
      <c r="D19" s="17"/>
      <c r="E19" s="17"/>
      <c r="F19" s="17"/>
      <c r="G19" s="17">
        <f>G3</f>
        <v>242217.16</v>
      </c>
      <c r="H19" s="17"/>
      <c r="I19" s="17"/>
      <c r="J19" s="17"/>
      <c r="K19" s="17">
        <f>K3</f>
        <v>184843.33</v>
      </c>
      <c r="L19" s="17"/>
      <c r="M19" s="17"/>
      <c r="N19" s="17"/>
      <c r="O19" s="17"/>
      <c r="P19" s="17"/>
      <c r="Q19" s="17"/>
      <c r="R19" s="17"/>
    </row>
    <row r="20" spans="1:18" x14ac:dyDescent="0.25">
      <c r="A20" s="16" t="s">
        <v>36</v>
      </c>
      <c r="B20" s="17"/>
      <c r="C20" s="17">
        <f>-C19</f>
        <v>-75727.09</v>
      </c>
      <c r="D20" s="17"/>
      <c r="E20" s="17"/>
      <c r="F20" s="17"/>
      <c r="G20" s="17">
        <f>-G19</f>
        <v>-242217.16</v>
      </c>
      <c r="H20" s="17"/>
      <c r="I20" s="17"/>
      <c r="J20" s="17"/>
      <c r="K20" s="17">
        <f>-149462.68</f>
        <v>-149462.68</v>
      </c>
      <c r="L20" s="17"/>
      <c r="M20" s="17"/>
      <c r="N20" s="17"/>
      <c r="O20" s="17"/>
      <c r="P20" s="17"/>
      <c r="Q20" s="17"/>
      <c r="R20" s="17"/>
    </row>
    <row r="21" spans="1:18" x14ac:dyDescent="0.25">
      <c r="A21" s="16" t="s">
        <v>37</v>
      </c>
      <c r="B21" s="17"/>
      <c r="C21" s="17"/>
      <c r="D21" s="17"/>
      <c r="E21" s="17"/>
      <c r="F21" s="17"/>
      <c r="G21" s="17"/>
      <c r="H21" s="17"/>
      <c r="I21" s="17"/>
      <c r="J21" s="17"/>
      <c r="K21" s="17">
        <f>-35380.65</f>
        <v>-35380.65</v>
      </c>
      <c r="L21" s="17"/>
      <c r="M21" s="17"/>
      <c r="N21" s="17"/>
      <c r="O21" s="17"/>
      <c r="P21" s="17"/>
      <c r="Q21" s="17"/>
      <c r="R21" s="17"/>
    </row>
    <row r="22" spans="1:18" x14ac:dyDescent="0.25">
      <c r="A22" s="16" t="s">
        <v>38</v>
      </c>
      <c r="B22" s="17"/>
      <c r="C22" s="17"/>
      <c r="D22" s="17"/>
      <c r="E22" s="17"/>
      <c r="F22" s="17"/>
      <c r="G22" s="17">
        <f>-69108.62</f>
        <v>-69108.62</v>
      </c>
      <c r="H22" s="17"/>
      <c r="I22" s="17"/>
      <c r="J22" s="17"/>
      <c r="K22" s="17">
        <f>-G22</f>
        <v>69108.62</v>
      </c>
      <c r="L22" s="17"/>
      <c r="M22" s="17"/>
      <c r="N22" s="17"/>
      <c r="O22" s="17"/>
      <c r="P22" s="17"/>
      <c r="Q22" s="17"/>
      <c r="R22" s="17"/>
    </row>
    <row r="23" spans="1:18" x14ac:dyDescent="0.25">
      <c r="A23" s="16" t="s">
        <v>39</v>
      </c>
      <c r="B23" s="17"/>
      <c r="C23" s="17"/>
      <c r="D23" s="17"/>
      <c r="E23" s="17"/>
      <c r="F23" s="17"/>
      <c r="G23" s="17">
        <f>-20548.75</f>
        <v>-20548.75</v>
      </c>
      <c r="H23" s="17"/>
      <c r="I23" s="17"/>
      <c r="J23" s="17"/>
      <c r="K23" s="17">
        <f>-37053.75</f>
        <v>-37053.75</v>
      </c>
      <c r="L23" s="17"/>
      <c r="M23" s="17"/>
      <c r="N23" s="17"/>
      <c r="O23" s="17"/>
      <c r="P23" s="17"/>
      <c r="Q23" s="17"/>
      <c r="R23" s="17"/>
    </row>
    <row r="24" spans="1:18" ht="15.75" thickBot="1" x14ac:dyDescent="0.3">
      <c r="B24" s="17"/>
      <c r="C24" s="25">
        <f>SUM(C19:C23)</f>
        <v>0</v>
      </c>
      <c r="D24" s="17"/>
      <c r="E24" s="17"/>
      <c r="F24" s="17"/>
      <c r="G24" s="25">
        <f>SUM(G19:G23)</f>
        <v>-89657.37</v>
      </c>
      <c r="H24" s="17"/>
      <c r="I24" s="17"/>
      <c r="J24" s="17"/>
      <c r="K24" s="25">
        <f>SUM(K19:K23)</f>
        <v>32054.869999999995</v>
      </c>
      <c r="L24" s="17"/>
      <c r="M24" s="17"/>
      <c r="N24" s="17"/>
      <c r="O24" s="17"/>
      <c r="P24" s="17"/>
      <c r="Q24" s="17"/>
      <c r="R24" s="17"/>
    </row>
    <row r="25" spans="1:18" ht="15.75" thickTop="1" x14ac:dyDescent="0.25">
      <c r="A25" s="16" t="s">
        <v>56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16" t="s">
        <v>40</v>
      </c>
      <c r="B26" s="17"/>
      <c r="C26" s="17"/>
      <c r="D26" s="17">
        <f>D7</f>
        <v>283889.03999999998</v>
      </c>
      <c r="E26" s="17"/>
      <c r="F26" s="17"/>
      <c r="G26" s="17"/>
      <c r="H26" s="17">
        <v>907534.24</v>
      </c>
      <c r="I26" s="17"/>
      <c r="J26" s="17"/>
      <c r="K26" s="17"/>
      <c r="L26" s="17">
        <v>559897.13</v>
      </c>
      <c r="M26" s="17"/>
      <c r="N26" s="17"/>
      <c r="O26" s="17"/>
      <c r="P26" s="17"/>
      <c r="Q26" s="17"/>
      <c r="R26" s="17"/>
    </row>
    <row r="27" spans="1:18" x14ac:dyDescent="0.25">
      <c r="A27" s="16" t="s">
        <v>41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>
        <f>L12</f>
        <v>-1751320.41</v>
      </c>
      <c r="M27" s="17"/>
      <c r="N27" s="17"/>
      <c r="O27" s="17"/>
      <c r="P27" s="17"/>
      <c r="Q27" s="17"/>
      <c r="R27" s="17"/>
    </row>
    <row r="28" spans="1:18" x14ac:dyDescent="0.25">
      <c r="A28" s="16" t="s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>
        <v>1000000</v>
      </c>
      <c r="M28" s="17"/>
      <c r="N28" s="17"/>
      <c r="O28" s="17"/>
      <c r="P28" s="17"/>
      <c r="Q28" s="17"/>
      <c r="R28" s="17"/>
    </row>
    <row r="29" spans="1:18" x14ac:dyDescent="0.25">
      <c r="A29" s="16" t="s">
        <v>17</v>
      </c>
      <c r="B29" s="17"/>
      <c r="C29" s="17"/>
      <c r="D29" s="17"/>
      <c r="E29" s="17"/>
      <c r="F29" s="17"/>
      <c r="G29" s="17"/>
      <c r="H29" s="17">
        <f>186468.7</f>
        <v>186468.7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16" t="s">
        <v>42</v>
      </c>
      <c r="B30" s="17"/>
      <c r="C30" s="17"/>
      <c r="D30" s="17"/>
      <c r="E30" s="17"/>
      <c r="F30" s="17"/>
      <c r="G30" s="17"/>
      <c r="H30" s="17">
        <v>5328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16" t="s">
        <v>18</v>
      </c>
      <c r="B31" s="17"/>
      <c r="C31" s="17"/>
      <c r="D31" s="17"/>
      <c r="E31" s="17"/>
      <c r="F31" s="17"/>
      <c r="G31" s="17"/>
      <c r="H31" s="17">
        <f>-6647.48</f>
        <v>-6647.48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16" t="s">
        <v>43</v>
      </c>
      <c r="B32" s="17"/>
      <c r="C32" s="17"/>
      <c r="D32" s="17"/>
      <c r="E32" s="17"/>
      <c r="F32" s="17"/>
      <c r="G32" s="17"/>
      <c r="H32" s="17">
        <v>15000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2:18" ht="15.75" thickBot="1" x14ac:dyDescent="0.3">
      <c r="B33" s="17"/>
      <c r="C33" s="17"/>
      <c r="D33" s="25">
        <f>SUM(D26:D32)</f>
        <v>283889.03999999998</v>
      </c>
      <c r="E33" s="17"/>
      <c r="F33" s="17"/>
      <c r="G33" s="17"/>
      <c r="H33" s="25">
        <f>SUM(H26:H32)</f>
        <v>1107683.46</v>
      </c>
      <c r="I33" s="17"/>
      <c r="J33" s="17"/>
      <c r="K33" s="17"/>
      <c r="L33" s="25">
        <f>SUM(L26:L32)</f>
        <v>-191423.2799999998</v>
      </c>
      <c r="M33" s="17"/>
      <c r="N33" s="17"/>
      <c r="O33" s="17"/>
      <c r="P33" s="17"/>
      <c r="Q33" s="17"/>
      <c r="R33" s="17"/>
    </row>
    <row r="34" spans="2:18" ht="15.75" thickTop="1" x14ac:dyDescent="0.2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x14ac:dyDescent="0.2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2:18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2:18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</sheetData>
  <mergeCells count="1">
    <mergeCell ref="B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H12"/>
    </sheetView>
  </sheetViews>
  <sheetFormatPr defaultColWidth="11.7109375" defaultRowHeight="15" x14ac:dyDescent="0.25"/>
  <cols>
    <col min="1" max="1" width="33.5703125" style="17" bestFit="1" customWidth="1"/>
    <col min="2" max="2" width="16.85546875" style="17" bestFit="1" customWidth="1"/>
    <col min="3" max="4" width="12.5703125" style="17" bestFit="1" customWidth="1"/>
    <col min="5" max="5" width="11.5703125" style="17" bestFit="1" customWidth="1"/>
    <col min="6" max="6" width="14.5703125" style="17" customWidth="1"/>
    <col min="7" max="7" width="17.5703125" style="17" bestFit="1" customWidth="1"/>
    <col min="8" max="8" width="15" style="17" customWidth="1"/>
    <col min="9" max="9" width="12.5703125" style="17" bestFit="1" customWidth="1"/>
    <col min="10" max="16384" width="11.7109375" style="17"/>
  </cols>
  <sheetData>
    <row r="1" spans="1:8" x14ac:dyDescent="0.25">
      <c r="B1" s="50" t="s">
        <v>54</v>
      </c>
      <c r="C1" s="50"/>
      <c r="D1" s="50"/>
      <c r="E1" s="18" t="s">
        <v>1</v>
      </c>
    </row>
    <row r="2" spans="1:8" x14ac:dyDescent="0.25">
      <c r="A2" s="19" t="s">
        <v>34</v>
      </c>
      <c r="B2" s="20" t="s">
        <v>20</v>
      </c>
      <c r="C2" s="20" t="s">
        <v>22</v>
      </c>
      <c r="D2" s="20" t="s">
        <v>21</v>
      </c>
      <c r="E2" s="20" t="s">
        <v>21</v>
      </c>
      <c r="F2" s="20" t="s">
        <v>0</v>
      </c>
      <c r="G2" s="20" t="s">
        <v>53</v>
      </c>
      <c r="H2" s="20" t="s">
        <v>2</v>
      </c>
    </row>
    <row r="3" spans="1:8" x14ac:dyDescent="0.25">
      <c r="A3" s="21" t="s">
        <v>44</v>
      </c>
      <c r="B3" s="17">
        <v>46389.82</v>
      </c>
      <c r="C3" s="17">
        <f>175897.45+199+1841</f>
        <v>177937.45</v>
      </c>
      <c r="D3" s="17">
        <v>261334.98</v>
      </c>
      <c r="E3" s="17">
        <v>10217.66</v>
      </c>
      <c r="F3" s="17">
        <f>SUM(B3:E3)</f>
        <v>495879.91</v>
      </c>
      <c r="G3" s="17">
        <v>113316</v>
      </c>
      <c r="H3" s="17">
        <f>F3+G3</f>
        <v>609195.90999999992</v>
      </c>
    </row>
    <row r="4" spans="1:8" x14ac:dyDescent="0.25">
      <c r="A4" s="21" t="s">
        <v>45</v>
      </c>
      <c r="B4" s="17">
        <v>46553.919999999998</v>
      </c>
      <c r="C4" s="17">
        <v>93851.839999999997</v>
      </c>
      <c r="D4" s="17">
        <v>333636.37</v>
      </c>
      <c r="E4" s="17">
        <v>4563.57</v>
      </c>
      <c r="F4" s="17">
        <f>SUM(B4:E4)</f>
        <v>478605.7</v>
      </c>
      <c r="G4" s="17">
        <v>11827</v>
      </c>
      <c r="H4" s="17">
        <f>F4+G4</f>
        <v>490432.7</v>
      </c>
    </row>
    <row r="5" spans="1:8" x14ac:dyDescent="0.25">
      <c r="A5" s="21"/>
    </row>
    <row r="6" spans="1:8" x14ac:dyDescent="0.25">
      <c r="A6" s="21" t="s">
        <v>46</v>
      </c>
      <c r="B6" s="17">
        <v>6583.32</v>
      </c>
      <c r="C6" s="17">
        <v>21308.06</v>
      </c>
      <c r="D6" s="17">
        <v>37103.129999999997</v>
      </c>
      <c r="E6" s="17">
        <v>902.26</v>
      </c>
      <c r="F6" s="17">
        <f t="shared" ref="F6:F10" si="0">SUM(B6:E6)</f>
        <v>65896.76999999999</v>
      </c>
      <c r="G6" s="22"/>
      <c r="H6" s="17">
        <f t="shared" ref="H6:H10" si="1">F6+G6</f>
        <v>65896.76999999999</v>
      </c>
    </row>
    <row r="7" spans="1:8" x14ac:dyDescent="0.25">
      <c r="A7" s="21" t="s">
        <v>47</v>
      </c>
      <c r="B7" s="17">
        <v>15774.34</v>
      </c>
      <c r="C7" s="17">
        <v>50883.1</v>
      </c>
      <c r="D7" s="17">
        <v>40584.6</v>
      </c>
      <c r="E7" s="17">
        <v>981.07</v>
      </c>
      <c r="F7" s="17">
        <f t="shared" si="0"/>
        <v>108223.11000000002</v>
      </c>
      <c r="G7" s="22">
        <v>23495.859999999997</v>
      </c>
      <c r="H7" s="17">
        <f t="shared" si="1"/>
        <v>131718.97</v>
      </c>
    </row>
    <row r="8" spans="1:8" x14ac:dyDescent="0.25">
      <c r="A8" s="21" t="s">
        <v>48</v>
      </c>
      <c r="C8" s="17">
        <v>24703</v>
      </c>
      <c r="F8" s="17">
        <f t="shared" si="0"/>
        <v>24703</v>
      </c>
      <c r="G8" s="22">
        <v>0</v>
      </c>
      <c r="H8" s="17">
        <f t="shared" si="1"/>
        <v>24703</v>
      </c>
    </row>
    <row r="9" spans="1:8" x14ac:dyDescent="0.25">
      <c r="A9" s="21" t="s">
        <v>49</v>
      </c>
      <c r="B9" s="17">
        <v>5002.32</v>
      </c>
      <c r="C9" s="17">
        <v>20243.87</v>
      </c>
      <c r="E9" s="17">
        <v>28.79</v>
      </c>
      <c r="F9" s="17">
        <f t="shared" si="0"/>
        <v>25274.98</v>
      </c>
      <c r="G9" s="22">
        <v>8016.8499999999995</v>
      </c>
      <c r="H9" s="17">
        <f t="shared" si="1"/>
        <v>33291.83</v>
      </c>
    </row>
    <row r="10" spans="1:8" x14ac:dyDescent="0.25">
      <c r="A10" s="21" t="s">
        <v>50</v>
      </c>
      <c r="B10" s="17">
        <v>17738.03</v>
      </c>
      <c r="C10" s="17">
        <v>70023.820000000007</v>
      </c>
      <c r="E10" s="17">
        <v>3.62</v>
      </c>
      <c r="F10" s="17">
        <f t="shared" si="0"/>
        <v>87765.47</v>
      </c>
      <c r="G10" s="23">
        <v>28526.03</v>
      </c>
      <c r="H10" s="17">
        <f t="shared" si="1"/>
        <v>116291.5</v>
      </c>
    </row>
    <row r="11" spans="1:8" x14ac:dyDescent="0.25">
      <c r="A11" s="21" t="s">
        <v>51</v>
      </c>
      <c r="B11" s="24">
        <f t="shared" ref="B11:F11" si="2">SUM(B6:B10)</f>
        <v>45098.009999999995</v>
      </c>
      <c r="C11" s="24">
        <f t="shared" si="2"/>
        <v>187161.85</v>
      </c>
      <c r="D11" s="24">
        <f t="shared" si="2"/>
        <v>77687.73</v>
      </c>
      <c r="E11" s="24">
        <f t="shared" si="2"/>
        <v>1915.7399999999998</v>
      </c>
      <c r="F11" s="24">
        <f t="shared" si="2"/>
        <v>311863.33</v>
      </c>
      <c r="G11" s="24">
        <f t="shared" ref="G11:H11" si="3">SUM(G6:G10)</f>
        <v>60038.739999999991</v>
      </c>
      <c r="H11" s="24">
        <f t="shared" si="3"/>
        <v>371902.07</v>
      </c>
    </row>
    <row r="12" spans="1:8" ht="15.75" thickBot="1" x14ac:dyDescent="0.3">
      <c r="A12" s="21" t="s">
        <v>52</v>
      </c>
      <c r="B12" s="25">
        <f t="shared" ref="B12:F12" si="4">B11+B4+B3</f>
        <v>138041.75</v>
      </c>
      <c r="C12" s="25">
        <f t="shared" si="4"/>
        <v>458951.14</v>
      </c>
      <c r="D12" s="25">
        <f t="shared" si="4"/>
        <v>672659.08</v>
      </c>
      <c r="E12" s="25">
        <f t="shared" si="4"/>
        <v>16696.97</v>
      </c>
      <c r="F12" s="25">
        <f t="shared" si="4"/>
        <v>1286348.94</v>
      </c>
      <c r="G12" s="25">
        <f t="shared" ref="G12:H12" si="5">G11+G4+G3</f>
        <v>185181.74</v>
      </c>
      <c r="H12" s="25">
        <f t="shared" si="5"/>
        <v>1471530.68</v>
      </c>
    </row>
    <row r="13" spans="1:8" ht="15.75" thickTop="1" x14ac:dyDescent="0.25"/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Summary Clearing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