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3.xml" ContentType="application/vnd.openxmlformats-officedocument.spreadsheetml.comment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1.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alcChain.xml" ContentType="application/vnd.openxmlformats-officedocument.spreadsheetml.calcChain+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75" windowWidth="19155" windowHeight="8265" tabRatio="912"/>
  </bookViews>
  <sheets>
    <sheet name="A-1 Estimated Revenue Req." sheetId="21" r:id="rId1"/>
    <sheet name="B-1" sheetId="25" r:id="rId2"/>
    <sheet name="B-2" sheetId="26" r:id="rId3"/>
    <sheet name="B-3" sheetId="54" r:id="rId4"/>
    <sheet name="C-1" sheetId="27" r:id="rId5"/>
    <sheet name="C-2" sheetId="28" r:id="rId6"/>
    <sheet name="D-1a" sheetId="29" r:id="rId7"/>
    <sheet name="D-1b" sheetId="30" r:id="rId8"/>
    <sheet name="Uniform Rate Inc" sheetId="22" r:id="rId9"/>
    <sheet name="Rates by Tariff" sheetId="23" r:id="rId10"/>
    <sheet name="Uniform Rate Inc lighting" sheetId="32" r:id="rId11"/>
    <sheet name="Storm Cost Detail" sheetId="55" r:id="rId12"/>
    <sheet name="Reg Asset Lost Customers" sheetId="56" r:id="rId13"/>
    <sheet name="Reg Asset Exp Not Rec in Base" sheetId="57" r:id="rId14"/>
    <sheet name="Regulatory Asset for AD change" sheetId="61" r:id="rId15"/>
  </sheets>
  <definedNames>
    <definedName name="_xlnm.Print_Area" localSheetId="4">'C-1'!$A$1:$S$51</definedName>
  </definedNames>
  <calcPr calcId="162913"/>
</workbook>
</file>

<file path=xl/calcChain.xml><?xml version="1.0" encoding="utf-8"?>
<calcChain xmlns="http://schemas.openxmlformats.org/spreadsheetml/2006/main">
  <c r="M23" i="25" l="1"/>
  <c r="M24" i="25"/>
  <c r="M25" i="25"/>
  <c r="M26" i="25"/>
  <c r="G26" i="25"/>
  <c r="E26" i="25"/>
  <c r="K33" i="26"/>
  <c r="D26" i="25"/>
  <c r="O33" i="26"/>
  <c r="K26" i="26"/>
  <c r="O26" i="26" s="1"/>
  <c r="H27" i="28"/>
  <c r="I9" i="61"/>
  <c r="I10" i="61"/>
  <c r="I11" i="61"/>
  <c r="I12" i="61"/>
  <c r="I13" i="61"/>
  <c r="I14" i="61"/>
  <c r="I15" i="61"/>
  <c r="I16" i="61"/>
  <c r="I17" i="61"/>
  <c r="I18" i="61"/>
  <c r="I8" i="61"/>
  <c r="H19" i="61"/>
  <c r="E25" i="54" l="1"/>
  <c r="E32" i="54" l="1"/>
  <c r="E31" i="54"/>
  <c r="E27" i="54"/>
  <c r="E28" i="54"/>
  <c r="E22" i="54"/>
  <c r="D27" i="55" l="1"/>
  <c r="O2" i="56" l="1"/>
  <c r="O2" i="57" s="1"/>
  <c r="J3" i="61" s="1"/>
  <c r="G121" i="54" l="1"/>
  <c r="H121" i="54" s="1"/>
  <c r="I121" i="54" s="1"/>
  <c r="J121" i="54" s="1"/>
  <c r="K121" i="54" s="1"/>
  <c r="P121" i="54" s="1"/>
  <c r="Q121" i="54" s="1"/>
  <c r="R121" i="54" s="1"/>
  <c r="S121" i="54" s="1"/>
  <c r="T121" i="54" s="1"/>
  <c r="U121" i="54" s="1"/>
  <c r="V121" i="54" l="1"/>
  <c r="Q19" i="56"/>
  <c r="D7" i="57" l="1"/>
  <c r="L27" i="57" l="1"/>
  <c r="L29" i="57" s="1"/>
  <c r="L24" i="57"/>
  <c r="H28" i="57"/>
  <c r="C28" i="57"/>
  <c r="L25" i="57"/>
  <c r="F28" i="57"/>
  <c r="L22" i="57"/>
  <c r="B28" i="57"/>
  <c r="L20" i="57"/>
  <c r="L23" i="57" l="1"/>
  <c r="G28" i="57"/>
  <c r="E28" i="57"/>
  <c r="D28" i="57" l="1"/>
  <c r="L21" i="57"/>
  <c r="L28" i="57" s="1"/>
  <c r="L30" i="57" s="1"/>
  <c r="D9" i="57" s="1"/>
  <c r="C35" i="57" l="1"/>
  <c r="U48" i="54"/>
  <c r="U1" i="54"/>
  <c r="U96" i="54" s="1"/>
  <c r="J96" i="54"/>
  <c r="J48" i="54"/>
  <c r="F13" i="61" l="1"/>
  <c r="G9" i="61" l="1"/>
  <c r="G10" i="61"/>
  <c r="G11" i="61"/>
  <c r="G12" i="61"/>
  <c r="G13" i="61"/>
  <c r="G14" i="61"/>
  <c r="G15" i="61"/>
  <c r="G16" i="61"/>
  <c r="G8" i="61"/>
  <c r="U79" i="54"/>
  <c r="T79" i="54"/>
  <c r="S79" i="54"/>
  <c r="R79" i="54"/>
  <c r="Q79" i="54"/>
  <c r="P79" i="54"/>
  <c r="K79" i="54"/>
  <c r="J79" i="54"/>
  <c r="I79" i="54"/>
  <c r="H79" i="54"/>
  <c r="G79" i="54"/>
  <c r="F79" i="54"/>
  <c r="E79" i="54"/>
  <c r="V117" i="54" l="1"/>
  <c r="P33" i="54"/>
  <c r="F19" i="61" l="1"/>
  <c r="E19" i="61"/>
  <c r="G18" i="61" l="1"/>
  <c r="G17" i="61"/>
  <c r="I19" i="61" l="1"/>
  <c r="G19" i="61"/>
  <c r="D20" i="29"/>
  <c r="H28" i="61" l="1"/>
  <c r="H32" i="61"/>
  <c r="H24" i="61"/>
  <c r="H25" i="61"/>
  <c r="H29" i="61"/>
  <c r="H33" i="61"/>
  <c r="H26" i="61"/>
  <c r="H30" i="61"/>
  <c r="H34" i="61"/>
  <c r="H27" i="61"/>
  <c r="H31" i="61"/>
  <c r="H35" i="61"/>
  <c r="E26" i="61"/>
  <c r="E31" i="61"/>
  <c r="E29" i="61"/>
  <c r="E30" i="61"/>
  <c r="E24" i="61"/>
  <c r="E35" i="61"/>
  <c r="E33" i="61"/>
  <c r="E34" i="61"/>
  <c r="E23" i="61"/>
  <c r="E28" i="61"/>
  <c r="E27" i="61"/>
  <c r="E32" i="61"/>
  <c r="E25" i="61"/>
  <c r="G23" i="61" l="1"/>
  <c r="E36" i="61"/>
  <c r="E37" i="61" s="1"/>
  <c r="F24" i="61"/>
  <c r="H36" i="61"/>
  <c r="F25" i="61" l="1"/>
  <c r="G24" i="61"/>
  <c r="F26" i="61" l="1"/>
  <c r="G25" i="61"/>
  <c r="E56" i="54"/>
  <c r="E83" i="54" s="1"/>
  <c r="E57" i="54"/>
  <c r="E84" i="54" s="1"/>
  <c r="E58" i="54"/>
  <c r="E85" i="54" s="1"/>
  <c r="E59" i="54"/>
  <c r="E86" i="54" s="1"/>
  <c r="E60" i="54"/>
  <c r="E87" i="54" s="1"/>
  <c r="E61" i="54"/>
  <c r="E88" i="54" s="1"/>
  <c r="E62" i="54"/>
  <c r="E89" i="54" s="1"/>
  <c r="E63" i="54"/>
  <c r="E90" i="54" s="1"/>
  <c r="E64" i="54"/>
  <c r="E91" i="54" s="1"/>
  <c r="E65" i="54"/>
  <c r="E92" i="54" s="1"/>
  <c r="E55" i="54"/>
  <c r="E82" i="54" s="1"/>
  <c r="E36" i="54"/>
  <c r="E37" i="54"/>
  <c r="E39" i="54"/>
  <c r="E40" i="54"/>
  <c r="E41" i="54"/>
  <c r="E42" i="54"/>
  <c r="E43" i="54"/>
  <c r="E44" i="54"/>
  <c r="E45" i="54"/>
  <c r="E35" i="54"/>
  <c r="S33" i="54"/>
  <c r="R33" i="54"/>
  <c r="Q33" i="54"/>
  <c r="K33" i="54"/>
  <c r="J33" i="54"/>
  <c r="G33" i="54"/>
  <c r="F33" i="54"/>
  <c r="I33" i="54"/>
  <c r="U33" i="54"/>
  <c r="E19" i="54"/>
  <c r="F27" i="61" l="1"/>
  <c r="G26" i="61"/>
  <c r="F45" i="54"/>
  <c r="G45" i="54" s="1"/>
  <c r="H45" i="54" s="1"/>
  <c r="I45" i="54" s="1"/>
  <c r="J45" i="54" s="1"/>
  <c r="K45" i="54" s="1"/>
  <c r="P45" i="54" s="1"/>
  <c r="F41" i="54"/>
  <c r="G41" i="54" s="1"/>
  <c r="H41" i="54" s="1"/>
  <c r="I41" i="54" s="1"/>
  <c r="J41" i="54" s="1"/>
  <c r="K41" i="54" s="1"/>
  <c r="P41" i="54" s="1"/>
  <c r="F36" i="54"/>
  <c r="G36" i="54" s="1"/>
  <c r="F44" i="54"/>
  <c r="G44" i="54" s="1"/>
  <c r="H44" i="54" s="1"/>
  <c r="I44" i="54" s="1"/>
  <c r="J44" i="54" s="1"/>
  <c r="K44" i="54" s="1"/>
  <c r="K112" i="54" s="1"/>
  <c r="K64" i="54" s="1"/>
  <c r="F40" i="54"/>
  <c r="G40" i="54" s="1"/>
  <c r="H40" i="54" s="1"/>
  <c r="I40" i="54" s="1"/>
  <c r="J40" i="54" s="1"/>
  <c r="K40" i="54" s="1"/>
  <c r="K108" i="54" s="1"/>
  <c r="K60" i="54" s="1"/>
  <c r="F43" i="54"/>
  <c r="G43" i="54" s="1"/>
  <c r="H43" i="54" s="1"/>
  <c r="I43" i="54" s="1"/>
  <c r="J43" i="54" s="1"/>
  <c r="K43" i="54" s="1"/>
  <c r="K111" i="54" s="1"/>
  <c r="K63" i="54" s="1"/>
  <c r="F39" i="54"/>
  <c r="G39" i="54" s="1"/>
  <c r="H39" i="54" s="1"/>
  <c r="I39" i="54" s="1"/>
  <c r="J39" i="54" s="1"/>
  <c r="K39" i="54" s="1"/>
  <c r="P39" i="54" s="1"/>
  <c r="F35" i="54"/>
  <c r="G35" i="54" s="1"/>
  <c r="H35" i="54" s="1"/>
  <c r="I35" i="54" s="1"/>
  <c r="J35" i="54" s="1"/>
  <c r="K35" i="54" s="1"/>
  <c r="P35" i="54" s="1"/>
  <c r="Q35" i="54" s="1"/>
  <c r="Q103" i="54" s="1"/>
  <c r="Q55" i="54" s="1"/>
  <c r="F42" i="54"/>
  <c r="G42" i="54" s="1"/>
  <c r="H42" i="54" s="1"/>
  <c r="I42" i="54" s="1"/>
  <c r="J42" i="54" s="1"/>
  <c r="K42" i="54" s="1"/>
  <c r="K110" i="54" s="1"/>
  <c r="K62" i="54" s="1"/>
  <c r="E66" i="54"/>
  <c r="F37" i="54"/>
  <c r="T33" i="54"/>
  <c r="H33" i="54"/>
  <c r="G110" i="54" l="1"/>
  <c r="G62" i="54" s="1"/>
  <c r="J113" i="54"/>
  <c r="J65" i="54" s="1"/>
  <c r="K113" i="54"/>
  <c r="K65" i="54" s="1"/>
  <c r="P43" i="54"/>
  <c r="P111" i="54" s="1"/>
  <c r="P63" i="54" s="1"/>
  <c r="I111" i="54"/>
  <c r="I63" i="54" s="1"/>
  <c r="K109" i="54"/>
  <c r="K61" i="54" s="1"/>
  <c r="P40" i="54"/>
  <c r="Q40" i="54" s="1"/>
  <c r="H112" i="54"/>
  <c r="H64" i="54" s="1"/>
  <c r="F104" i="54"/>
  <c r="F56" i="54" s="1"/>
  <c r="F83" i="54" s="1"/>
  <c r="J109" i="54"/>
  <c r="J61" i="54" s="1"/>
  <c r="F111" i="54"/>
  <c r="F63" i="54" s="1"/>
  <c r="F90" i="54" s="1"/>
  <c r="P44" i="54"/>
  <c r="P112" i="54" s="1"/>
  <c r="P64" i="54" s="1"/>
  <c r="H107" i="54"/>
  <c r="H59" i="54" s="1"/>
  <c r="K107" i="54"/>
  <c r="K59" i="54" s="1"/>
  <c r="H111" i="54"/>
  <c r="H63" i="54" s="1"/>
  <c r="G111" i="54"/>
  <c r="G63" i="54" s="1"/>
  <c r="I112" i="54"/>
  <c r="I64" i="54" s="1"/>
  <c r="J111" i="54"/>
  <c r="J63" i="54" s="1"/>
  <c r="F28" i="61"/>
  <c r="G27" i="61"/>
  <c r="H113" i="54"/>
  <c r="H65" i="54" s="1"/>
  <c r="I110" i="54"/>
  <c r="I62" i="54" s="1"/>
  <c r="F110" i="54"/>
  <c r="F62" i="54" s="1"/>
  <c r="F89" i="54" s="1"/>
  <c r="I113" i="54"/>
  <c r="I65" i="54" s="1"/>
  <c r="J110" i="54"/>
  <c r="J62" i="54" s="1"/>
  <c r="G113" i="54"/>
  <c r="G65" i="54" s="1"/>
  <c r="J112" i="54"/>
  <c r="J64" i="54" s="1"/>
  <c r="P42" i="54"/>
  <c r="P110" i="54" s="1"/>
  <c r="P62" i="54" s="1"/>
  <c r="G107" i="54"/>
  <c r="G59" i="54" s="1"/>
  <c r="G112" i="54"/>
  <c r="G64" i="54" s="1"/>
  <c r="I107" i="54"/>
  <c r="I59" i="54" s="1"/>
  <c r="H108" i="54"/>
  <c r="H60" i="54" s="1"/>
  <c r="G109" i="54"/>
  <c r="G61" i="54" s="1"/>
  <c r="G103" i="54"/>
  <c r="G55" i="54" s="1"/>
  <c r="J103" i="54"/>
  <c r="J55" i="54" s="1"/>
  <c r="P103" i="54"/>
  <c r="P55" i="54" s="1"/>
  <c r="H109" i="54"/>
  <c r="H61" i="54" s="1"/>
  <c r="F108" i="54"/>
  <c r="G108" i="54"/>
  <c r="G60" i="54" s="1"/>
  <c r="F107" i="54"/>
  <c r="F103" i="54"/>
  <c r="J107" i="54"/>
  <c r="J59" i="54" s="1"/>
  <c r="H103" i="54"/>
  <c r="H55" i="54" s="1"/>
  <c r="H110" i="54"/>
  <c r="H62" i="54" s="1"/>
  <c r="F112" i="54"/>
  <c r="F109" i="54"/>
  <c r="F113" i="54"/>
  <c r="J108" i="54"/>
  <c r="J60" i="54" s="1"/>
  <c r="I103" i="54"/>
  <c r="I55" i="54" s="1"/>
  <c r="K103" i="54"/>
  <c r="K55" i="54" s="1"/>
  <c r="I108" i="54"/>
  <c r="I60" i="54" s="1"/>
  <c r="I109" i="54"/>
  <c r="I61" i="54" s="1"/>
  <c r="R35" i="54"/>
  <c r="R103" i="54" s="1"/>
  <c r="R55" i="54" s="1"/>
  <c r="P107" i="54"/>
  <c r="P59" i="54" s="1"/>
  <c r="Q39" i="54"/>
  <c r="P113" i="54"/>
  <c r="P65" i="54" s="1"/>
  <c r="Q45" i="54"/>
  <c r="P109" i="54"/>
  <c r="P61" i="54" s="1"/>
  <c r="Q41" i="54"/>
  <c r="E93" i="54"/>
  <c r="H36" i="54"/>
  <c r="G104" i="54"/>
  <c r="G56" i="54" s="1"/>
  <c r="G37" i="54"/>
  <c r="F105" i="54"/>
  <c r="G89" i="54" l="1"/>
  <c r="H89" i="54" s="1"/>
  <c r="I89" i="54" s="1"/>
  <c r="J89" i="54" s="1"/>
  <c r="K89" i="54" s="1"/>
  <c r="P89" i="54" s="1"/>
  <c r="P108" i="54"/>
  <c r="P60" i="54" s="1"/>
  <c r="Q43" i="54"/>
  <c r="Q111" i="54" s="1"/>
  <c r="G90" i="54"/>
  <c r="H90" i="54" s="1"/>
  <c r="I90" i="54" s="1"/>
  <c r="J90" i="54" s="1"/>
  <c r="K90" i="54" s="1"/>
  <c r="P90" i="54" s="1"/>
  <c r="S35" i="54"/>
  <c r="Q42" i="54"/>
  <c r="Q110" i="54" s="1"/>
  <c r="Q62" i="54" s="1"/>
  <c r="Q44" i="54"/>
  <c r="R44" i="54" s="1"/>
  <c r="G83" i="54"/>
  <c r="F29" i="61"/>
  <c r="G28" i="61"/>
  <c r="F61" i="54"/>
  <c r="F88" i="54" s="1"/>
  <c r="G88" i="54" s="1"/>
  <c r="H88" i="54" s="1"/>
  <c r="I88" i="54" s="1"/>
  <c r="J88" i="54" s="1"/>
  <c r="K88" i="54" s="1"/>
  <c r="P88" i="54" s="1"/>
  <c r="F57" i="54"/>
  <c r="F84" i="54" s="1"/>
  <c r="F64" i="54"/>
  <c r="F91" i="54" s="1"/>
  <c r="G91" i="54" s="1"/>
  <c r="H91" i="54" s="1"/>
  <c r="I91" i="54" s="1"/>
  <c r="J91" i="54" s="1"/>
  <c r="K91" i="54" s="1"/>
  <c r="P91" i="54" s="1"/>
  <c r="F55" i="54"/>
  <c r="F82" i="54" s="1"/>
  <c r="G82" i="54" s="1"/>
  <c r="H82" i="54" s="1"/>
  <c r="I82" i="54" s="1"/>
  <c r="J82" i="54" s="1"/>
  <c r="K82" i="54" s="1"/>
  <c r="P82" i="54" s="1"/>
  <c r="Q82" i="54" s="1"/>
  <c r="R82" i="54" s="1"/>
  <c r="F59" i="54"/>
  <c r="F86" i="54" s="1"/>
  <c r="G86" i="54" s="1"/>
  <c r="H86" i="54" s="1"/>
  <c r="I86" i="54" s="1"/>
  <c r="J86" i="54" s="1"/>
  <c r="K86" i="54" s="1"/>
  <c r="P86" i="54" s="1"/>
  <c r="F60" i="54"/>
  <c r="F87" i="54" s="1"/>
  <c r="G87" i="54" s="1"/>
  <c r="H87" i="54" s="1"/>
  <c r="I87" i="54" s="1"/>
  <c r="J87" i="54" s="1"/>
  <c r="K87" i="54" s="1"/>
  <c r="F65" i="54"/>
  <c r="F92" i="54" s="1"/>
  <c r="G92" i="54" s="1"/>
  <c r="H92" i="54" s="1"/>
  <c r="I92" i="54" s="1"/>
  <c r="J92" i="54" s="1"/>
  <c r="K92" i="54" s="1"/>
  <c r="P92" i="54" s="1"/>
  <c r="Q109" i="54"/>
  <c r="Q61" i="54" s="1"/>
  <c r="R41" i="54"/>
  <c r="Q107" i="54"/>
  <c r="Q59" i="54" s="1"/>
  <c r="R39" i="54"/>
  <c r="Q113" i="54"/>
  <c r="R45" i="54"/>
  <c r="Q108" i="54"/>
  <c r="Q60" i="54" s="1"/>
  <c r="R40" i="54"/>
  <c r="H37" i="54"/>
  <c r="G105" i="54"/>
  <c r="G57" i="54" s="1"/>
  <c r="I36" i="54"/>
  <c r="H104" i="54"/>
  <c r="H56" i="54" s="1"/>
  <c r="T35" i="54"/>
  <c r="S103" i="54"/>
  <c r="S55" i="54" s="1"/>
  <c r="P87" i="54" l="1"/>
  <c r="R42" i="54"/>
  <c r="S42" i="54" s="1"/>
  <c r="R43" i="54"/>
  <c r="S43" i="54" s="1"/>
  <c r="Q112" i="54"/>
  <c r="Q64" i="54" s="1"/>
  <c r="Q91" i="54" s="1"/>
  <c r="Q89" i="54"/>
  <c r="Q86" i="54"/>
  <c r="Q88" i="54"/>
  <c r="H83" i="54"/>
  <c r="Q87" i="54"/>
  <c r="G84" i="54"/>
  <c r="S82" i="54"/>
  <c r="F30" i="61"/>
  <c r="G29" i="61"/>
  <c r="Q63" i="54"/>
  <c r="Q90" i="54" s="1"/>
  <c r="S44" i="54"/>
  <c r="R112" i="54"/>
  <c r="R64" i="54" s="1"/>
  <c r="S45" i="54"/>
  <c r="R113" i="54"/>
  <c r="R65" i="54" s="1"/>
  <c r="S39" i="54"/>
  <c r="R107" i="54"/>
  <c r="R59" i="54" s="1"/>
  <c r="S40" i="54"/>
  <c r="R108" i="54"/>
  <c r="R60" i="54" s="1"/>
  <c r="Q65" i="54"/>
  <c r="Q92" i="54" s="1"/>
  <c r="S41" i="54"/>
  <c r="R109" i="54"/>
  <c r="R61" i="54" s="1"/>
  <c r="J36" i="54"/>
  <c r="I104" i="54"/>
  <c r="I56" i="54" s="1"/>
  <c r="I37" i="54"/>
  <c r="H105" i="54"/>
  <c r="U35" i="54"/>
  <c r="V35" i="54" s="1"/>
  <c r="T103" i="54"/>
  <c r="R88" i="54" l="1"/>
  <c r="R110" i="54"/>
  <c r="R62" i="54" s="1"/>
  <c r="R89" i="54" s="1"/>
  <c r="R111" i="54"/>
  <c r="R63" i="54" s="1"/>
  <c r="R92" i="54"/>
  <c r="R91" i="54"/>
  <c r="R86" i="54"/>
  <c r="R90" i="54"/>
  <c r="F31" i="61"/>
  <c r="G30" i="61"/>
  <c r="R87" i="54"/>
  <c r="I83" i="54"/>
  <c r="H57" i="54"/>
  <c r="H84" i="54" s="1"/>
  <c r="T55" i="54"/>
  <c r="T82" i="54" s="1"/>
  <c r="T41" i="54"/>
  <c r="S109" i="54"/>
  <c r="T44" i="54"/>
  <c r="S112" i="54"/>
  <c r="S64" i="54" s="1"/>
  <c r="T40" i="54"/>
  <c r="S108" i="54"/>
  <c r="S60" i="54" s="1"/>
  <c r="T42" i="54"/>
  <c r="S110" i="54"/>
  <c r="T39" i="54"/>
  <c r="S107" i="54"/>
  <c r="S59" i="54" s="1"/>
  <c r="T43" i="54"/>
  <c r="S111" i="54"/>
  <c r="S63" i="54" s="1"/>
  <c r="T45" i="54"/>
  <c r="S113" i="54"/>
  <c r="J37" i="54"/>
  <c r="I105" i="54"/>
  <c r="I57" i="54" s="1"/>
  <c r="J104" i="54"/>
  <c r="K36" i="54"/>
  <c r="U103" i="54"/>
  <c r="U55" i="54" s="1"/>
  <c r="S91" i="54" l="1"/>
  <c r="S90" i="54"/>
  <c r="S87" i="54"/>
  <c r="U82" i="54"/>
  <c r="V82" i="54" s="1"/>
  <c r="S86" i="54"/>
  <c r="I84" i="54"/>
  <c r="F32" i="61"/>
  <c r="G31" i="61"/>
  <c r="S62" i="54"/>
  <c r="S89" i="54" s="1"/>
  <c r="S61" i="54"/>
  <c r="S88" i="54" s="1"/>
  <c r="P36" i="54"/>
  <c r="P104" i="54" s="1"/>
  <c r="J56" i="54"/>
  <c r="J83" i="54" s="1"/>
  <c r="V103" i="54"/>
  <c r="S65" i="54"/>
  <c r="S92" i="54" s="1"/>
  <c r="U45" i="54"/>
  <c r="T113" i="54"/>
  <c r="T65" i="54" s="1"/>
  <c r="U42" i="54"/>
  <c r="V42" i="54" s="1"/>
  <c r="T110" i="54"/>
  <c r="T62" i="54" s="1"/>
  <c r="U41" i="54"/>
  <c r="V41" i="54" s="1"/>
  <c r="T109" i="54"/>
  <c r="T61" i="54" s="1"/>
  <c r="U39" i="54"/>
  <c r="V39" i="54" s="1"/>
  <c r="T107" i="54"/>
  <c r="T59" i="54" s="1"/>
  <c r="U44" i="54"/>
  <c r="V44" i="54" s="1"/>
  <c r="T112" i="54"/>
  <c r="U43" i="54"/>
  <c r="V43" i="54" s="1"/>
  <c r="T111" i="54"/>
  <c r="T63" i="54" s="1"/>
  <c r="T90" i="54" s="1"/>
  <c r="U40" i="54"/>
  <c r="T108" i="54"/>
  <c r="K104" i="54"/>
  <c r="K56" i="54" s="1"/>
  <c r="K37" i="54"/>
  <c r="J105" i="54"/>
  <c r="T86" i="54" l="1"/>
  <c r="T89" i="54"/>
  <c r="K83" i="54"/>
  <c r="G32" i="61"/>
  <c r="F33" i="61"/>
  <c r="T92" i="54"/>
  <c r="T88" i="54"/>
  <c r="P37" i="54"/>
  <c r="U108" i="54"/>
  <c r="U60" i="54" s="1"/>
  <c r="V40" i="54"/>
  <c r="U113" i="54"/>
  <c r="V45" i="54"/>
  <c r="J57" i="54"/>
  <c r="J84" i="54" s="1"/>
  <c r="T60" i="54"/>
  <c r="T87" i="54" s="1"/>
  <c r="Q36" i="54"/>
  <c r="Q104" i="54" s="1"/>
  <c r="P56" i="54"/>
  <c r="U111" i="54"/>
  <c r="U63" i="54" s="1"/>
  <c r="U110" i="54"/>
  <c r="U62" i="54" s="1"/>
  <c r="U112" i="54"/>
  <c r="T64" i="54"/>
  <c r="T91" i="54" s="1"/>
  <c r="U107" i="54"/>
  <c r="U109" i="54"/>
  <c r="K105" i="54"/>
  <c r="K57" i="54" s="1"/>
  <c r="P83" i="54" l="1"/>
  <c r="V111" i="54"/>
  <c r="U89" i="54"/>
  <c r="V89" i="54" s="1"/>
  <c r="U87" i="54"/>
  <c r="V87" i="54" s="1"/>
  <c r="K84" i="54"/>
  <c r="F34" i="61"/>
  <c r="G33" i="61"/>
  <c r="V108" i="54"/>
  <c r="U90" i="54"/>
  <c r="V90" i="54" s="1"/>
  <c r="U59" i="54"/>
  <c r="V107" i="54"/>
  <c r="U65" i="54"/>
  <c r="U92" i="54" s="1"/>
  <c r="V113" i="54"/>
  <c r="U64" i="54"/>
  <c r="U91" i="54" s="1"/>
  <c r="V91" i="54" s="1"/>
  <c r="V112" i="54"/>
  <c r="Q37" i="54"/>
  <c r="Q105" i="54" s="1"/>
  <c r="V110" i="54"/>
  <c r="U61" i="54"/>
  <c r="V109" i="54"/>
  <c r="P105" i="54"/>
  <c r="P57" i="54" s="1"/>
  <c r="R36" i="54"/>
  <c r="Q56" i="54"/>
  <c r="Q83" i="54" s="1"/>
  <c r="P84" i="54" l="1"/>
  <c r="U86" i="54"/>
  <c r="V86" i="54" s="1"/>
  <c r="U88" i="54"/>
  <c r="V88" i="54" s="1"/>
  <c r="V92" i="54"/>
  <c r="F35" i="61"/>
  <c r="G34" i="61"/>
  <c r="R37" i="54"/>
  <c r="Q57" i="54"/>
  <c r="S36" i="54"/>
  <c r="R104" i="54"/>
  <c r="R56" i="54" s="1"/>
  <c r="R83" i="54" s="1"/>
  <c r="Q84" i="54" l="1"/>
  <c r="G35" i="61"/>
  <c r="F36" i="61"/>
  <c r="F37" i="61" s="1"/>
  <c r="T36" i="54"/>
  <c r="S104" i="54"/>
  <c r="S56" i="54" s="1"/>
  <c r="S83" i="54" s="1"/>
  <c r="S37" i="54"/>
  <c r="R105" i="54"/>
  <c r="R57" i="54" s="1"/>
  <c r="R84" i="54" l="1"/>
  <c r="G36" i="61"/>
  <c r="G37" i="61" s="1"/>
  <c r="K43" i="26" s="1"/>
  <c r="U36" i="54"/>
  <c r="V36" i="54" s="1"/>
  <c r="T104" i="54"/>
  <c r="T56" i="54" s="1"/>
  <c r="T83" i="54" s="1"/>
  <c r="T37" i="54"/>
  <c r="S105" i="54"/>
  <c r="S57" i="54" s="1"/>
  <c r="S84" i="54" l="1"/>
  <c r="O25" i="25"/>
  <c r="O43" i="26"/>
  <c r="U104" i="54"/>
  <c r="U37" i="54"/>
  <c r="V37" i="54" s="1"/>
  <c r="T105" i="54"/>
  <c r="T57" i="54" s="1"/>
  <c r="T84" i="54" l="1"/>
  <c r="U56" i="54"/>
  <c r="V104" i="54"/>
  <c r="U105" i="54"/>
  <c r="U83" i="54" l="1"/>
  <c r="V83" i="54" s="1"/>
  <c r="U57" i="54"/>
  <c r="V105" i="54"/>
  <c r="U84" i="54" l="1"/>
  <c r="V84" i="54" s="1"/>
  <c r="C36" i="57" l="1"/>
  <c r="D36" i="57" s="1"/>
  <c r="D38" i="57" l="1"/>
  <c r="D39" i="57" s="1"/>
  <c r="D40" i="57" s="1"/>
  <c r="E36" i="57"/>
  <c r="E38" i="57" l="1"/>
  <c r="E39" i="57" s="1"/>
  <c r="E40" i="57" s="1"/>
  <c r="F36" i="57"/>
  <c r="G36" i="57" l="1"/>
  <c r="F38" i="57"/>
  <c r="F39" i="57" s="1"/>
  <c r="F40" i="57" s="1"/>
  <c r="H36" i="57" l="1"/>
  <c r="G38" i="57"/>
  <c r="G39" i="57" s="1"/>
  <c r="G40" i="57" s="1"/>
  <c r="H38" i="57" l="1"/>
  <c r="H39" i="57" s="1"/>
  <c r="H40" i="57" s="1"/>
  <c r="I36" i="57"/>
  <c r="I38" i="57" l="1"/>
  <c r="I39" i="57" s="1"/>
  <c r="I40" i="57" s="1"/>
  <c r="J36" i="57"/>
  <c r="K36" i="57" l="1"/>
  <c r="J38" i="57"/>
  <c r="J39" i="57" s="1"/>
  <c r="J40" i="57" s="1"/>
  <c r="K38" i="57" l="1"/>
  <c r="K39" i="57" s="1"/>
  <c r="K40" i="57" s="1"/>
  <c r="L36" i="57"/>
  <c r="L38" i="57" l="1"/>
  <c r="L39" i="57" s="1"/>
  <c r="L40" i="57" s="1"/>
  <c r="M36" i="57"/>
  <c r="M38" i="57" l="1"/>
  <c r="M39" i="57" s="1"/>
  <c r="M40" i="57" s="1"/>
  <c r="N36" i="57"/>
  <c r="O36" i="57" l="1"/>
  <c r="N38" i="57"/>
  <c r="N39" i="57" s="1"/>
  <c r="N40" i="57" s="1"/>
  <c r="O38" i="57" l="1"/>
  <c r="O39" i="57" s="1"/>
  <c r="O40" i="57" s="1"/>
  <c r="P36" i="57"/>
  <c r="P38" i="57" l="1"/>
  <c r="P39" i="57" s="1"/>
  <c r="P40" i="57" s="1"/>
  <c r="Q36" i="57"/>
  <c r="P118" i="54" l="1"/>
  <c r="I118" i="54"/>
  <c r="R118" i="54"/>
  <c r="J118" i="54"/>
  <c r="S118" i="54"/>
  <c r="G118" i="54"/>
  <c r="K118" i="54"/>
  <c r="T118" i="54"/>
  <c r="H118" i="54"/>
  <c r="Q118" i="54"/>
  <c r="U118" i="54"/>
  <c r="Q38" i="57"/>
  <c r="Q39" i="57" s="1"/>
  <c r="Q40" i="57" s="1"/>
  <c r="D10" i="57" s="1"/>
  <c r="D11" i="57" s="1"/>
  <c r="F118" i="54" l="1"/>
  <c r="V118" i="54" s="1"/>
  <c r="E18" i="28"/>
  <c r="D13" i="57"/>
  <c r="C43" i="57"/>
  <c r="D20" i="56"/>
  <c r="D22" i="56" l="1"/>
  <c r="D23" i="56" s="1"/>
  <c r="D24" i="56" s="1"/>
  <c r="D43" i="57"/>
  <c r="E43" i="57" s="1"/>
  <c r="F43" i="57" s="1"/>
  <c r="G43" i="57" s="1"/>
  <c r="H43" i="57" s="1"/>
  <c r="I43" i="57" s="1"/>
  <c r="J43" i="57" s="1"/>
  <c r="K43" i="57" s="1"/>
  <c r="L43" i="57" s="1"/>
  <c r="M43" i="57" s="1"/>
  <c r="N43" i="57" s="1"/>
  <c r="O43" i="57" s="1"/>
  <c r="E20" i="56"/>
  <c r="E22" i="56" s="1"/>
  <c r="E23" i="56" s="1"/>
  <c r="E24" i="56" l="1"/>
  <c r="F20" i="56"/>
  <c r="F22" i="56" s="1"/>
  <c r="F23" i="56" s="1"/>
  <c r="F24" i="56" s="1"/>
  <c r="P43" i="57" l="1"/>
  <c r="K42" i="26" s="1"/>
  <c r="O42" i="26" s="1"/>
  <c r="O24" i="25" s="1"/>
  <c r="G20" i="56"/>
  <c r="G22" i="56" s="1"/>
  <c r="G23" i="56" s="1"/>
  <c r="G24" i="56" s="1"/>
  <c r="H20" i="56" l="1"/>
  <c r="H22" i="56" s="1"/>
  <c r="H23" i="56" s="1"/>
  <c r="H24" i="56" s="1"/>
  <c r="I20" i="56" l="1"/>
  <c r="I22" i="56" s="1"/>
  <c r="I23" i="56" s="1"/>
  <c r="I24" i="56" s="1"/>
  <c r="J20" i="56" l="1"/>
  <c r="J22" i="56" s="1"/>
  <c r="J23" i="56" s="1"/>
  <c r="J24" i="56" s="1"/>
  <c r="K20" i="56" l="1"/>
  <c r="K22" i="56" s="1"/>
  <c r="K23" i="56" s="1"/>
  <c r="K24" i="56" s="1"/>
  <c r="L20" i="56" l="1"/>
  <c r="L22" i="56" s="1"/>
  <c r="L23" i="56" s="1"/>
  <c r="L24" i="56" s="1"/>
  <c r="M20" i="56" l="1"/>
  <c r="M22" i="56" s="1"/>
  <c r="M23" i="56" s="1"/>
  <c r="M24" i="56" s="1"/>
  <c r="N20" i="56" l="1"/>
  <c r="N22" i="56" s="1"/>
  <c r="N23" i="56" s="1"/>
  <c r="N24" i="56" s="1"/>
  <c r="O20" i="56" l="1"/>
  <c r="O22" i="56" s="1"/>
  <c r="O23" i="56" s="1"/>
  <c r="O24" i="56" s="1"/>
  <c r="P20" i="56" l="1"/>
  <c r="P22" i="56" s="1"/>
  <c r="P23" i="56" s="1"/>
  <c r="P24" i="56" s="1"/>
  <c r="Q20" i="56" l="1"/>
  <c r="Q22" i="56" l="1"/>
  <c r="Q23" i="56" s="1"/>
  <c r="Q24" i="56" s="1"/>
  <c r="C31" i="56" s="1"/>
  <c r="D31" i="56" s="1"/>
  <c r="E31" i="56" s="1"/>
  <c r="F31" i="56" s="1"/>
  <c r="G31" i="56" s="1"/>
  <c r="H31" i="56" s="1"/>
  <c r="I31" i="56" s="1"/>
  <c r="J31" i="56" s="1"/>
  <c r="K31" i="56" s="1"/>
  <c r="L31" i="56" s="1"/>
  <c r="M31" i="56" s="1"/>
  <c r="N31" i="56" s="1"/>
  <c r="O31" i="56" s="1"/>
  <c r="E33" i="54"/>
  <c r="E38" i="54"/>
  <c r="H8" i="56" l="1"/>
  <c r="H9" i="56" s="1"/>
  <c r="F38" i="54"/>
  <c r="G38" i="54" s="1"/>
  <c r="E46" i="54"/>
  <c r="F116" i="54" s="1"/>
  <c r="F106" i="54" l="1"/>
  <c r="F58" i="54" s="1"/>
  <c r="P31" i="56"/>
  <c r="K41" i="26" s="1"/>
  <c r="O41" i="26" s="1"/>
  <c r="O23" i="25" s="1"/>
  <c r="F46" i="54"/>
  <c r="G116" i="54"/>
  <c r="H116" i="54" s="1"/>
  <c r="I116" i="54" s="1"/>
  <c r="J116" i="54" s="1"/>
  <c r="K116" i="54" s="1"/>
  <c r="H38" i="54"/>
  <c r="G106" i="54"/>
  <c r="G58" i="54" s="1"/>
  <c r="G66" i="54" s="1"/>
  <c r="G46" i="54"/>
  <c r="D28" i="55"/>
  <c r="E2" i="55"/>
  <c r="F85" i="54" l="1"/>
  <c r="G85" i="54" s="1"/>
  <c r="F66" i="54"/>
  <c r="P116" i="54"/>
  <c r="Q116" i="54" s="1"/>
  <c r="R116" i="54" s="1"/>
  <c r="S116" i="54" s="1"/>
  <c r="T116" i="54" s="1"/>
  <c r="U116" i="54" s="1"/>
  <c r="I38" i="54"/>
  <c r="H106" i="54"/>
  <c r="H58" i="54" s="1"/>
  <c r="H66" i="54" s="1"/>
  <c r="H46" i="54"/>
  <c r="J7" i="30"/>
  <c r="L6" i="29"/>
  <c r="L5" i="28"/>
  <c r="P6" i="27"/>
  <c r="A8" i="27"/>
  <c r="O5" i="26"/>
  <c r="B7" i="26"/>
  <c r="H85" i="54" l="1"/>
  <c r="F93" i="54"/>
  <c r="V116" i="54"/>
  <c r="G93" i="54"/>
  <c r="J38" i="54"/>
  <c r="I106" i="54"/>
  <c r="I58" i="54" s="1"/>
  <c r="I66" i="54" s="1"/>
  <c r="I46" i="54"/>
  <c r="L21" i="29"/>
  <c r="I85" i="54" l="1"/>
  <c r="H93" i="54"/>
  <c r="K38" i="54"/>
  <c r="J106" i="54"/>
  <c r="J58" i="54" s="1"/>
  <c r="J66" i="54" s="1"/>
  <c r="J46" i="54"/>
  <c r="F114" i="54"/>
  <c r="J85" i="54" l="1"/>
  <c r="P38" i="54"/>
  <c r="Q38" i="54" s="1"/>
  <c r="Q106" i="54" s="1"/>
  <c r="I93" i="54"/>
  <c r="K106" i="54"/>
  <c r="K58" i="54" s="1"/>
  <c r="K66" i="54" s="1"/>
  <c r="K46" i="54"/>
  <c r="G114" i="54"/>
  <c r="G2" i="32"/>
  <c r="F2" i="23"/>
  <c r="G2" i="22"/>
  <c r="K2" i="30"/>
  <c r="N2" i="29"/>
  <c r="M2" i="28"/>
  <c r="S3" i="27"/>
  <c r="R2" i="26"/>
  <c r="K2" i="54" s="1"/>
  <c r="R2" i="25"/>
  <c r="V2" i="54" l="1"/>
  <c r="K97" i="54"/>
  <c r="V97" i="54" s="1"/>
  <c r="K49" i="54"/>
  <c r="V49" i="54" s="1"/>
  <c r="K85" i="54"/>
  <c r="P46" i="54"/>
  <c r="P106" i="54"/>
  <c r="P58" i="54" s="1"/>
  <c r="J93" i="54"/>
  <c r="H114" i="54"/>
  <c r="P114" i="54" l="1"/>
  <c r="P119" i="54" s="1"/>
  <c r="P85" i="54"/>
  <c r="P93" i="54" s="1"/>
  <c r="P94" i="54" s="1"/>
  <c r="P66" i="54"/>
  <c r="K93" i="54"/>
  <c r="R38" i="54"/>
  <c r="Q58" i="54"/>
  <c r="Q46" i="54"/>
  <c r="I114" i="54"/>
  <c r="Q85" i="54" l="1"/>
  <c r="Q66" i="54"/>
  <c r="S38" i="54"/>
  <c r="R106" i="54"/>
  <c r="R58" i="54" s="1"/>
  <c r="R66" i="54" s="1"/>
  <c r="R46" i="54"/>
  <c r="J114" i="54"/>
  <c r="R85" i="54" l="1"/>
  <c r="Q93" i="54"/>
  <c r="T38" i="54"/>
  <c r="S106" i="54"/>
  <c r="S58" i="54" s="1"/>
  <c r="S66" i="54" s="1"/>
  <c r="S46" i="54"/>
  <c r="K114" i="54"/>
  <c r="S85" i="54" l="1"/>
  <c r="R93" i="54"/>
  <c r="U38" i="54"/>
  <c r="T106" i="54"/>
  <c r="T58" i="54" s="1"/>
  <c r="T66" i="54" s="1"/>
  <c r="T46" i="54"/>
  <c r="E34" i="27"/>
  <c r="E35" i="27"/>
  <c r="E36" i="27"/>
  <c r="T85" i="54" l="1"/>
  <c r="V38" i="54"/>
  <c r="V46" i="54" s="1"/>
  <c r="D18" i="25" s="1"/>
  <c r="S93" i="54"/>
  <c r="U106" i="54"/>
  <c r="U46" i="54"/>
  <c r="Q114" i="54"/>
  <c r="D13" i="22"/>
  <c r="E10" i="22" l="1"/>
  <c r="E11" i="22"/>
  <c r="E8" i="22"/>
  <c r="E12" i="22"/>
  <c r="E9" i="22"/>
  <c r="E7" i="22"/>
  <c r="U58" i="54"/>
  <c r="V106" i="54"/>
  <c r="T93" i="54"/>
  <c r="R114" i="54"/>
  <c r="B41" i="29"/>
  <c r="F40" i="29"/>
  <c r="B40" i="29"/>
  <c r="F39" i="29"/>
  <c r="B39" i="29"/>
  <c r="B38" i="29"/>
  <c r="B36" i="29"/>
  <c r="G33" i="29"/>
  <c r="F33" i="29"/>
  <c r="E33" i="29"/>
  <c r="D33" i="29"/>
  <c r="B33" i="29"/>
  <c r="G32" i="29"/>
  <c r="F32" i="29"/>
  <c r="D32" i="29"/>
  <c r="E29" i="29"/>
  <c r="G27" i="29"/>
  <c r="J27" i="29" s="1"/>
  <c r="G26" i="29"/>
  <c r="J26" i="29" s="1"/>
  <c r="G25" i="29"/>
  <c r="G24" i="29"/>
  <c r="G23" i="29"/>
  <c r="G22" i="29"/>
  <c r="D39" i="29" s="1"/>
  <c r="G21" i="29"/>
  <c r="G20" i="29"/>
  <c r="D29" i="29"/>
  <c r="K38" i="28"/>
  <c r="L34" i="28"/>
  <c r="L33" i="28"/>
  <c r="M33" i="28" s="1"/>
  <c r="L32" i="28"/>
  <c r="M32" i="28" s="1"/>
  <c r="J36" i="28"/>
  <c r="L29" i="28"/>
  <c r="L26" i="28"/>
  <c r="E25" i="28"/>
  <c r="M24" i="28"/>
  <c r="E26" i="27" s="1"/>
  <c r="I26" i="27" s="1"/>
  <c r="M26" i="27" s="1"/>
  <c r="L24" i="28"/>
  <c r="J20" i="28"/>
  <c r="I20" i="28"/>
  <c r="H20" i="28"/>
  <c r="M19" i="28"/>
  <c r="E21" i="27" s="1"/>
  <c r="F20" i="28"/>
  <c r="L18" i="28"/>
  <c r="G20" i="28"/>
  <c r="I36" i="27"/>
  <c r="M36" i="27" s="1"/>
  <c r="I35" i="27"/>
  <c r="M35" i="27" s="1"/>
  <c r="Q35" i="27" s="1"/>
  <c r="I34" i="27"/>
  <c r="M34" i="27" s="1"/>
  <c r="I21" i="27"/>
  <c r="M21" i="27" s="1"/>
  <c r="Q21" i="27" s="1"/>
  <c r="P45" i="25"/>
  <c r="K45" i="25"/>
  <c r="K47" i="25" s="1"/>
  <c r="J45" i="25"/>
  <c r="H45" i="25"/>
  <c r="D45" i="25"/>
  <c r="R30" i="25"/>
  <c r="R29" i="25"/>
  <c r="R28" i="25"/>
  <c r="R27" i="25"/>
  <c r="R26" i="25"/>
  <c r="R24" i="25"/>
  <c r="R23" i="25"/>
  <c r="E45" i="25"/>
  <c r="P20" i="25"/>
  <c r="O20" i="25"/>
  <c r="K20" i="25"/>
  <c r="J20" i="25"/>
  <c r="P47" i="25" l="1"/>
  <c r="J38" i="28"/>
  <c r="J47" i="25"/>
  <c r="U66" i="54"/>
  <c r="U85" i="54"/>
  <c r="V85" i="54" s="1"/>
  <c r="V93" i="54" s="1"/>
  <c r="S114" i="54"/>
  <c r="M34" i="28"/>
  <c r="Q26" i="27"/>
  <c r="Q34" i="27"/>
  <c r="Q36" i="27"/>
  <c r="M29" i="28"/>
  <c r="E31" i="27" s="1"/>
  <c r="I31" i="27" s="1"/>
  <c r="M31" i="27" s="1"/>
  <c r="Q31" i="27" s="1"/>
  <c r="D38" i="29"/>
  <c r="D40" i="29"/>
  <c r="M37" i="29"/>
  <c r="M38" i="29" s="1"/>
  <c r="M42" i="29" s="1"/>
  <c r="M43" i="29" s="1"/>
  <c r="M44" i="29" s="1"/>
  <c r="I20" i="29" s="1"/>
  <c r="J24" i="29"/>
  <c r="G19" i="29"/>
  <c r="L20" i="28"/>
  <c r="H36" i="28"/>
  <c r="H38" i="28" s="1"/>
  <c r="I36" i="28"/>
  <c r="I38" i="28" s="1"/>
  <c r="L25" i="28"/>
  <c r="M25" i="28" s="1"/>
  <c r="E27" i="27" s="1"/>
  <c r="I27" i="27"/>
  <c r="M27" i="27" s="1"/>
  <c r="Q27" i="27" s="1"/>
  <c r="R25" i="25"/>
  <c r="U93" i="54" l="1"/>
  <c r="V94" i="54"/>
  <c r="E18" i="25"/>
  <c r="T114" i="54"/>
  <c r="D36" i="29"/>
  <c r="G29" i="29"/>
  <c r="G45" i="25"/>
  <c r="M22" i="25"/>
  <c r="U114" i="54" l="1"/>
  <c r="D41" i="29"/>
  <c r="M45" i="25"/>
  <c r="V114" i="54" l="1"/>
  <c r="E27" i="28" s="1"/>
  <c r="O37" i="27"/>
  <c r="O39" i="27" s="1"/>
  <c r="E39" i="29"/>
  <c r="G39" i="29" s="1"/>
  <c r="E38" i="29"/>
  <c r="G38" i="29" s="1"/>
  <c r="M39" i="29"/>
  <c r="E37" i="29"/>
  <c r="G37" i="29" s="1"/>
  <c r="E40" i="29"/>
  <c r="G40" i="29" s="1"/>
  <c r="E36" i="29"/>
  <c r="J20" i="29" l="1"/>
  <c r="I21" i="29"/>
  <c r="I22" i="29"/>
  <c r="J22" i="29" s="1"/>
  <c r="I19" i="29"/>
  <c r="I23" i="29"/>
  <c r="J23" i="29" s="1"/>
  <c r="E41" i="29"/>
  <c r="G36" i="29"/>
  <c r="G41" i="29" s="1"/>
  <c r="J19" i="29" l="1"/>
  <c r="J21" i="29"/>
  <c r="J29" i="29" l="1"/>
  <c r="K19" i="29" s="1"/>
  <c r="M19" i="29" s="1"/>
  <c r="K22" i="29" l="1"/>
  <c r="K27" i="29"/>
  <c r="M27" i="29" s="1"/>
  <c r="K26" i="29"/>
  <c r="M26" i="29" s="1"/>
  <c r="K21" i="29"/>
  <c r="M21" i="29" s="1"/>
  <c r="K20" i="29"/>
  <c r="M20" i="29" s="1"/>
  <c r="K25" i="29"/>
  <c r="M25" i="29" s="1"/>
  <c r="K23" i="29"/>
  <c r="M23" i="29" s="1"/>
  <c r="K24" i="29"/>
  <c r="M24" i="29" s="1"/>
  <c r="M22" i="29"/>
  <c r="C13" i="22"/>
  <c r="K29" i="29" l="1"/>
  <c r="M29" i="29"/>
  <c r="D11" i="21" s="1"/>
  <c r="E13" i="22"/>
  <c r="H20" i="25" l="1"/>
  <c r="H47" i="25" s="1"/>
  <c r="L27" i="28" l="1"/>
  <c r="E20" i="25"/>
  <c r="E47" i="25" s="1"/>
  <c r="M27" i="28" l="1"/>
  <c r="G18" i="25"/>
  <c r="D20" i="25"/>
  <c r="D47" i="25" s="1"/>
  <c r="E29" i="27" l="1"/>
  <c r="I29" i="27" s="1"/>
  <c r="M29" i="27" s="1"/>
  <c r="Q29" i="27" s="1"/>
  <c r="G20" i="25"/>
  <c r="G47" i="25" s="1"/>
  <c r="M18" i="25"/>
  <c r="R18" i="25" l="1"/>
  <c r="R20" i="25" s="1"/>
  <c r="M20" i="25"/>
  <c r="M47" i="25" s="1"/>
  <c r="M26" i="28"/>
  <c r="E28" i="27" s="1"/>
  <c r="E20" i="28"/>
  <c r="M18" i="28"/>
  <c r="E20" i="27" s="1"/>
  <c r="E22" i="27" s="1"/>
  <c r="I20" i="27" l="1"/>
  <c r="M20" i="27" s="1"/>
  <c r="Q20" i="27" s="1"/>
  <c r="I22" i="27"/>
  <c r="M22" i="27" s="1"/>
  <c r="Q22" i="27" s="1"/>
  <c r="M20" i="28"/>
  <c r="I28" i="27"/>
  <c r="M28" i="27" s="1"/>
  <c r="Q28" i="27" s="1"/>
  <c r="L30" i="28" l="1"/>
  <c r="E94" i="54" l="1"/>
  <c r="F94" i="54"/>
  <c r="G94" i="54" l="1"/>
  <c r="G119" i="54"/>
  <c r="F119" i="54"/>
  <c r="H94" i="54" l="1"/>
  <c r="H119" i="54"/>
  <c r="I94" i="54" l="1"/>
  <c r="I119" i="54"/>
  <c r="J94" i="54" l="1"/>
  <c r="J119" i="54"/>
  <c r="K94" i="54" l="1"/>
  <c r="K119" i="54" l="1"/>
  <c r="Q119" i="54" l="1"/>
  <c r="Q94" i="54"/>
  <c r="R119" i="54" l="1"/>
  <c r="R94" i="54"/>
  <c r="S94" i="54" l="1"/>
  <c r="S119" i="54"/>
  <c r="T119" i="54" l="1"/>
  <c r="T94" i="54"/>
  <c r="U94" i="54" l="1"/>
  <c r="U119" i="54" l="1"/>
  <c r="E30" i="28"/>
  <c r="I58" i="27" s="1"/>
  <c r="V119" i="54" l="1"/>
  <c r="I60" i="27" l="1"/>
  <c r="E31" i="28" s="1"/>
  <c r="M30" i="28"/>
  <c r="E32" i="27" s="1"/>
  <c r="I32" i="27" l="1"/>
  <c r="M32" i="27" s="1"/>
  <c r="Q32" i="27" s="1"/>
  <c r="E36" i="28" l="1"/>
  <c r="E38" i="28" s="1"/>
  <c r="D22" i="55" l="1"/>
  <c r="D32" i="55" s="1"/>
  <c r="D36" i="55" s="1"/>
  <c r="E36" i="55" l="1"/>
  <c r="E38" i="55"/>
  <c r="E42" i="55" s="1"/>
  <c r="E48" i="55" s="1"/>
  <c r="F28" i="28" s="1"/>
  <c r="F31" i="28" s="1"/>
  <c r="E55" i="55" l="1"/>
  <c r="E56" i="55" s="1"/>
  <c r="E57" i="55" s="1"/>
  <c r="E58" i="55" s="1"/>
  <c r="E59" i="55" s="1"/>
  <c r="E60" i="55" s="1"/>
  <c r="E61" i="55" s="1"/>
  <c r="E62" i="55" s="1"/>
  <c r="E63" i="55" s="1"/>
  <c r="E64" i="55" s="1"/>
  <c r="E65" i="55" s="1"/>
  <c r="E66" i="55" s="1"/>
  <c r="E67" i="55" s="1"/>
  <c r="F36" i="28"/>
  <c r="L28" i="28"/>
  <c r="M28" i="28" s="1"/>
  <c r="E30" i="27" s="1"/>
  <c r="E68" i="55" l="1"/>
  <c r="K40" i="26" s="1"/>
  <c r="O40" i="26" s="1"/>
  <c r="O22" i="25" s="1"/>
  <c r="F38" i="28"/>
  <c r="I30" i="27"/>
  <c r="M30" i="27" s="1"/>
  <c r="Q30" i="27" s="1"/>
  <c r="O63" i="27"/>
  <c r="K44" i="26" l="1"/>
  <c r="O44" i="26" s="1"/>
  <c r="O58" i="27"/>
  <c r="R22" i="25"/>
  <c r="R45" i="25" s="1"/>
  <c r="R47" i="25" s="1"/>
  <c r="D9" i="21" s="1"/>
  <c r="O45" i="25"/>
  <c r="O47" i="25" s="1"/>
  <c r="N29" i="29" l="1"/>
  <c r="D13" i="21"/>
  <c r="D15" i="21" s="1"/>
  <c r="N27" i="29" l="1"/>
  <c r="O27" i="29" s="1"/>
  <c r="N19" i="29"/>
  <c r="O19" i="29" s="1"/>
  <c r="N23" i="29"/>
  <c r="N26" i="29"/>
  <c r="O26" i="29" s="1"/>
  <c r="N25" i="29"/>
  <c r="O25" i="29" s="1"/>
  <c r="N21" i="29"/>
  <c r="O21" i="29" s="1"/>
  <c r="N22" i="29"/>
  <c r="O22" i="29" s="1"/>
  <c r="N20" i="29"/>
  <c r="O20" i="29" s="1"/>
  <c r="N24" i="29"/>
  <c r="O24" i="29" s="1"/>
  <c r="O29" i="29" l="1"/>
  <c r="O59" i="27" s="1"/>
  <c r="O60" i="27" s="1"/>
  <c r="O62" i="27" s="1"/>
  <c r="O64" i="27" s="1"/>
  <c r="G31" i="28" s="1"/>
  <c r="G36" i="28" l="1"/>
  <c r="L31" i="28"/>
  <c r="M31" i="28" s="1"/>
  <c r="E33" i="27" s="1"/>
  <c r="G38" i="28" l="1"/>
  <c r="L38" i="28" s="1"/>
  <c r="M38" i="28" s="1"/>
  <c r="L36" i="28"/>
  <c r="M36" i="28" s="1"/>
  <c r="I33" i="27"/>
  <c r="M33" i="27" s="1"/>
  <c r="Q33" i="27" s="1"/>
  <c r="Q37" i="27" s="1"/>
  <c r="Q39" i="27" s="1"/>
  <c r="E37" i="27"/>
  <c r="I37" i="27" l="1"/>
  <c r="M37" i="27" s="1"/>
  <c r="E39" i="27"/>
  <c r="I39" i="27" l="1"/>
  <c r="M39" i="27" s="1"/>
  <c r="D17" i="21"/>
  <c r="D19" i="21" s="1"/>
  <c r="D23" i="21" s="1"/>
  <c r="F13" i="22" l="1"/>
  <c r="F8" i="22" s="1"/>
  <c r="G8" i="22" s="1"/>
  <c r="D26" i="21"/>
  <c r="F11" i="22"/>
  <c r="G11" i="22" s="1"/>
  <c r="F10" i="22" l="1"/>
  <c r="G10" i="22" s="1"/>
  <c r="F9" i="22"/>
  <c r="G9" i="22" s="1"/>
  <c r="F14" i="22"/>
  <c r="F15" i="22" s="1"/>
  <c r="H26" i="32" s="1"/>
  <c r="F7" i="22"/>
  <c r="G7" i="22" s="1"/>
  <c r="F12" i="22"/>
  <c r="G12" i="22" s="1"/>
  <c r="F14" i="23"/>
  <c r="G35" i="32"/>
  <c r="F22" i="32"/>
  <c r="G14" i="32"/>
  <c r="F34" i="32"/>
  <c r="I34" i="32" s="1"/>
  <c r="F35" i="23"/>
  <c r="F21" i="32"/>
  <c r="F18" i="32"/>
  <c r="G12" i="32"/>
  <c r="F8" i="32" l="1"/>
  <c r="H17" i="32"/>
  <c r="F31" i="23"/>
  <c r="F23" i="23"/>
  <c r="F24" i="32"/>
  <c r="H10" i="32"/>
  <c r="G13" i="32"/>
  <c r="G23" i="32"/>
  <c r="G11" i="32"/>
  <c r="F36" i="32"/>
  <c r="H16" i="32"/>
  <c r="F25" i="32"/>
  <c r="F30" i="32"/>
  <c r="I30" i="32" s="1"/>
  <c r="G10" i="32"/>
  <c r="H9" i="32"/>
  <c r="F29" i="32"/>
  <c r="I29" i="32" s="1"/>
  <c r="G16" i="32"/>
  <c r="H20" i="32"/>
  <c r="F16" i="32"/>
  <c r="I16" i="32" s="1"/>
  <c r="H15" i="32"/>
  <c r="F29" i="23"/>
  <c r="F10" i="32"/>
  <c r="I10" i="32" s="1"/>
  <c r="F27" i="32"/>
  <c r="I27" i="32" s="1"/>
  <c r="F22" i="23"/>
  <c r="G24" i="32"/>
  <c r="F27" i="23"/>
  <c r="G19" i="32"/>
  <c r="F17" i="23"/>
  <c r="F31" i="32"/>
  <c r="I31" i="32" s="1"/>
  <c r="F8" i="23"/>
  <c r="G36" i="32"/>
  <c r="F10" i="23"/>
  <c r="F24" i="23"/>
  <c r="H23" i="32"/>
  <c r="F23" i="32"/>
  <c r="H18" i="32"/>
  <c r="I18" i="32" s="1"/>
  <c r="H12" i="32"/>
  <c r="F20" i="32"/>
  <c r="H25" i="32"/>
  <c r="F26" i="32"/>
  <c r="H13" i="32"/>
  <c r="H8" i="32"/>
  <c r="F33" i="32"/>
  <c r="I33" i="32" s="1"/>
  <c r="F13" i="23"/>
  <c r="H22" i="32"/>
  <c r="F9" i="23"/>
  <c r="F28" i="32"/>
  <c r="I28" i="32" s="1"/>
  <c r="H35" i="32"/>
  <c r="F13" i="32"/>
  <c r="F12" i="32"/>
  <c r="G21" i="32"/>
  <c r="F19" i="23"/>
  <c r="G15" i="32"/>
  <c r="H14" i="32"/>
  <c r="F28" i="23"/>
  <c r="G26" i="32"/>
  <c r="G25" i="32"/>
  <c r="H21" i="32"/>
  <c r="F32" i="32"/>
  <c r="I32" i="32" s="1"/>
  <c r="F30" i="23"/>
  <c r="H19" i="32"/>
  <c r="G22" i="32"/>
  <c r="F15" i="32"/>
  <c r="F18" i="23"/>
  <c r="H36" i="32"/>
  <c r="F11" i="23"/>
  <c r="F14" i="32"/>
  <c r="I14" i="32" s="1"/>
  <c r="H24" i="32"/>
  <c r="I24" i="32" s="1"/>
  <c r="F17" i="32"/>
  <c r="F11" i="32"/>
  <c r="F32" i="23"/>
  <c r="H11" i="32"/>
  <c r="G18" i="32"/>
  <c r="G13" i="22"/>
  <c r="F20" i="23"/>
  <c r="G17" i="32"/>
  <c r="F12" i="23"/>
  <c r="G9" i="32"/>
  <c r="F9" i="32"/>
  <c r="G20" i="32"/>
  <c r="G8" i="32"/>
  <c r="F19" i="32"/>
  <c r="F35" i="32"/>
  <c r="F21" i="23"/>
  <c r="F34" i="23"/>
  <c r="F33" i="23"/>
  <c r="I22" i="32"/>
  <c r="I13" i="32"/>
  <c r="I21" i="32" l="1"/>
  <c r="I26" i="32"/>
  <c r="I23" i="32"/>
  <c r="I20" i="32"/>
  <c r="I17" i="32"/>
  <c r="I15" i="32"/>
  <c r="I25" i="32"/>
  <c r="I36" i="32"/>
  <c r="I11" i="32"/>
  <c r="I12" i="32"/>
  <c r="I35" i="32"/>
  <c r="I19" i="32"/>
  <c r="I8" i="32"/>
  <c r="I9" i="32"/>
</calcChain>
</file>

<file path=xl/comments1.xml><?xml version="1.0" encoding="utf-8"?>
<comments xmlns="http://schemas.openxmlformats.org/spreadsheetml/2006/main">
  <authors>
    <author>Welch, Kathy</author>
  </authors>
  <commentList>
    <comment ref="E8" authorId="0">
      <text>
        <r>
          <rPr>
            <b/>
            <sz val="9"/>
            <color indexed="81"/>
            <rFont val="Tahoma"/>
            <family val="2"/>
          </rPr>
          <t>Welch, Kathy:</t>
        </r>
        <r>
          <rPr>
            <sz val="9"/>
            <color indexed="81"/>
            <rFont val="Tahoma"/>
            <family val="2"/>
          </rPr>
          <t xml:space="preserve">
Add payroll and overhead July to Oct
</t>
        </r>
      </text>
    </comment>
    <comment ref="E10" authorId="0">
      <text>
        <r>
          <rPr>
            <b/>
            <sz val="9"/>
            <color indexed="81"/>
            <rFont val="Tahoma"/>
            <family val="2"/>
          </rPr>
          <t>Welch, Kathy:</t>
        </r>
        <r>
          <rPr>
            <sz val="9"/>
            <color indexed="81"/>
            <rFont val="Tahoma"/>
            <family val="2"/>
          </rPr>
          <t xml:space="preserve">
Inventory Adj and new materials and additional payroll of $1,029.57 and oh of $1901.52 for July to Oct.
</t>
        </r>
      </text>
    </comment>
    <comment ref="E11" authorId="0">
      <text>
        <r>
          <rPr>
            <b/>
            <sz val="9"/>
            <color indexed="81"/>
            <rFont val="Tahoma"/>
            <family val="2"/>
          </rPr>
          <t>Welch, Kathy:</t>
        </r>
        <r>
          <rPr>
            <sz val="9"/>
            <color indexed="81"/>
            <rFont val="Tahoma"/>
            <family val="2"/>
          </rPr>
          <t xml:space="preserve">
Inventory Adj and new materials and payroll of $1,471.99 and $3,155.18 oh for July to Oct spent
</t>
        </r>
      </text>
    </comment>
    <comment ref="E12" authorId="0">
      <text>
        <r>
          <rPr>
            <b/>
            <sz val="9"/>
            <color indexed="81"/>
            <rFont val="Tahoma"/>
            <family val="2"/>
          </rPr>
          <t>Welch, Kathy:</t>
        </r>
        <r>
          <rPr>
            <sz val="9"/>
            <color indexed="81"/>
            <rFont val="Tahoma"/>
            <family val="2"/>
          </rPr>
          <t xml:space="preserve">
$9.89 OH added
</t>
        </r>
      </text>
    </comment>
    <comment ref="E13" authorId="0">
      <text>
        <r>
          <rPr>
            <b/>
            <sz val="9"/>
            <color indexed="81"/>
            <rFont val="Tahoma"/>
            <family val="2"/>
          </rPr>
          <t>Welch, Kathy:</t>
        </r>
        <r>
          <rPr>
            <sz val="9"/>
            <color indexed="81"/>
            <rFont val="Tahoma"/>
            <family val="2"/>
          </rPr>
          <t xml:space="preserve">
Additional Solomon invoice and $942.83 OH and $615.65 payroll for july to oct 
</t>
        </r>
      </text>
    </comment>
    <comment ref="E14" authorId="0">
      <text>
        <r>
          <rPr>
            <b/>
            <sz val="9"/>
            <color indexed="81"/>
            <rFont val="Tahoma"/>
            <family val="2"/>
          </rPr>
          <t>Welch, Kathy:</t>
        </r>
        <r>
          <rPr>
            <sz val="9"/>
            <color indexed="81"/>
            <rFont val="Tahoma"/>
            <family val="2"/>
          </rPr>
          <t xml:space="preserve">
Added $5.78 oh and $152.31 payroll for july to oct</t>
        </r>
      </text>
    </comment>
    <comment ref="E15" authorId="0">
      <text>
        <r>
          <rPr>
            <b/>
            <sz val="9"/>
            <color indexed="81"/>
            <rFont val="Tahoma"/>
            <family val="2"/>
          </rPr>
          <t>Welch, Kathy:</t>
        </r>
        <r>
          <rPr>
            <sz val="9"/>
            <color indexed="81"/>
            <rFont val="Tahoma"/>
            <family val="2"/>
          </rPr>
          <t xml:space="preserve">
$604.93 oh and 15,114.05 payroll july to oct
</t>
        </r>
      </text>
    </comment>
    <comment ref="E16" authorId="0">
      <text>
        <r>
          <rPr>
            <b/>
            <sz val="9"/>
            <color indexed="81"/>
            <rFont val="Tahoma"/>
            <family val="2"/>
          </rPr>
          <t>Welch, Kathy:</t>
        </r>
        <r>
          <rPr>
            <sz val="9"/>
            <color indexed="81"/>
            <rFont val="Tahoma"/>
            <family val="2"/>
          </rPr>
          <t xml:space="preserve">
15.28 oh and 981 payroll for july to oct
</t>
        </r>
      </text>
    </comment>
    <comment ref="E17" authorId="0">
      <text>
        <r>
          <rPr>
            <b/>
            <sz val="9"/>
            <color indexed="81"/>
            <rFont val="Tahoma"/>
            <family val="2"/>
          </rPr>
          <t>Welch, Kathy:</t>
        </r>
        <r>
          <rPr>
            <sz val="9"/>
            <color indexed="81"/>
            <rFont val="Tahoma"/>
            <family val="2"/>
          </rPr>
          <t xml:space="preserve">
New materials $50,726.84, 784.39 oh and $13,202.04 payroll for july to oct
</t>
        </r>
      </text>
    </comment>
    <comment ref="E18" authorId="0">
      <text>
        <r>
          <rPr>
            <b/>
            <sz val="9"/>
            <color indexed="81"/>
            <rFont val="Tahoma"/>
            <family val="2"/>
          </rPr>
          <t>Welch, Kathy:</t>
        </r>
        <r>
          <rPr>
            <sz val="9"/>
            <color indexed="81"/>
            <rFont val="Tahoma"/>
            <family val="2"/>
          </rPr>
          <t xml:space="preserve">
Additional MDR invoices
and new materials and inv adj of $17,517.75
$1,248.23 oh and $3,887.85 payroll
</t>
        </r>
      </text>
    </comment>
  </commentList>
</comments>
</file>

<file path=xl/comments2.xml><?xml version="1.0" encoding="utf-8"?>
<comments xmlns="http://schemas.openxmlformats.org/spreadsheetml/2006/main">
  <authors>
    <author>Welch, Kathy</author>
    <author>Setup</author>
  </authors>
  <commentList>
    <comment ref="J25" authorId="0">
      <text>
        <r>
          <rPr>
            <b/>
            <sz val="9"/>
            <color indexed="81"/>
            <rFont val="Tahoma"/>
            <family val="2"/>
          </rPr>
          <t>Welch, Kathy:</t>
        </r>
        <r>
          <rPr>
            <sz val="9"/>
            <color indexed="81"/>
            <rFont val="Tahoma"/>
            <family val="2"/>
          </rPr>
          <t xml:space="preserve">
Changed to 2020 budget update</t>
        </r>
      </text>
    </comment>
    <comment ref="M41" authorId="1">
      <text>
        <r>
          <rPr>
            <sz val="9"/>
            <color indexed="81"/>
            <rFont val="Tahoma"/>
            <family val="2"/>
          </rPr>
          <t xml:space="preserve">KW:  used Rate Base with Adj. from Gas ROR less Cust Dep, Def Tax, and ITC
FROM 2020 BUDGET FILE SEE FILE IN BACKUP
</t>
        </r>
      </text>
    </comment>
  </commentList>
</comments>
</file>

<file path=xl/comments3.xml><?xml version="1.0" encoding="utf-8"?>
<comments xmlns="http://schemas.openxmlformats.org/spreadsheetml/2006/main">
  <authors>
    <author>Welch, Kathy</author>
  </authors>
  <commentList>
    <comment ref="D9" authorId="0">
      <text>
        <r>
          <rPr>
            <b/>
            <sz val="9"/>
            <color indexed="81"/>
            <rFont val="Tahoma"/>
            <family val="2"/>
          </rPr>
          <t>Welch, Kathy:</t>
        </r>
        <r>
          <rPr>
            <sz val="9"/>
            <color indexed="81"/>
            <rFont val="Tahoma"/>
            <family val="2"/>
          </rPr>
          <t xml:space="preserve">
$21,554.64 add payroll july to oct
</t>
        </r>
      </text>
    </comment>
    <comment ref="D10" authorId="0">
      <text>
        <r>
          <rPr>
            <b/>
            <sz val="9"/>
            <color indexed="81"/>
            <rFont val="Tahoma"/>
            <family val="2"/>
          </rPr>
          <t>Welch, Kathy:</t>
        </r>
        <r>
          <rPr>
            <sz val="9"/>
            <color indexed="81"/>
            <rFont val="Tahoma"/>
            <family val="2"/>
          </rPr>
          <t xml:space="preserve">
Additional $3,158.05 payroll july to oct
</t>
        </r>
      </text>
    </comment>
    <comment ref="D11" authorId="0">
      <text>
        <r>
          <rPr>
            <b/>
            <sz val="9"/>
            <color indexed="81"/>
            <rFont val="Tahoma"/>
            <family val="2"/>
          </rPr>
          <t>Welch, Kathy:</t>
        </r>
        <r>
          <rPr>
            <sz val="9"/>
            <color indexed="81"/>
            <rFont val="Tahoma"/>
            <family val="2"/>
          </rPr>
          <t xml:space="preserve">
Add $18,378.93 July to Oct.</t>
        </r>
      </text>
    </comment>
    <comment ref="D15" authorId="0">
      <text>
        <r>
          <rPr>
            <b/>
            <sz val="9"/>
            <color indexed="81"/>
            <rFont val="Tahoma"/>
            <family val="2"/>
          </rPr>
          <t>Welch, Kathy:</t>
        </r>
        <r>
          <rPr>
            <sz val="9"/>
            <color indexed="81"/>
            <rFont val="Tahoma"/>
            <family val="2"/>
          </rPr>
          <t xml:space="preserve">
Increase by $73.63 for Staff ROG 16 and new costs July to Oct</t>
        </r>
      </text>
    </comment>
    <comment ref="D16" authorId="0">
      <text>
        <r>
          <rPr>
            <b/>
            <sz val="9"/>
            <color indexed="81"/>
            <rFont val="Tahoma"/>
            <family val="2"/>
          </rPr>
          <t>Welch, Kathy:</t>
        </r>
        <r>
          <rPr>
            <sz val="9"/>
            <color indexed="81"/>
            <rFont val="Tahoma"/>
            <family val="2"/>
          </rPr>
          <t xml:space="preserve">
Decrease costs 73.63 for Staff Rog 16.</t>
        </r>
      </text>
    </comment>
    <comment ref="D30" authorId="0">
      <text>
        <r>
          <rPr>
            <b/>
            <sz val="9"/>
            <color indexed="81"/>
            <rFont val="Tahoma"/>
            <family val="2"/>
          </rPr>
          <t>Welch, Kathy:</t>
        </r>
        <r>
          <rPr>
            <sz val="9"/>
            <color indexed="81"/>
            <rFont val="Tahoma"/>
            <family val="2"/>
          </rPr>
          <t xml:space="preserve">
Less payroll and oh $4419.57 to OH and $36,630.90 to plant for July to Oct</t>
        </r>
      </text>
    </comment>
  </commentList>
</comments>
</file>

<file path=xl/comments4.xml><?xml version="1.0" encoding="utf-8"?>
<comments xmlns="http://schemas.openxmlformats.org/spreadsheetml/2006/main">
  <authors>
    <author>Welch, Kathy</author>
  </authors>
  <commentList>
    <comment ref="E10" authorId="0">
      <text>
        <r>
          <rPr>
            <b/>
            <sz val="9"/>
            <color indexed="81"/>
            <rFont val="Tahoma"/>
            <family val="2"/>
          </rPr>
          <t>Welch, Kathy:</t>
        </r>
        <r>
          <rPr>
            <sz val="9"/>
            <color indexed="81"/>
            <rFont val="Tahoma"/>
            <family val="2"/>
          </rPr>
          <t xml:space="preserve">
$55.37 add payroll july to oct</t>
        </r>
      </text>
    </comment>
    <comment ref="E13" authorId="0">
      <text>
        <r>
          <rPr>
            <b/>
            <sz val="9"/>
            <color indexed="81"/>
            <rFont val="Tahoma"/>
            <family val="2"/>
          </rPr>
          <t>Welch, Kathy:</t>
        </r>
        <r>
          <rPr>
            <sz val="9"/>
            <color indexed="81"/>
            <rFont val="Tahoma"/>
            <family val="2"/>
          </rPr>
          <t xml:space="preserve">
Add payroll of $83.05 July to Oct
</t>
        </r>
      </text>
    </comment>
    <comment ref="E14" authorId="0">
      <text>
        <r>
          <rPr>
            <b/>
            <sz val="9"/>
            <color indexed="81"/>
            <rFont val="Tahoma"/>
            <family val="2"/>
          </rPr>
          <t>Welch, Kathy:</t>
        </r>
        <r>
          <rPr>
            <sz val="9"/>
            <color indexed="81"/>
            <rFont val="Tahoma"/>
            <family val="2"/>
          </rPr>
          <t xml:space="preserve">
Add $101.55 payroll july to oct</t>
        </r>
      </text>
    </comment>
    <comment ref="E15" authorId="0">
      <text>
        <r>
          <rPr>
            <b/>
            <sz val="9"/>
            <color indexed="81"/>
            <rFont val="Tahoma"/>
            <family val="2"/>
          </rPr>
          <t>Welch, Kathy:</t>
        </r>
        <r>
          <rPr>
            <sz val="9"/>
            <color indexed="81"/>
            <rFont val="Tahoma"/>
            <family val="2"/>
          </rPr>
          <t xml:space="preserve">
Add $3,453.01 payroll
July to Oct</t>
        </r>
      </text>
    </comment>
    <comment ref="E17" authorId="0">
      <text>
        <r>
          <rPr>
            <b/>
            <sz val="9"/>
            <color indexed="81"/>
            <rFont val="Tahoma"/>
            <family val="2"/>
          </rPr>
          <t>Welch, Kathy:</t>
        </r>
        <r>
          <rPr>
            <sz val="9"/>
            <color indexed="81"/>
            <rFont val="Tahoma"/>
            <family val="2"/>
          </rPr>
          <t xml:space="preserve">
Add $726.59 payroll July to Oct</t>
        </r>
      </text>
    </comment>
  </commentList>
</comments>
</file>

<file path=xl/sharedStrings.xml><?xml version="1.0" encoding="utf-8"?>
<sst xmlns="http://schemas.openxmlformats.org/spreadsheetml/2006/main" count="1311" uniqueCount="569">
  <si>
    <t>Florida Public Utilities Company</t>
  </si>
  <si>
    <t>Balance</t>
  </si>
  <si>
    <t>May</t>
  </si>
  <si>
    <t>Total Expense</t>
  </si>
  <si>
    <t>Cumulative</t>
  </si>
  <si>
    <t>Cost</t>
  </si>
  <si>
    <t>Factor</t>
  </si>
  <si>
    <t>Total</t>
  </si>
  <si>
    <t>13-Month</t>
  </si>
  <si>
    <t>Average</t>
  </si>
  <si>
    <t>Docket No.</t>
  </si>
  <si>
    <t>Exhibit</t>
  </si>
  <si>
    <t>Jurisdictional Adjusted Rate Base</t>
  </si>
  <si>
    <t>Rate of Return on Rate Base</t>
  </si>
  <si>
    <t>Required Jurisdictional Net Operating Income (Line 2 x 3)</t>
  </si>
  <si>
    <t>Required Net Operating Income (Line 4)</t>
  </si>
  <si>
    <t>Jurisdictional Adjusted Net Operating Income (Loss)</t>
  </si>
  <si>
    <t>Net Operating Income Deficiency (Excess) (Line 5-6)</t>
  </si>
  <si>
    <t>Net Operating Income Multiplier</t>
  </si>
  <si>
    <t>Revenue Requirement (Line 7 x 8)</t>
  </si>
  <si>
    <t>Estimated First Year Revenue Requirements</t>
  </si>
  <si>
    <t>Revenue Requirement Calculation</t>
  </si>
  <si>
    <t>(1)</t>
  </si>
  <si>
    <t>(2)</t>
  </si>
  <si>
    <t>(3)</t>
  </si>
  <si>
    <t>(4)</t>
  </si>
  <si>
    <t>(5)</t>
  </si>
  <si>
    <t>LINE NO.</t>
  </si>
  <si>
    <t>RATE SCHEDULE</t>
  </si>
  <si>
    <t>PERCENT OF TOTAL</t>
  </si>
  <si>
    <t>BASE RATE INCREASE AT UNIFORM PERCENT</t>
  </si>
  <si>
    <t xml:space="preserve">TOTAL CLASS REVENUE WITH INCREASE     </t>
  </si>
  <si>
    <t>RESIDENTIAL</t>
  </si>
  <si>
    <t>COMMERCIAL SMALL</t>
  </si>
  <si>
    <t>COMMERCIAL</t>
  </si>
  <si>
    <t>COMMERCIAL LARGE</t>
  </si>
  <si>
    <t>INDUSTRIAL</t>
  </si>
  <si>
    <t>OUTDOOR LIGHTS</t>
  </si>
  <si>
    <t xml:space="preserve">       </t>
  </si>
  <si>
    <t>Present Rates</t>
  </si>
  <si>
    <t xml:space="preserve">   </t>
  </si>
  <si>
    <t>Proposed Rates</t>
  </si>
  <si>
    <t>Residential (RS)</t>
  </si>
  <si>
    <t>General Service (GS)</t>
  </si>
  <si>
    <t>General Service Demand (GSD)</t>
  </si>
  <si>
    <t>General Service Large Demand (GSLD)</t>
  </si>
  <si>
    <t>General Service Large Demand (GSLD1)</t>
  </si>
  <si>
    <t>Standby (SB)</t>
  </si>
  <si>
    <t>&lt;500 kw</t>
  </si>
  <si>
    <t>≥500 kw</t>
  </si>
  <si>
    <t xml:space="preserve">    ≤1,000 - </t>
  </si>
  <si>
    <t xml:space="preserve">    &gt;1,000 - </t>
  </si>
  <si>
    <t>Standby (SB) ≥500 kw</t>
  </si>
  <si>
    <t xml:space="preserve">    </t>
  </si>
  <si>
    <t>Standby (SB)  &lt;500 kw</t>
  </si>
  <si>
    <t>Initial Entitlement of Service</t>
  </si>
  <si>
    <t>Re-establish Service or Account Changes</t>
  </si>
  <si>
    <t xml:space="preserve">Customer Request Temp Disconnect/Reconn  </t>
  </si>
  <si>
    <t>Reconnect After Disconnect (Normal Hrs)</t>
  </si>
  <si>
    <t>Reconnect After Disconnect (After Hours)</t>
  </si>
  <si>
    <t>Temporary Service</t>
  </si>
  <si>
    <t>Collection Charge</t>
  </si>
  <si>
    <t>Returned Check Charge</t>
  </si>
  <si>
    <t xml:space="preserve">           Per Statute</t>
  </si>
  <si>
    <t>Credit Card Fees</t>
  </si>
  <si>
    <t xml:space="preserve">  ---------------------- $3.50 RS and 3.5% other classes ---------------------</t>
  </si>
  <si>
    <t>Late Fees</t>
  </si>
  <si>
    <t xml:space="preserve"> ----------------------     Greater of 1.5%  or $5.00 --------------------------</t>
  </si>
  <si>
    <t>Facility</t>
  </si>
  <si>
    <t>Energy</t>
  </si>
  <si>
    <t>Maint</t>
  </si>
  <si>
    <t>Charge</t>
  </si>
  <si>
    <t>30' Wood pole</t>
  </si>
  <si>
    <t>Customer Facility Charge:</t>
  </si>
  <si>
    <t>Demand Charge:</t>
  </si>
  <si>
    <t>Base Energy Charge:</t>
  </si>
  <si>
    <t>Lighting:</t>
  </si>
  <si>
    <t>1000w HPS Flood</t>
  </si>
  <si>
    <t>1000w MH  Flood</t>
  </si>
  <si>
    <t xml:space="preserve">1000w MH  Vert Shoebox </t>
  </si>
  <si>
    <t>100w HPS Amer Rev</t>
  </si>
  <si>
    <t>100w HPS Cobra Head</t>
  </si>
  <si>
    <t>100w HPS SP2 Spectra</t>
  </si>
  <si>
    <t>150w HPS Acorn</t>
  </si>
  <si>
    <t>150w HPS ALN 440</t>
  </si>
  <si>
    <t>150w HPS Am Rev</t>
  </si>
  <si>
    <t xml:space="preserve">175w MH  ALN 440 </t>
  </si>
  <si>
    <t xml:space="preserve">175w MH Shoebox </t>
  </si>
  <si>
    <t xml:space="preserve">200w HPS Cobra Head </t>
  </si>
  <si>
    <t>250w HPS Cobra Head</t>
  </si>
  <si>
    <t>250w HPS Flood</t>
  </si>
  <si>
    <t>250w MH Shoebox</t>
  </si>
  <si>
    <t>400w HPS Cobra Head</t>
  </si>
  <si>
    <t xml:space="preserve">400w HPS Flood </t>
  </si>
  <si>
    <t xml:space="preserve">400w MH Flood </t>
  </si>
  <si>
    <t>10' Alum Deco Base</t>
  </si>
  <si>
    <t>13' Decorative Concrete</t>
  </si>
  <si>
    <t>18' Fiberglass Round</t>
  </si>
  <si>
    <t>20' Decorative Concrete</t>
  </si>
  <si>
    <t>30' Wood Pole Std</t>
  </si>
  <si>
    <t>35' Concrete Square</t>
  </si>
  <si>
    <t xml:space="preserve">40'  Wood Pole Std </t>
  </si>
  <si>
    <t xml:space="preserve">175w MV Cobra Head </t>
  </si>
  <si>
    <t>400w MV Cobra Head</t>
  </si>
  <si>
    <t>100w MH SP2 Spectra</t>
  </si>
  <si>
    <t>Percent Increase</t>
  </si>
  <si>
    <t>kVAR</t>
  </si>
  <si>
    <t>Schedule B-1</t>
  </si>
  <si>
    <t xml:space="preserve"> </t>
  </si>
  <si>
    <t>ADJUSTED RATE BASE</t>
  </si>
  <si>
    <t>FLORIDA PUBLIC SERVICE COMMISSION</t>
  </si>
  <si>
    <t xml:space="preserve">EXPLANATION: </t>
  </si>
  <si>
    <t>Provide a schedule of the 13-month average adjusted rate base</t>
  </si>
  <si>
    <t>Type of Data Shown:</t>
  </si>
  <si>
    <t>for the test year, the prior year and the most recent historical</t>
  </si>
  <si>
    <t>COMPANY: Florida Public Utilities Company</t>
  </si>
  <si>
    <t>year.  Provide the details of all adjustments on Schedule B-2.</t>
  </si>
  <si>
    <t>Consolidated Electric Division</t>
  </si>
  <si>
    <t>(6)</t>
  </si>
  <si>
    <t>(7)</t>
  </si>
  <si>
    <t>(8)</t>
  </si>
  <si>
    <t>(9)</t>
  </si>
  <si>
    <t>(10)</t>
  </si>
  <si>
    <t>Accumulated</t>
  </si>
  <si>
    <t>Provision for</t>
  </si>
  <si>
    <t>Net Plant</t>
  </si>
  <si>
    <t>Plant</t>
  </si>
  <si>
    <t>Nuclear Fuel -</t>
  </si>
  <si>
    <t>Net</t>
  </si>
  <si>
    <t>Working</t>
  </si>
  <si>
    <t>Other</t>
  </si>
  <si>
    <t>Line</t>
  </si>
  <si>
    <t xml:space="preserve">Plant in </t>
  </si>
  <si>
    <t>Depreciation</t>
  </si>
  <si>
    <t>in Service</t>
  </si>
  <si>
    <t>CWIP -</t>
  </si>
  <si>
    <t>Held For</t>
  </si>
  <si>
    <t>No AFUDC</t>
  </si>
  <si>
    <t>Utility</t>
  </si>
  <si>
    <t>Capital</t>
  </si>
  <si>
    <t>Rate Base</t>
  </si>
  <si>
    <t>No.</t>
  </si>
  <si>
    <t>Service</t>
  </si>
  <si>
    <t>and Amortization</t>
  </si>
  <si>
    <t>(1 - 2)</t>
  </si>
  <si>
    <t>Future Use</t>
  </si>
  <si>
    <t>(Net)</t>
  </si>
  <si>
    <t>Allowance</t>
  </si>
  <si>
    <t>Items</t>
  </si>
  <si>
    <t>System Per Books (B-3)</t>
  </si>
  <si>
    <t>Jurisdictional Factors</t>
  </si>
  <si>
    <t>Jurisdictional Per Books</t>
  </si>
  <si>
    <t>Adjustments:</t>
  </si>
  <si>
    <t>Total Adjustments</t>
  </si>
  <si>
    <t>Adjusted Jurisdictional</t>
  </si>
  <si>
    <t>Schedule  B-2</t>
  </si>
  <si>
    <t>RATE BASE ADJUSTMENTS</t>
  </si>
  <si>
    <t>List and explain all proposed adjustments to the 13-month average</t>
  </si>
  <si>
    <t>rate base for the test year,the prior year and the most recent</t>
  </si>
  <si>
    <t>historical year.  List the adjustments included in the last case</t>
  </si>
  <si>
    <t>that are not proposed in the current case and the reasons for</t>
  </si>
  <si>
    <t>excluding them.</t>
  </si>
  <si>
    <t>Jurisdictional</t>
  </si>
  <si>
    <t xml:space="preserve">Amount of </t>
  </si>
  <si>
    <t>Adjustment</t>
  </si>
  <si>
    <t>Reason for Adjustment or Omission</t>
  </si>
  <si>
    <t>Amount</t>
  </si>
  <si>
    <t>(1) x (2)</t>
  </si>
  <si>
    <t>Adjustment Title</t>
  </si>
  <si>
    <t>(provide supporting schedule)</t>
  </si>
  <si>
    <t>PLANT</t>
  </si>
  <si>
    <t>Commission Adjustment:</t>
  </si>
  <si>
    <t>Company Adjustment:</t>
  </si>
  <si>
    <t>WORKING CAPITAL</t>
  </si>
  <si>
    <t xml:space="preserve">ADJUSTED JURISDICTIONAL NET OPERATING INCOME </t>
  </si>
  <si>
    <t>Provide the calculation of jurisdictional net operating</t>
  </si>
  <si>
    <t>income for the test year, the prior year and the most</t>
  </si>
  <si>
    <t>COMPANY: FLORIDA PUBLIC UTILITIES</t>
  </si>
  <si>
    <t>recent historical year.</t>
  </si>
  <si>
    <t>Adjusted</t>
  </si>
  <si>
    <t>Non-</t>
  </si>
  <si>
    <t>Total Company</t>
  </si>
  <si>
    <t>Electric</t>
  </si>
  <si>
    <t>Adjustments</t>
  </si>
  <si>
    <t>Per Books</t>
  </si>
  <si>
    <t>(1)-(2)</t>
  </si>
  <si>
    <t>(3)x(4)</t>
  </si>
  <si>
    <t>(Schedule C-2)</t>
  </si>
  <si>
    <t>(5)+(6)</t>
  </si>
  <si>
    <t>Operating Revenues:</t>
  </si>
  <si>
    <t xml:space="preserve">  Sales of Electricity</t>
  </si>
  <si>
    <t xml:space="preserve">  Other Operating Revenues</t>
  </si>
  <si>
    <t>Total Operating Revenues</t>
  </si>
  <si>
    <t>Operating Expenses:</t>
  </si>
  <si>
    <t/>
  </si>
  <si>
    <t xml:space="preserve">  Operation &amp; Maintenance:</t>
  </si>
  <si>
    <t xml:space="preserve">    Fuel </t>
  </si>
  <si>
    <t xml:space="preserve">    Purchased Power</t>
  </si>
  <si>
    <t xml:space="preserve">    Other</t>
  </si>
  <si>
    <t xml:space="preserve">  Depreciation</t>
  </si>
  <si>
    <t xml:space="preserve">  Amortization</t>
  </si>
  <si>
    <t xml:space="preserve">  Decommissioning Expense</t>
  </si>
  <si>
    <t xml:space="preserve">  Taxes Other Than Income Taxes</t>
  </si>
  <si>
    <t xml:space="preserve">  Income Taxes</t>
  </si>
  <si>
    <t xml:space="preserve">  Deferred Income Taxes-Net</t>
  </si>
  <si>
    <t xml:space="preserve">  Investment Tax Credit-Net</t>
  </si>
  <si>
    <t xml:space="preserve">  (Gain)/Loss on Disposal of Plant</t>
  </si>
  <si>
    <t>Total Operating Expenses</t>
  </si>
  <si>
    <t>Net Operating Income</t>
  </si>
  <si>
    <t>Tax Computation:</t>
  </si>
  <si>
    <t>NOI</t>
  </si>
  <si>
    <t>Pre-Tax NOI</t>
  </si>
  <si>
    <t>Tax Rate</t>
  </si>
  <si>
    <t>Income Taxes</t>
  </si>
  <si>
    <t>Provide a schedule of net operating income adjustments</t>
  </si>
  <si>
    <t>for the test year, the prior year and the most recent</t>
  </si>
  <si>
    <t>historical year.  Provide the details of all adjustments on</t>
  </si>
  <si>
    <t>Schedule C-3.</t>
  </si>
  <si>
    <t xml:space="preserve">Line </t>
  </si>
  <si>
    <t>Col. 5</t>
  </si>
  <si>
    <t>Synchronization</t>
  </si>
  <si>
    <t xml:space="preserve">    Fuel (nonrecoverable)</t>
  </si>
  <si>
    <t xml:space="preserve">  Depreciation </t>
  </si>
  <si>
    <t>Schedule D-1a</t>
  </si>
  <si>
    <t>COST OF CAPITAL - 13-MONTH AVERAGE</t>
  </si>
  <si>
    <t>EXPLANATION:</t>
  </si>
  <si>
    <t>Provide the company's 13-month average cost of capital for</t>
  </si>
  <si>
    <t>(A)</t>
  </si>
  <si>
    <t>(B)</t>
  </si>
  <si>
    <t>(C)</t>
  </si>
  <si>
    <t>(D)</t>
  </si>
  <si>
    <t>(E)</t>
  </si>
  <si>
    <t>(F)</t>
  </si>
  <si>
    <t>(G)</t>
  </si>
  <si>
    <t>(H)</t>
  </si>
  <si>
    <t>(I)</t>
  </si>
  <si>
    <t>(J)</t>
  </si>
  <si>
    <t>(K)</t>
  </si>
  <si>
    <t>Company Total</t>
  </si>
  <si>
    <t>Specific</t>
  </si>
  <si>
    <t>Pro Rata</t>
  </si>
  <si>
    <t>System</t>
  </si>
  <si>
    <t>Pro-Rata</t>
  </si>
  <si>
    <t>Weighted</t>
  </si>
  <si>
    <t xml:space="preserve">Interest </t>
  </si>
  <si>
    <t>Class of Capital</t>
  </si>
  <si>
    <t>Allocation</t>
  </si>
  <si>
    <t>Capital Structure</t>
  </si>
  <si>
    <t>Ratio</t>
  </si>
  <si>
    <t>Rate</t>
  </si>
  <si>
    <t>Cost Rate</t>
  </si>
  <si>
    <t>Long Term Debt</t>
  </si>
  <si>
    <t>Long Term Debt - FPU only</t>
  </si>
  <si>
    <t>Short Term Debt</t>
  </si>
  <si>
    <t>Preferred Stock</t>
  </si>
  <si>
    <t>Common Equity</t>
  </si>
  <si>
    <t>Customer Deposits</t>
  </si>
  <si>
    <t>Deferred Income Taxes</t>
  </si>
  <si>
    <t>ITC-Zero Cost</t>
  </si>
  <si>
    <t>ITC- Weighted Cost</t>
  </si>
  <si>
    <t>TOTAL</t>
  </si>
  <si>
    <t>Pro-Rata Factors:</t>
  </si>
  <si>
    <t>Long Term Debt-FPU only</t>
  </si>
  <si>
    <t>Direct Components</t>
  </si>
  <si>
    <t>Pro-Rata Factor</t>
  </si>
  <si>
    <t>Schedule D-1b</t>
  </si>
  <si>
    <t>COST OF CAPITAL - ADJUSTMENTS</t>
  </si>
  <si>
    <t>1.)  List and describe the basis for the specific</t>
  </si>
  <si>
    <t xml:space="preserve">     adjustments appearing on Schedule D-1a.</t>
  </si>
  <si>
    <t>2.)  List and describe the basis for the pro-rata</t>
  </si>
  <si>
    <t>Description</t>
  </si>
  <si>
    <t>Specific Adjustments</t>
  </si>
  <si>
    <t>Equity</t>
  </si>
  <si>
    <t xml:space="preserve">Other Comprehensive Income Loss which is related to the  </t>
  </si>
  <si>
    <t>valuation of the employees pension plans was removed from</t>
  </si>
  <si>
    <t xml:space="preserve">equity.  It was included in test year equity as a debit.  This </t>
  </si>
  <si>
    <t>adjustment removes the debit.</t>
  </si>
  <si>
    <t>Pro Rata Adjustments</t>
  </si>
  <si>
    <t xml:space="preserve">The determination of the cost of capital for purposes of setting </t>
  </si>
  <si>
    <t>Supporting Schedules:</t>
  </si>
  <si>
    <t>Regulatory Capital Structure</t>
  </si>
  <si>
    <t xml:space="preserve">retail rates in the immediate docket incorporates pro-rata adjustments </t>
  </si>
  <si>
    <t>based on reducing the parent capital structure to the division's rate</t>
  </si>
  <si>
    <t xml:space="preserve">base. </t>
  </si>
  <si>
    <t>Non Electric FPUC Average Rate Base</t>
  </si>
  <si>
    <t>Electric FPUC Average Rate Base</t>
  </si>
  <si>
    <t>ProRata FPUC Factor</t>
  </si>
  <si>
    <t>Schedule C-2 (2017)</t>
  </si>
  <si>
    <t>Income Tax Calculation:</t>
  </si>
  <si>
    <t>Limited Proceeding</t>
  </si>
  <si>
    <t>Present and Proposed Rates</t>
  </si>
  <si>
    <t>Limited</t>
  </si>
  <si>
    <t>Proceeding</t>
  </si>
  <si>
    <t>(L)</t>
  </si>
  <si>
    <t>Interest Expense</t>
  </si>
  <si>
    <t>(K * I)</t>
  </si>
  <si>
    <t>Schedule</t>
  </si>
  <si>
    <t xml:space="preserve">A-1  </t>
  </si>
  <si>
    <t>Docket No.:</t>
  </si>
  <si>
    <t>the test year.</t>
  </si>
  <si>
    <t>Limited Proceeding Electric</t>
  </si>
  <si>
    <t xml:space="preserve">Limited Proceeding Electric </t>
  </si>
  <si>
    <t>Distribution of Revenue Requirement</t>
  </si>
  <si>
    <t>Present and Proposed Rates - Lighting</t>
  </si>
  <si>
    <t>Projected Test Year Ended December 31, 2020</t>
  </si>
  <si>
    <t>Account Title</t>
  </si>
  <si>
    <t>December</t>
  </si>
  <si>
    <t>January</t>
  </si>
  <si>
    <t>February</t>
  </si>
  <si>
    <t>March</t>
  </si>
  <si>
    <t>April</t>
  </si>
  <si>
    <t>June</t>
  </si>
  <si>
    <t>July</t>
  </si>
  <si>
    <t>August</t>
  </si>
  <si>
    <t>September</t>
  </si>
  <si>
    <t>October</t>
  </si>
  <si>
    <t>November</t>
  </si>
  <si>
    <t>#</t>
  </si>
  <si>
    <t>FE18164697W</t>
  </si>
  <si>
    <t>Meters</t>
  </si>
  <si>
    <t>370E</t>
  </si>
  <si>
    <t>FE18504697W</t>
  </si>
  <si>
    <t>Distribution Station Equipment</t>
  </si>
  <si>
    <t>362E</t>
  </si>
  <si>
    <t>FE18554697W</t>
  </si>
  <si>
    <t>Distribution Poles</t>
  </si>
  <si>
    <t>364E</t>
  </si>
  <si>
    <t>FE18564697W</t>
  </si>
  <si>
    <t>OH Conductors</t>
  </si>
  <si>
    <t>365E</t>
  </si>
  <si>
    <t>FE18584697W</t>
  </si>
  <si>
    <t>Underground Conductors</t>
  </si>
  <si>
    <t>367E</t>
  </si>
  <si>
    <t>FE18594697W</t>
  </si>
  <si>
    <t>Overhead Transformers</t>
  </si>
  <si>
    <t>368H</t>
  </si>
  <si>
    <t>FE18604697W</t>
  </si>
  <si>
    <t>Buried Transformers</t>
  </si>
  <si>
    <t>368B</t>
  </si>
  <si>
    <t>FE18614697W</t>
  </si>
  <si>
    <t>Overhead Services</t>
  </si>
  <si>
    <t>369H</t>
  </si>
  <si>
    <t>Retirement Plant in Service:</t>
  </si>
  <si>
    <t>Net Change to Plant in Service</t>
  </si>
  <si>
    <t>Cumulative Plant Balance</t>
  </si>
  <si>
    <t>Cost of Removal:</t>
  </si>
  <si>
    <t>FE18164697R</t>
  </si>
  <si>
    <t>FE18554697R</t>
  </si>
  <si>
    <t>FE18564697R</t>
  </si>
  <si>
    <t>FE18584697R</t>
  </si>
  <si>
    <t>FE18594697R</t>
  </si>
  <si>
    <t>Transformers</t>
  </si>
  <si>
    <t>FE18604697R</t>
  </si>
  <si>
    <t>FE18614697R</t>
  </si>
  <si>
    <t>Monthly Depreciation:</t>
  </si>
  <si>
    <t>Cumulative Accumulated Depreciation Balance</t>
  </si>
  <si>
    <t>Cumulative Net Increase In Rate Base</t>
  </si>
  <si>
    <t>Depreciation Expense</t>
  </si>
  <si>
    <t>Total Depreciation</t>
  </si>
  <si>
    <t>Property Taxes</t>
  </si>
  <si>
    <t>Reference</t>
  </si>
  <si>
    <t xml:space="preserve">Storm </t>
  </si>
  <si>
    <t>Reserve</t>
  </si>
  <si>
    <t>Pre-Storm Reserve Balance</t>
  </si>
  <si>
    <t>N/A</t>
  </si>
  <si>
    <t>[a]</t>
  </si>
  <si>
    <t>Docket 20180061-EI addressed recovery of the recovery of a $1.5M reserve balance.  No additional reserve is requested here.</t>
  </si>
  <si>
    <t>Regular Payroll</t>
  </si>
  <si>
    <t>Overtime Payroll</t>
  </si>
  <si>
    <t>Employee Expenses</t>
  </si>
  <si>
    <t>Contractor Costs</t>
  </si>
  <si>
    <t>Uncollectible Account Expense</t>
  </si>
  <si>
    <t>Subtotal-Storm Related Restoration Costs</t>
  </si>
  <si>
    <t>Estimated Storm Related Restoration Costs</t>
  </si>
  <si>
    <t>Less:  Estimated Non-Incremental Costs</t>
  </si>
  <si>
    <t>Subtotal-Estimated Non-Incremental Costs</t>
  </si>
  <si>
    <t>Total Recoverable Restoration Costs - System</t>
  </si>
  <si>
    <t>Jurisdictional Factor</t>
  </si>
  <si>
    <t>Total Recoverable Restoration Costs-Retail</t>
  </si>
  <si>
    <t>Net Recoverable Retail Restoration Costs</t>
  </si>
  <si>
    <t>Bond Issuance Costs</t>
  </si>
  <si>
    <t>Beginning Balance for Recovery</t>
  </si>
  <si>
    <t>Plus:  Interest on Unamortized Reserve Deficiency Balance thru 12/19</t>
  </si>
  <si>
    <t>Plus:  Amount to Replenish Reserve</t>
  </si>
  <si>
    <t>Retail Storm Recovery Amount before Regulatory Assessment Fee</t>
  </si>
  <si>
    <t>Payroll Overhead Allocations</t>
  </si>
  <si>
    <t>Materials</t>
  </si>
  <si>
    <t>Logistics</t>
  </si>
  <si>
    <t>Fuel</t>
  </si>
  <si>
    <t>Call Center Costs</t>
  </si>
  <si>
    <t>Equipment Rental</t>
  </si>
  <si>
    <t>lines (16+21+22)</t>
  </si>
  <si>
    <t>lines (23x24)</t>
  </si>
  <si>
    <t>line 25 -line 1</t>
  </si>
  <si>
    <t>line 26-line 27</t>
  </si>
  <si>
    <t>lines 28:30</t>
  </si>
  <si>
    <t>Lines 3:15</t>
  </si>
  <si>
    <t>Lines 17:20</t>
  </si>
  <si>
    <t>[b]</t>
  </si>
  <si>
    <t>Non-incremental storm costs were never recorded in Storm Work Orders.  Estimated costs from 10-10-18 to 12-2-18 for the NW division are</t>
  </si>
  <si>
    <t>Customer Charge</t>
  </si>
  <si>
    <t>KW Usage Yearly</t>
  </si>
  <si>
    <t>Residential</t>
  </si>
  <si>
    <t>Commercial Small</t>
  </si>
  <si>
    <t xml:space="preserve">Commercial </t>
  </si>
  <si>
    <t xml:space="preserve">Cumulative  </t>
  </si>
  <si>
    <t>Interest Per Month</t>
  </si>
  <si>
    <t>Cumulative Interest</t>
  </si>
  <si>
    <t>Calculation of Interest on Lost Revenue Not Recovered:</t>
  </si>
  <si>
    <t>Cumulative  Lost Revenue</t>
  </si>
  <si>
    <t>Note:  The Company has permantly lost customers as a result of the storm.  The loss is reflected in net operating income for future time periods.  However, the loss prior to implementation of this limited proceeding will never be recovered unless a regulatory asset is approved and the amortization of this asset allowed in rates in this limited proceeding.  The Company is requesting a five year amortization.</t>
  </si>
  <si>
    <t>Average Beginning and Ending Balance</t>
  </si>
  <si>
    <t>Interest on Unfunded Balance</t>
  </si>
  <si>
    <t>Total Costs Unrecovered</t>
  </si>
  <si>
    <t xml:space="preserve">  &lt;=1000 KWh-RS</t>
  </si>
  <si>
    <t xml:space="preserve">  &gt;=1000 KWh-RS</t>
  </si>
  <si>
    <t>Commercial Large</t>
  </si>
  <si>
    <t>Interest Expense on Unrecovered Costs:</t>
  </si>
  <si>
    <t>Expenses Not Recovered</t>
  </si>
  <si>
    <t>The Company had a substantial loss due to not being able to recover our normal, recurring operation and maintenance costs incurred due to lower usage and one month customer charges not being recovered for residential and commercial customers and two months for lighting customers.  The only way to recover these costs is thru establishment of a regulatory asset.  The Company is requesting approval of this amount and amortization over five years.</t>
  </si>
  <si>
    <t>Reduced O &amp; M due to new equipment</t>
  </si>
  <si>
    <t>FE18624697W</t>
  </si>
  <si>
    <t>FE18634697W</t>
  </si>
  <si>
    <t>FE18654697W</t>
  </si>
  <si>
    <t>Plant In Service-Hurricane Michael Related</t>
  </si>
  <si>
    <t>FE18624697R</t>
  </si>
  <si>
    <t>FE18634697R</t>
  </si>
  <si>
    <t>FE18654697R</t>
  </si>
  <si>
    <t>FE18504697R</t>
  </si>
  <si>
    <t>Install on Cust. Premises-AG</t>
  </si>
  <si>
    <t>371A</t>
  </si>
  <si>
    <t>Underground Services</t>
  </si>
  <si>
    <t>NONE IN STORM PROJECTS ON MFR B-1</t>
  </si>
  <si>
    <t>ACCUMULATED DEPRECIATION</t>
  </si>
  <si>
    <t>Total Cumulative Accumulated Depreciation</t>
  </si>
  <si>
    <t>Schedule  B-3</t>
  </si>
  <si>
    <t>Amortization Over 5 Years</t>
  </si>
  <si>
    <t xml:space="preserve">July </t>
  </si>
  <si>
    <t xml:space="preserve">13-Month Average </t>
  </si>
  <si>
    <t>13-Month Average Calculation:</t>
  </si>
  <si>
    <t>December 19</t>
  </si>
  <si>
    <t>January 20</t>
  </si>
  <si>
    <t>February 20</t>
  </si>
  <si>
    <t>March 20</t>
  </si>
  <si>
    <t>April 20</t>
  </si>
  <si>
    <t>May 20</t>
  </si>
  <si>
    <t>June 20</t>
  </si>
  <si>
    <t>July 20</t>
  </si>
  <si>
    <t>August 20</t>
  </si>
  <si>
    <t>September 20</t>
  </si>
  <si>
    <t>October 20</t>
  </si>
  <si>
    <t>November 20</t>
  </si>
  <si>
    <t>December 20</t>
  </si>
  <si>
    <t>13-Month Avg.</t>
  </si>
  <si>
    <t>Regulatory Asset for Storm Costs</t>
  </si>
  <si>
    <t>Regulatory Asset Lost Customers</t>
  </si>
  <si>
    <t>Regulatory Asset Exp. Not Recovered</t>
  </si>
  <si>
    <t>Revenues-Lost Customers 2020</t>
  </si>
  <si>
    <t>Schedule C1</t>
  </si>
  <si>
    <t>Amortization</t>
  </si>
  <si>
    <t>of Regulatory</t>
  </si>
  <si>
    <t>Assets</t>
  </si>
  <si>
    <t>Projected 2020</t>
  </si>
  <si>
    <t>Revenue Tax on Lost Customer Revenue</t>
  </si>
  <si>
    <t>13-Month Average Projected 2020</t>
  </si>
  <si>
    <t>Conventional Capital Structure 2020</t>
  </si>
  <si>
    <t>Interest/Income Tax Synchronization</t>
  </si>
  <si>
    <t>Less: Interest</t>
  </si>
  <si>
    <t>Interest/Income Sync</t>
  </si>
  <si>
    <t>Street Lighting</t>
  </si>
  <si>
    <t>373A</t>
  </si>
  <si>
    <t>Taxes Per C-2 before sync</t>
  </si>
  <si>
    <t>500's</t>
  </si>
  <si>
    <t xml:space="preserve">included in restoration costs and removed in non-incremental costs.  Additional non-incremental costs were incurred in other months </t>
  </si>
  <si>
    <t>but could not be estimated since we do not recorded non-incremental as storm.</t>
  </si>
  <si>
    <t>Less:  Capitalizable Costs</t>
  </si>
  <si>
    <t>2020 BUDGET KWH SALES</t>
  </si>
  <si>
    <t>2020 BUDGET</t>
  </si>
  <si>
    <t>Regulatory Asset for Unrecovered A/D</t>
  </si>
  <si>
    <t>369B</t>
  </si>
  <si>
    <t>Schedule C-1 (2020)</t>
  </si>
  <si>
    <t>FOR INCREMENTAL ADDITIONS REQUESTED IN THE LIMITED PROCEEDING</t>
  </si>
  <si>
    <t xml:space="preserve">FOR INCREMENTAL ADDITIONS FOR HURRICANE MICHAEL </t>
  </si>
  <si>
    <t xml:space="preserve">      NET OPERATING INCOME ADJUSTMENTS</t>
  </si>
  <si>
    <t>Storm Cost Recovery for Incremental Expenses</t>
  </si>
  <si>
    <t>Act.</t>
  </si>
  <si>
    <t>Page 6 of 13</t>
  </si>
  <si>
    <t>Page 4 of 13</t>
  </si>
  <si>
    <t>Page 7 of 13</t>
  </si>
  <si>
    <t>Page 5 of 13</t>
  </si>
  <si>
    <t>Page 8 of 13</t>
  </si>
  <si>
    <t>Total Expenses</t>
  </si>
  <si>
    <t>Page 9 of 13</t>
  </si>
  <si>
    <t>Current Rates</t>
  </si>
  <si>
    <t>Regulatory Asset for Lost Customers</t>
  </si>
  <si>
    <t>Forecast 2020</t>
  </si>
  <si>
    <t>Rate Base Projected 2020</t>
  </si>
  <si>
    <t>Regulatory Asset for the Negative Component of the Accumulated Depreciation Reserve</t>
  </si>
  <si>
    <t>Cost of</t>
  </si>
  <si>
    <t>Removal</t>
  </si>
  <si>
    <t>Salvage</t>
  </si>
  <si>
    <t>Undepreciated</t>
  </si>
  <si>
    <t>Retirement</t>
  </si>
  <si>
    <t>Total Regulatory</t>
  </si>
  <si>
    <t>Asset</t>
  </si>
  <si>
    <t>Requested</t>
  </si>
  <si>
    <t>13-Month Average Computation:</t>
  </si>
  <si>
    <t>Regulatory</t>
  </si>
  <si>
    <t xml:space="preserve">Accumulated </t>
  </si>
  <si>
    <t>Regulatory Asset</t>
  </si>
  <si>
    <t>13-Month Average</t>
  </si>
  <si>
    <t>Retirements:</t>
  </si>
  <si>
    <t>Actual A/D up to Storm for Retirements:</t>
  </si>
  <si>
    <t>Department Cost Allocation on Capital</t>
  </si>
  <si>
    <t xml:space="preserve">Exhibit MDN-1 </t>
  </si>
  <si>
    <t>Exhibit MDN-1 Page 12 of 13</t>
  </si>
  <si>
    <t>Exhibit MDN-1 Page 13 of 13</t>
  </si>
  <si>
    <t>MDN-5 Page 1 of 1</t>
  </si>
  <si>
    <t>MDN-6 Page 1 of 1</t>
  </si>
  <si>
    <t>MDN-2 page 1 of 1</t>
  </si>
  <si>
    <t>MDN-3 page 1 of 2</t>
  </si>
  <si>
    <t>MDN-3 Page 2 of 2</t>
  </si>
  <si>
    <t>MDN-4 Page 1 of 1</t>
  </si>
  <si>
    <t>kWh Usage Yearly &lt;=1000 kWh</t>
  </si>
  <si>
    <t>kWh Usage Yearly &gt;=1000 kWh</t>
  </si>
  <si>
    <t>Regulatory Asset for Storm Costs (MDN-4)</t>
  </si>
  <si>
    <t>Regulatory Asset for Lost Customers (MDN-5)</t>
  </si>
  <si>
    <t>Regulatory Asset for Expenses Not Recovered During Restoration (MDN-6)</t>
  </si>
  <si>
    <t>Regulatory Asset for Unrecovered Accumulated Depreciation Cost of Removal Net of Salvage (MDN-7)</t>
  </si>
  <si>
    <t>Expenses Related to October Revenue Lost</t>
  </si>
  <si>
    <t>Expenses Related to November Lighting Revenue</t>
  </si>
  <si>
    <t>Revenue Type</t>
  </si>
  <si>
    <t>Volume</t>
  </si>
  <si>
    <t>Customers</t>
  </si>
  <si>
    <t>Customer Rate</t>
  </si>
  <si>
    <t xml:space="preserve">2018 Energy Charge </t>
  </si>
  <si>
    <t>Revenue Based</t>
  </si>
  <si>
    <t>KWh</t>
  </si>
  <si>
    <t>KW</t>
  </si>
  <si>
    <t>KWH</t>
  </si>
  <si>
    <t>on 2018 Rates</t>
  </si>
  <si>
    <t>Industrial</t>
  </si>
  <si>
    <t>Outdoor Lights</t>
  </si>
  <si>
    <t>Avg./Customer</t>
  </si>
  <si>
    <t>November Lighting</t>
  </si>
  <si>
    <t>Total Costs Not Recovered</t>
  </si>
  <si>
    <t>Costs Limited to Revenue Not Received</t>
  </si>
  <si>
    <t>Regulatory Asset for Expenses Not Recovered in Base Rates</t>
  </si>
  <si>
    <t xml:space="preserve">Summary of Revenues Not Received During Storm Restoration:  </t>
  </si>
  <si>
    <t xml:space="preserve">Commercial  </t>
  </si>
  <si>
    <t>Lost Customer Estimate by Month</t>
  </si>
  <si>
    <t>Lost Revenue (based on customer charge and average usage above and uncollected storm surcharge)</t>
  </si>
  <si>
    <t>Total Year End Amount December 2019</t>
  </si>
  <si>
    <t>Expense at 10 Years</t>
  </si>
  <si>
    <t>20190156-EI</t>
  </si>
  <si>
    <t xml:space="preserve">Remove Cost of </t>
  </si>
  <si>
    <t>Removal in Base Rates</t>
  </si>
  <si>
    <t>Remove</t>
  </si>
  <si>
    <t>Dif. In Base Rate</t>
  </si>
  <si>
    <t>Remove Plant Retired in Base Rates</t>
  </si>
  <si>
    <t>Remove Retirements in Base Rates</t>
  </si>
  <si>
    <t>As filed</t>
  </si>
  <si>
    <t>Decrease</t>
  </si>
  <si>
    <t>MDN-12 Page 6 of 6</t>
  </si>
  <si>
    <t>Exhibit MDN-12 Page 5 of 6</t>
  </si>
  <si>
    <t>Exhibit MDN-12 Page 4 of 6</t>
  </si>
  <si>
    <t>Exhibit MDN-12 Page 3 of 6</t>
  </si>
  <si>
    <t>Exhibit MDN-12 Page 2 of 6</t>
  </si>
  <si>
    <t>MDN-12 Page 1 of 6</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</si>
</sst>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0%"/>
    <numFmt numFmtId="168" formatCode="_(&quot;$&quot;* #,##0_);_(&quot;$&quot;* \(#,##0\);_(&quot;$&quot;* &quot;-&quot;????_);_(@_)"/>
    <numFmt numFmtId="169" formatCode="&quot;$&quot;#,##0.00000_);[Red]\(&quot;$&quot;#,##0.00000\)"/>
    <numFmt numFmtId="170" formatCode="#,##0.0000_);\(#,##0.0000\)"/>
    <numFmt numFmtId="171" formatCode="0.0000"/>
    <numFmt numFmtId="172" formatCode="#,###,##0;\(#,###,##0\)"/>
    <numFmt numFmtId="173" formatCode="_(&quot;$&quot;* #,##0.00000_);_(&quot;$&quot;* \(#,##0.00000\);_(&quot;$&quot;*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u/>
      <sz val="11"/>
      <color theme="10"/>
      <name val="Calibri"/>
      <family val="2"/>
      <scheme val="minor"/>
    </font>
    <font>
      <sz val="11"/>
      <color theme="0"/>
      <name val="Calibri"/>
      <family val="2"/>
      <scheme val="minor"/>
    </font>
    <font>
      <sz val="9"/>
      <color indexed="81"/>
      <name val="Tahoma"/>
      <family val="2"/>
    </font>
    <font>
      <sz val="12"/>
      <name val="Times New Roman"/>
      <family val="1"/>
    </font>
    <font>
      <u/>
      <sz val="12"/>
      <name val="Times New Roman"/>
      <family val="1"/>
    </font>
    <font>
      <sz val="11"/>
      <name val="Calibri"/>
      <family val="2"/>
    </font>
    <font>
      <sz val="10"/>
      <name val="Times New Roman"/>
      <family val="1"/>
    </font>
    <font>
      <u/>
      <sz val="10"/>
      <name val="Times New Roman"/>
      <family val="1"/>
    </font>
    <font>
      <sz val="8"/>
      <color rgb="FF000000"/>
      <name val="Times New Roman"/>
      <family val="1"/>
    </font>
    <font>
      <sz val="8"/>
      <name val="Times New Roman"/>
      <family val="1"/>
    </font>
    <font>
      <b/>
      <sz val="12"/>
      <name val="Times New Roman"/>
      <family val="1"/>
    </font>
    <font>
      <sz val="10"/>
      <name val="Arial"/>
      <family val="2"/>
    </font>
    <font>
      <sz val="12"/>
      <name val="Arial"/>
      <family val="2"/>
    </font>
    <font>
      <sz val="13"/>
      <name val="Arial"/>
      <family val="2"/>
    </font>
    <font>
      <u/>
      <sz val="12"/>
      <name val="Arial"/>
      <family val="2"/>
    </font>
    <font>
      <sz val="12"/>
      <color rgb="FF0000FF"/>
      <name val="Arial"/>
      <family val="2"/>
    </font>
    <font>
      <sz val="11"/>
      <color indexed="8"/>
      <name val="Calibri"/>
      <family val="2"/>
    </font>
    <font>
      <b/>
      <sz val="13"/>
      <name val="Arial"/>
      <family val="2"/>
    </font>
    <font>
      <sz val="12"/>
      <color indexed="12"/>
      <name val="Arial"/>
      <family val="2"/>
    </font>
    <font>
      <u/>
      <sz val="13"/>
      <name val="Arial"/>
      <family val="2"/>
    </font>
    <font>
      <sz val="13"/>
      <color indexed="12"/>
      <name val="Arial"/>
      <family val="2"/>
    </font>
    <font>
      <sz val="14"/>
      <name val="Arial"/>
      <family val="2"/>
    </font>
    <font>
      <b/>
      <sz val="12"/>
      <name val="Arial"/>
      <family val="2"/>
    </font>
    <font>
      <b/>
      <sz val="11"/>
      <color theme="1"/>
      <name val="Arial"/>
      <family val="2"/>
    </font>
    <font>
      <b/>
      <sz val="14"/>
      <color theme="1"/>
      <name val="Arial"/>
      <family val="2"/>
    </font>
    <font>
      <b/>
      <sz val="12"/>
      <color theme="1"/>
      <name val="Arial"/>
      <family val="2"/>
    </font>
    <font>
      <sz val="11"/>
      <color theme="1"/>
      <name val="Arial"/>
      <family val="2"/>
    </font>
    <font>
      <sz val="11"/>
      <name val="Arial"/>
      <family val="2"/>
    </font>
    <font>
      <sz val="12"/>
      <color theme="1"/>
      <name val="Arial"/>
      <family val="2"/>
    </font>
    <font>
      <sz val="10"/>
      <color indexed="0"/>
      <name val="Arial"/>
      <family val="2"/>
    </font>
    <font>
      <b/>
      <sz val="10"/>
      <color indexed="0"/>
      <name val="Arial"/>
      <family val="2"/>
    </font>
    <font>
      <b/>
      <i/>
      <u/>
      <sz val="11"/>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b/>
      <sz val="9"/>
      <color indexed="0"/>
      <name val="Arial"/>
      <family val="2"/>
    </font>
    <font>
      <b/>
      <i/>
      <u val="singleAccounting"/>
      <sz val="11"/>
      <color theme="1"/>
      <name val="Calibri"/>
      <family val="2"/>
      <scheme val="minor"/>
    </font>
    <font>
      <b/>
      <i/>
      <sz val="9"/>
      <color theme="1"/>
      <name val="Calibri"/>
      <family val="2"/>
      <scheme val="minor"/>
    </font>
    <font>
      <b/>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5">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medium">
        <color indexed="8"/>
      </top>
      <bottom/>
      <diagonal/>
    </border>
    <border>
      <left/>
      <right/>
      <top style="thin">
        <color indexed="8"/>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19">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43" fontId="16" fillId="0" borderId="0" applyFont="0" applyFill="0" applyBorder="0" applyAlignment="0" applyProtection="0"/>
    <xf numFmtId="0" fontId="17" fillId="0" borderId="0"/>
    <xf numFmtId="0" fontId="17" fillId="0" borderId="0"/>
    <xf numFmtId="0" fontId="17" fillId="0" borderId="0"/>
    <xf numFmtId="9" fontId="1"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xf numFmtId="0" fontId="17" fillId="0" borderId="0"/>
    <xf numFmtId="0" fontId="17" fillId="0" borderId="0"/>
    <xf numFmtId="0" fontId="17" fillId="0" borderId="0"/>
    <xf numFmtId="0" fontId="17" fillId="0" borderId="0"/>
    <xf numFmtId="172" fontId="34" fillId="0" borderId="0"/>
    <xf numFmtId="0" fontId="16" fillId="0" borderId="0"/>
    <xf numFmtId="0" fontId="16" fillId="0" borderId="0"/>
  </cellStyleXfs>
  <cellXfs count="451">
    <xf numFmtId="0" fontId="0" fillId="0" borderId="0" xfId="0"/>
    <xf numFmtId="0" fontId="2" fillId="0" borderId="0" xfId="0" applyFont="1" applyAlignment="1">
      <alignment horizontal="left"/>
    </xf>
    <xf numFmtId="0" fontId="3" fillId="0" borderId="0" xfId="0" applyFont="1"/>
    <xf numFmtId="10" fontId="0" fillId="0" borderId="0" xfId="2" applyNumberFormat="1" applyFont="1"/>
    <xf numFmtId="0" fontId="0" fillId="0" borderId="0" xfId="0"/>
    <xf numFmtId="0" fontId="0" fillId="0" borderId="0" xfId="0" applyBorder="1"/>
    <xf numFmtId="164" fontId="0" fillId="0" borderId="0" xfId="1" applyNumberFormat="1" applyFont="1" applyBorder="1"/>
    <xf numFmtId="164" fontId="0" fillId="0" borderId="0" xfId="1" applyNumberFormat="1" applyFont="1"/>
    <xf numFmtId="164" fontId="0" fillId="0" borderId="0" xfId="0" applyNumberFormat="1"/>
    <xf numFmtId="49" fontId="2" fillId="0" borderId="0" xfId="0" applyNumberFormat="1" applyFont="1" applyAlignment="1">
      <alignment horizontal="center"/>
    </xf>
    <xf numFmtId="49" fontId="2" fillId="0" borderId="0" xfId="0" applyNumberFormat="1" applyFont="1" applyBorder="1" applyAlignment="1">
      <alignment horizontal="center"/>
    </xf>
    <xf numFmtId="49" fontId="0" fillId="0" borderId="0" xfId="0" applyNumberFormat="1"/>
    <xf numFmtId="0" fontId="3" fillId="0" borderId="0" xfId="0" applyFont="1" applyAlignment="1">
      <alignment horizontal="center"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165" fontId="0" fillId="0" borderId="0" xfId="3" applyNumberFormat="1" applyFont="1"/>
    <xf numFmtId="10" fontId="4" fillId="0" borderId="0" xfId="4" applyNumberFormat="1" applyFont="1"/>
    <xf numFmtId="165" fontId="0" fillId="0" borderId="1" xfId="3" applyNumberFormat="1" applyFont="1" applyBorder="1"/>
    <xf numFmtId="164" fontId="0" fillId="0" borderId="1" xfId="1" applyNumberFormat="1" applyFont="1" applyBorder="1"/>
    <xf numFmtId="0" fontId="8" fillId="0" borderId="0" xfId="0" applyFont="1" applyAlignment="1">
      <alignment horizontal="left" indent="15"/>
    </xf>
    <xf numFmtId="0" fontId="9" fillId="0" borderId="0" xfId="0" applyFont="1" applyAlignment="1">
      <alignment horizontal="left" indent="15"/>
    </xf>
    <xf numFmtId="0" fontId="8" fillId="0" borderId="0" xfId="0" applyFont="1"/>
    <xf numFmtId="0" fontId="8" fillId="0" borderId="0" xfId="0" applyFont="1" applyAlignment="1">
      <alignment horizontal="right"/>
    </xf>
    <xf numFmtId="8" fontId="8" fillId="0" borderId="0" xfId="0" applyNumberFormat="1" applyFont="1"/>
    <xf numFmtId="169" fontId="8" fillId="0" borderId="0" xfId="0" applyNumberFormat="1" applyFont="1"/>
    <xf numFmtId="169" fontId="0" fillId="0" borderId="0" xfId="0" applyNumberFormat="1"/>
    <xf numFmtId="0" fontId="10" fillId="0" borderId="0" xfId="0" applyFont="1"/>
    <xf numFmtId="0" fontId="11" fillId="0" borderId="0" xfId="0" applyFont="1" applyAlignment="1">
      <alignment horizontal="center"/>
    </xf>
    <xf numFmtId="0" fontId="12" fillId="0" borderId="0" xfId="0" applyFont="1" applyAlignment="1">
      <alignment horizontal="center"/>
    </xf>
    <xf numFmtId="0" fontId="13" fillId="0" borderId="0" xfId="0" applyFont="1"/>
    <xf numFmtId="8" fontId="14" fillId="0" borderId="0" xfId="0" applyNumberFormat="1" applyFont="1"/>
    <xf numFmtId="8" fontId="0" fillId="0" borderId="0" xfId="0" applyNumberFormat="1"/>
    <xf numFmtId="0" fontId="14" fillId="0" borderId="0" xfId="0" applyFont="1"/>
    <xf numFmtId="0" fontId="11" fillId="0" borderId="0" xfId="0" applyFont="1"/>
    <xf numFmtId="0" fontId="11" fillId="0" borderId="0" xfId="0" applyFont="1" applyFill="1" applyAlignment="1">
      <alignment horizontal="center"/>
    </xf>
    <xf numFmtId="0" fontId="11" fillId="0" borderId="0" xfId="0" applyFont="1" applyFill="1"/>
    <xf numFmtId="8" fontId="14" fillId="0" borderId="0" xfId="0" applyNumberFormat="1" applyFont="1" applyFill="1"/>
    <xf numFmtId="0" fontId="9" fillId="0" borderId="0" xfId="0" applyFont="1" applyAlignment="1">
      <alignment horizontal="right"/>
    </xf>
    <xf numFmtId="0" fontId="15" fillId="0" borderId="0" xfId="0" applyFont="1" applyAlignment="1">
      <alignment horizontal="left"/>
    </xf>
    <xf numFmtId="10" fontId="6" fillId="0" borderId="0" xfId="2" applyNumberFormat="1" applyFont="1"/>
    <xf numFmtId="0" fontId="17" fillId="0" borderId="0" xfId="0" applyNumberFormat="1" applyFont="1" applyAlignment="1"/>
    <xf numFmtId="0" fontId="17" fillId="0" borderId="0" xfId="0" applyNumberFormat="1" applyFont="1" applyAlignment="1" applyProtection="1">
      <protection locked="0"/>
    </xf>
    <xf numFmtId="0" fontId="17" fillId="0" borderId="0" xfId="0" applyNumberFormat="1" applyFont="1"/>
    <xf numFmtId="0" fontId="17" fillId="0" borderId="0" xfId="0" applyFont="1"/>
    <xf numFmtId="0" fontId="17" fillId="0" borderId="5" xfId="0" applyNumberFormat="1" applyFont="1" applyBorder="1" applyAlignment="1"/>
    <xf numFmtId="0" fontId="17" fillId="0" borderId="0" xfId="0" applyNumberFormat="1" applyFont="1" applyBorder="1" applyAlignment="1"/>
    <xf numFmtId="0" fontId="18" fillId="0" borderId="0" xfId="6" applyNumberFormat="1" applyFont="1" applyAlignment="1"/>
    <xf numFmtId="0" fontId="17" fillId="0" borderId="5" xfId="0" applyNumberFormat="1" applyFont="1" applyBorder="1" applyAlignment="1" applyProtection="1">
      <protection locked="0"/>
    </xf>
    <xf numFmtId="0" fontId="17" fillId="0" borderId="0" xfId="0" applyNumberFormat="1" applyFont="1" applyAlignment="1" applyProtection="1">
      <alignment horizontal="center"/>
      <protection locked="0"/>
    </xf>
    <xf numFmtId="0" fontId="17" fillId="0" borderId="0" xfId="0" applyNumberFormat="1" applyFont="1" applyAlignment="1">
      <alignment horizontal="centerContinuous"/>
    </xf>
    <xf numFmtId="0" fontId="17" fillId="0" borderId="0" xfId="0" applyNumberFormat="1" applyFont="1" applyAlignment="1">
      <alignment horizontal="center"/>
    </xf>
    <xf numFmtId="0" fontId="17" fillId="0" borderId="0" xfId="0" applyNumberFormat="1" applyFont="1" applyAlignment="1" applyProtection="1">
      <alignment horizontal="centerContinuous"/>
      <protection locked="0"/>
    </xf>
    <xf numFmtId="0" fontId="17" fillId="0" borderId="0" xfId="0" applyNumberFormat="1" applyFont="1" applyBorder="1" applyAlignment="1" applyProtection="1">
      <alignment horizontal="center"/>
      <protection locked="0"/>
    </xf>
    <xf numFmtId="0" fontId="17" fillId="0" borderId="0" xfId="0" applyNumberFormat="1" applyFont="1" applyBorder="1" applyAlignment="1" applyProtection="1">
      <protection locked="0"/>
    </xf>
    <xf numFmtId="41" fontId="17" fillId="0" borderId="0" xfId="0" applyNumberFormat="1" applyFont="1" applyBorder="1" applyAlignment="1" applyProtection="1">
      <protection locked="0"/>
    </xf>
    <xf numFmtId="41" fontId="17" fillId="0" borderId="0" xfId="0" applyNumberFormat="1" applyFont="1"/>
    <xf numFmtId="165" fontId="17" fillId="0" borderId="0" xfId="3" applyNumberFormat="1" applyFont="1" applyFill="1" applyBorder="1" applyAlignment="1" applyProtection="1">
      <protection locked="0"/>
    </xf>
    <xf numFmtId="41" fontId="17" fillId="0" borderId="0" xfId="0" applyNumberFormat="1" applyFont="1" applyBorder="1" applyAlignment="1"/>
    <xf numFmtId="0" fontId="17" fillId="0" borderId="0" xfId="0" applyFont="1" applyAlignment="1">
      <alignment horizontal="center"/>
    </xf>
    <xf numFmtId="9" fontId="17" fillId="0" borderId="0" xfId="0" applyNumberFormat="1" applyFont="1" applyAlignment="1" applyProtection="1">
      <protection locked="0"/>
    </xf>
    <xf numFmtId="9" fontId="17" fillId="0" borderId="0" xfId="0" applyNumberFormat="1" applyFont="1" applyFill="1" applyAlignment="1" applyProtection="1">
      <protection locked="0"/>
    </xf>
    <xf numFmtId="41" fontId="17" fillId="0" borderId="6" xfId="0" applyNumberFormat="1" applyFont="1" applyBorder="1" applyAlignment="1" applyProtection="1">
      <protection locked="0"/>
    </xf>
    <xf numFmtId="165" fontId="17" fillId="0" borderId="6" xfId="0" applyNumberFormat="1" applyFont="1" applyBorder="1" applyAlignment="1"/>
    <xf numFmtId="41" fontId="17" fillId="0" borderId="6" xfId="0" applyNumberFormat="1" applyFont="1" applyBorder="1" applyAlignment="1"/>
    <xf numFmtId="165" fontId="17" fillId="0" borderId="6" xfId="0" applyNumberFormat="1" applyFont="1" applyBorder="1" applyAlignment="1" applyProtection="1">
      <protection locked="0"/>
    </xf>
    <xf numFmtId="41" fontId="17" fillId="0" borderId="6" xfId="0" applyNumberFormat="1" applyFont="1" applyFill="1" applyBorder="1" applyAlignment="1" applyProtection="1">
      <protection locked="0"/>
    </xf>
    <xf numFmtId="0" fontId="19" fillId="0" borderId="0" xfId="0" applyNumberFormat="1" applyFont="1" applyAlignment="1" applyProtection="1">
      <protection locked="0"/>
    </xf>
    <xf numFmtId="41" fontId="17" fillId="0" borderId="0" xfId="0" applyNumberFormat="1" applyFont="1" applyAlignment="1" applyProtection="1">
      <protection locked="0"/>
    </xf>
    <xf numFmtId="41" fontId="17" fillId="0" borderId="0" xfId="0" applyNumberFormat="1" applyFont="1" applyAlignment="1"/>
    <xf numFmtId="41" fontId="17" fillId="0" borderId="0" xfId="0" applyNumberFormat="1" applyFont="1" applyFill="1" applyAlignment="1" applyProtection="1">
      <protection locked="0"/>
    </xf>
    <xf numFmtId="49" fontId="17" fillId="0" borderId="0" xfId="0" applyNumberFormat="1" applyFont="1" applyFill="1" applyBorder="1" applyAlignment="1" applyProtection="1">
      <alignment vertical="center" wrapText="1"/>
      <protection locked="0"/>
    </xf>
    <xf numFmtId="41" fontId="17" fillId="0" borderId="2" xfId="0" applyNumberFormat="1" applyFont="1" applyBorder="1" applyAlignment="1" applyProtection="1">
      <protection locked="0"/>
    </xf>
    <xf numFmtId="41" fontId="17" fillId="0" borderId="2" xfId="0" applyNumberFormat="1" applyFont="1" applyBorder="1" applyAlignment="1"/>
    <xf numFmtId="41" fontId="17" fillId="0" borderId="1" xfId="0" applyNumberFormat="1" applyFont="1" applyBorder="1" applyAlignment="1" applyProtection="1">
      <protection locked="0"/>
    </xf>
    <xf numFmtId="41" fontId="17" fillId="0" borderId="1" xfId="0" applyNumberFormat="1" applyFont="1" applyBorder="1" applyAlignment="1"/>
    <xf numFmtId="0" fontId="17" fillId="0" borderId="7" xfId="0" applyNumberFormat="1" applyFont="1" applyBorder="1" applyAlignment="1"/>
    <xf numFmtId="0" fontId="17" fillId="0" borderId="7" xfId="0" applyNumberFormat="1" applyFont="1" applyBorder="1" applyAlignment="1" applyProtection="1">
      <protection locked="0"/>
    </xf>
    <xf numFmtId="41" fontId="17" fillId="0" borderId="7" xfId="0" applyNumberFormat="1" applyFont="1" applyBorder="1" applyAlignment="1"/>
    <xf numFmtId="0" fontId="18" fillId="0" borderId="0" xfId="0" applyNumberFormat="1" applyFont="1" applyAlignment="1"/>
    <xf numFmtId="0" fontId="18" fillId="0" borderId="0" xfId="0" applyNumberFormat="1" applyFont="1" applyAlignment="1" applyProtection="1">
      <protection locked="0"/>
    </xf>
    <xf numFmtId="0" fontId="18" fillId="0" borderId="5" xfId="0" applyNumberFormat="1" applyFont="1" applyBorder="1" applyAlignment="1"/>
    <xf numFmtId="0" fontId="18" fillId="0" borderId="0" xfId="0" applyNumberFormat="1" applyFont="1" applyBorder="1" applyAlignment="1"/>
    <xf numFmtId="0" fontId="18" fillId="0" borderId="7" xfId="0" applyNumberFormat="1" applyFont="1" applyBorder="1" applyAlignment="1"/>
    <xf numFmtId="0" fontId="18" fillId="0" borderId="0" xfId="0" applyNumberFormat="1" applyFont="1" applyAlignment="1" applyProtection="1">
      <alignment horizontal="center"/>
      <protection locked="0"/>
    </xf>
    <xf numFmtId="0" fontId="18" fillId="0" borderId="0" xfId="0" applyNumberFormat="1" applyFont="1" applyAlignment="1" applyProtection="1">
      <alignment horizontal="centerContinuous"/>
      <protection locked="0"/>
    </xf>
    <xf numFmtId="0" fontId="18" fillId="0" borderId="0" xfId="0" applyNumberFormat="1" applyFont="1" applyAlignment="1">
      <alignment horizontal="centerContinuous"/>
    </xf>
    <xf numFmtId="0" fontId="18" fillId="0" borderId="7" xfId="0" applyNumberFormat="1" applyFont="1" applyBorder="1" applyAlignment="1" applyProtection="1">
      <protection locked="0"/>
    </xf>
    <xf numFmtId="49" fontId="19" fillId="0" borderId="0" xfId="0" applyNumberFormat="1" applyFont="1" applyFill="1" applyBorder="1" applyAlignment="1" applyProtection="1">
      <alignment horizontal="left" vertical="center"/>
      <protection locked="0"/>
    </xf>
    <xf numFmtId="49" fontId="17" fillId="0" borderId="0" xfId="0" applyNumberFormat="1" applyFont="1" applyFill="1" applyBorder="1" applyAlignment="1" applyProtection="1">
      <alignment horizontal="center" vertical="center" wrapText="1"/>
      <protection locked="0"/>
    </xf>
    <xf numFmtId="0" fontId="17" fillId="0" borderId="0" xfId="0" applyNumberFormat="1" applyFont="1" applyFill="1" applyAlignment="1"/>
    <xf numFmtId="41" fontId="17" fillId="0" borderId="0" xfId="0" applyNumberFormat="1" applyFont="1" applyFill="1" applyBorder="1" applyAlignment="1" applyProtection="1">
      <alignment vertical="center"/>
      <protection locked="0"/>
    </xf>
    <xf numFmtId="9" fontId="17" fillId="0" borderId="0" xfId="2" applyFont="1" applyFill="1" applyAlignment="1"/>
    <xf numFmtId="49" fontId="19" fillId="0" borderId="0" xfId="0" applyNumberFormat="1" applyFont="1" applyFill="1" applyBorder="1" applyAlignment="1" applyProtection="1">
      <alignment horizontal="left" vertical="center" indent="2"/>
      <protection locked="0"/>
    </xf>
    <xf numFmtId="49" fontId="17" fillId="0" borderId="0" xfId="0" applyNumberFormat="1"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indent="3"/>
      <protection locked="0"/>
    </xf>
    <xf numFmtId="9" fontId="17" fillId="0" borderId="0" xfId="0" applyNumberFormat="1" applyFont="1" applyAlignment="1"/>
    <xf numFmtId="49" fontId="17" fillId="0" borderId="0" xfId="0" applyNumberFormat="1" applyFont="1" applyFill="1" applyBorder="1" applyAlignment="1" applyProtection="1">
      <alignment vertical="center"/>
      <protection locked="0"/>
    </xf>
    <xf numFmtId="49" fontId="19" fillId="0" borderId="0" xfId="0" applyNumberFormat="1" applyFont="1" applyFill="1" applyBorder="1" applyAlignment="1" applyProtection="1">
      <alignment horizontal="left" vertical="center" indent="1"/>
      <protection locked="0"/>
    </xf>
    <xf numFmtId="49" fontId="17" fillId="0" borderId="0" xfId="0" applyNumberFormat="1" applyFont="1" applyFill="1" applyBorder="1" applyAlignment="1" applyProtection="1">
      <alignment horizontal="left" vertical="center" indent="2"/>
      <protection locked="0"/>
    </xf>
    <xf numFmtId="49" fontId="17" fillId="0" borderId="0" xfId="0" applyNumberFormat="1" applyFont="1" applyFill="1" applyBorder="1" applyAlignment="1" applyProtection="1">
      <alignment horizontal="left" vertical="center"/>
      <protection locked="0"/>
    </xf>
    <xf numFmtId="0" fontId="17" fillId="0" borderId="0" xfId="0" applyNumberFormat="1" applyFont="1" applyFill="1" applyBorder="1" applyAlignment="1" applyProtection="1">
      <alignment horizontal="center" vertical="center" wrapText="1"/>
      <protection locked="0"/>
    </xf>
    <xf numFmtId="49" fontId="17" fillId="0" borderId="0" xfId="0" applyNumberFormat="1" applyFont="1" applyFill="1" applyBorder="1" applyAlignment="1" applyProtection="1">
      <alignment horizontal="left" vertical="center" wrapText="1" indent="1"/>
      <protection locked="0"/>
    </xf>
    <xf numFmtId="0" fontId="17" fillId="0" borderId="0" xfId="0" applyFont="1" applyFill="1"/>
    <xf numFmtId="0" fontId="17" fillId="0" borderId="0" xfId="0" applyNumberFormat="1" applyFont="1" applyFill="1" applyAlignment="1" applyProtection="1">
      <protection locked="0"/>
    </xf>
    <xf numFmtId="9" fontId="17" fillId="0" borderId="0" xfId="0" applyNumberFormat="1" applyFont="1" applyFill="1" applyAlignment="1"/>
    <xf numFmtId="41" fontId="17" fillId="0" borderId="0" xfId="0" applyNumberFormat="1" applyFont="1" applyFill="1" applyAlignment="1"/>
    <xf numFmtId="0" fontId="17" fillId="0" borderId="0" xfId="0" applyNumberFormat="1" applyFont="1" applyFill="1" applyAlignment="1" applyProtection="1">
      <alignment wrapText="1"/>
      <protection locked="0"/>
    </xf>
    <xf numFmtId="0" fontId="18" fillId="0" borderId="0" xfId="7" applyNumberFormat="1" applyFont="1" applyAlignment="1"/>
    <xf numFmtId="0" fontId="18" fillId="0" borderId="0" xfId="7" applyNumberFormat="1" applyFont="1" applyAlignment="1" applyProtection="1">
      <protection locked="0"/>
    </xf>
    <xf numFmtId="0" fontId="17" fillId="0" borderId="0" xfId="7" applyNumberFormat="1" applyFont="1" applyAlignment="1"/>
    <xf numFmtId="0" fontId="18" fillId="0" borderId="7" xfId="7" applyNumberFormat="1" applyFont="1" applyBorder="1" applyAlignment="1"/>
    <xf numFmtId="0" fontId="18" fillId="0" borderId="0" xfId="8" applyNumberFormat="1" applyFont="1" applyAlignment="1"/>
    <xf numFmtId="0" fontId="18" fillId="0" borderId="0" xfId="7" applyNumberFormat="1" applyFont="1" applyAlignment="1" applyProtection="1">
      <alignment horizontal="center"/>
      <protection locked="0"/>
    </xf>
    <xf numFmtId="0" fontId="18" fillId="0" borderId="0" xfId="7" applyNumberFormat="1" applyFont="1" applyAlignment="1">
      <alignment horizontal="center"/>
    </xf>
    <xf numFmtId="0" fontId="17" fillId="0" borderId="0" xfId="7" applyNumberFormat="1" applyFont="1" applyProtection="1">
      <protection locked="0"/>
    </xf>
    <xf numFmtId="0" fontId="18" fillId="0" borderId="7" xfId="7" applyNumberFormat="1" applyFont="1" applyBorder="1" applyAlignment="1" applyProtection="1">
      <protection locked="0"/>
    </xf>
    <xf numFmtId="41" fontId="18" fillId="0" borderId="0" xfId="7" applyNumberFormat="1" applyFont="1" applyFill="1" applyAlignment="1"/>
    <xf numFmtId="41" fontId="18" fillId="0" borderId="0" xfId="7" applyNumberFormat="1" applyFont="1" applyAlignment="1"/>
    <xf numFmtId="9" fontId="18" fillId="0" borderId="0" xfId="7" applyNumberFormat="1" applyFont="1" applyAlignment="1"/>
    <xf numFmtId="41" fontId="18" fillId="0" borderId="6" xfId="7" applyNumberFormat="1" applyFont="1" applyBorder="1" applyAlignment="1"/>
    <xf numFmtId="41" fontId="18" fillId="0" borderId="0" xfId="7" applyNumberFormat="1" applyFont="1" applyAlignment="1" applyProtection="1">
      <protection locked="0"/>
    </xf>
    <xf numFmtId="0" fontId="18" fillId="0" borderId="0" xfId="7" applyNumberFormat="1" applyFont="1" applyAlignment="1">
      <alignment horizontal="fill"/>
    </xf>
    <xf numFmtId="0" fontId="17" fillId="0" borderId="0" xfId="7" applyNumberFormat="1" applyFont="1" applyAlignment="1">
      <alignment horizontal="fill"/>
    </xf>
    <xf numFmtId="41" fontId="18" fillId="0" borderId="4" xfId="7" applyNumberFormat="1" applyFont="1" applyFill="1" applyBorder="1" applyAlignment="1"/>
    <xf numFmtId="41" fontId="18" fillId="0" borderId="4" xfId="7" applyNumberFormat="1" applyFont="1" applyBorder="1" applyAlignment="1"/>
    <xf numFmtId="41" fontId="18" fillId="0" borderId="1" xfId="7" applyNumberFormat="1" applyFont="1" applyFill="1" applyBorder="1" applyAlignment="1"/>
    <xf numFmtId="41" fontId="18" fillId="0" borderId="1" xfId="7" applyNumberFormat="1" applyFont="1" applyBorder="1" applyAlignment="1"/>
    <xf numFmtId="41" fontId="18" fillId="0" borderId="1" xfId="7" applyNumberFormat="1" applyFont="1" applyBorder="1" applyAlignment="1" applyProtection="1">
      <protection locked="0"/>
    </xf>
    <xf numFmtId="0" fontId="18" fillId="0" borderId="0" xfId="7" applyNumberFormat="1" applyFont="1" applyFill="1" applyAlignment="1"/>
    <xf numFmtId="41" fontId="17" fillId="0" borderId="0" xfId="7" applyNumberFormat="1" applyFont="1" applyAlignment="1"/>
    <xf numFmtId="0" fontId="17" fillId="0" borderId="2" xfId="7" applyNumberFormat="1" applyFont="1" applyBorder="1" applyAlignment="1"/>
    <xf numFmtId="165" fontId="17" fillId="0" borderId="0" xfId="3" applyNumberFormat="1" applyFont="1" applyAlignment="1"/>
    <xf numFmtId="0" fontId="17" fillId="0" borderId="0" xfId="7" applyNumberFormat="1" applyFont="1"/>
    <xf numFmtId="0" fontId="18" fillId="0" borderId="0" xfId="7" applyNumberFormat="1" applyFont="1" applyAlignment="1">
      <alignment horizontal="centerContinuous"/>
    </xf>
    <xf numFmtId="0" fontId="18" fillId="0" borderId="2" xfId="7" applyNumberFormat="1" applyFont="1" applyBorder="1" applyAlignment="1">
      <alignment horizontal="centerContinuous"/>
    </xf>
    <xf numFmtId="0" fontId="17" fillId="0" borderId="0" xfId="7" applyNumberFormat="1" applyFont="1" applyAlignment="1">
      <alignment horizontal="center"/>
    </xf>
    <xf numFmtId="0" fontId="17" fillId="0" borderId="4" xfId="0" applyNumberFormat="1" applyFont="1" applyFill="1" applyBorder="1" applyAlignment="1">
      <alignment horizontal="center"/>
    </xf>
    <xf numFmtId="49" fontId="17" fillId="0" borderId="4" xfId="0" applyNumberFormat="1" applyFont="1" applyFill="1" applyBorder="1" applyAlignment="1">
      <alignment horizontal="center"/>
    </xf>
    <xf numFmtId="49" fontId="17" fillId="0" borderId="8" xfId="7" applyNumberFormat="1" applyFont="1" applyBorder="1" applyAlignment="1">
      <alignment horizontal="center"/>
    </xf>
    <xf numFmtId="49" fontId="18" fillId="0" borderId="8" xfId="7" applyNumberFormat="1" applyFont="1" applyBorder="1" applyAlignment="1" applyProtection="1">
      <alignment horizontal="center"/>
      <protection locked="0"/>
    </xf>
    <xf numFmtId="0" fontId="18" fillId="0" borderId="8" xfId="7" applyNumberFormat="1" applyFont="1" applyBorder="1" applyAlignment="1"/>
    <xf numFmtId="0" fontId="17" fillId="0" borderId="0" xfId="0" applyNumberFormat="1" applyFont="1" applyFill="1" applyAlignment="1">
      <alignment horizontal="center"/>
    </xf>
    <xf numFmtId="0" fontId="17" fillId="0" borderId="5" xfId="0" applyNumberFormat="1" applyFont="1" applyFill="1" applyBorder="1" applyAlignment="1">
      <alignment horizontal="center"/>
    </xf>
    <xf numFmtId="165" fontId="17" fillId="0" borderId="0" xfId="11" applyNumberFormat="1" applyFont="1" applyFill="1" applyAlignment="1"/>
    <xf numFmtId="165" fontId="17" fillId="0" borderId="0" xfId="10" applyNumberFormat="1" applyFont="1" applyFill="1" applyAlignment="1"/>
    <xf numFmtId="165" fontId="17" fillId="0" borderId="6" xfId="11" applyNumberFormat="1" applyFont="1" applyFill="1" applyBorder="1" applyAlignment="1"/>
    <xf numFmtId="165" fontId="17" fillId="2" borderId="6" xfId="11" applyNumberFormat="1" applyFont="1" applyFill="1" applyBorder="1" applyAlignment="1"/>
    <xf numFmtId="41" fontId="18" fillId="0" borderId="0" xfId="7" applyNumberFormat="1" applyFont="1" applyAlignment="1">
      <alignment horizontal="fill"/>
    </xf>
    <xf numFmtId="41" fontId="18" fillId="0" borderId="0" xfId="7" applyNumberFormat="1" applyFont="1" applyFill="1" applyAlignment="1" applyProtection="1">
      <protection locked="0"/>
    </xf>
    <xf numFmtId="165" fontId="17" fillId="0" borderId="0" xfId="11" applyNumberFormat="1" applyFont="1" applyFill="1" applyBorder="1" applyAlignment="1"/>
    <xf numFmtId="0" fontId="17" fillId="0" borderId="0" xfId="0" applyNumberFormat="1" applyFont="1" applyFill="1" applyBorder="1" applyAlignment="1"/>
    <xf numFmtId="165" fontId="17" fillId="0" borderId="4" xfId="11" applyNumberFormat="1" applyFont="1" applyFill="1" applyBorder="1" applyAlignment="1"/>
    <xf numFmtId="0" fontId="18" fillId="0" borderId="0" xfId="6" applyNumberFormat="1" applyFont="1" applyAlignment="1" applyProtection="1">
      <protection locked="0"/>
    </xf>
    <xf numFmtId="0" fontId="17" fillId="0" borderId="0" xfId="6" applyNumberFormat="1" applyFont="1" applyAlignment="1"/>
    <xf numFmtId="0" fontId="18" fillId="0" borderId="7" xfId="6" applyNumberFormat="1" applyFont="1" applyBorder="1" applyAlignment="1"/>
    <xf numFmtId="0" fontId="18" fillId="0" borderId="0" xfId="12" applyNumberFormat="1" applyFont="1" applyAlignment="1"/>
    <xf numFmtId="0" fontId="18" fillId="0" borderId="0" xfId="13" applyNumberFormat="1" applyFont="1" applyAlignment="1"/>
    <xf numFmtId="0" fontId="18" fillId="0" borderId="0" xfId="13" applyNumberFormat="1" applyFont="1" applyAlignment="1">
      <alignment horizontal="left"/>
    </xf>
    <xf numFmtId="0" fontId="22" fillId="0" borderId="0" xfId="6" applyNumberFormat="1" applyFont="1" applyAlignment="1" applyProtection="1">
      <protection locked="0"/>
    </xf>
    <xf numFmtId="0" fontId="17" fillId="0" borderId="5" xfId="6" applyNumberFormat="1" applyFont="1" applyBorder="1" applyAlignment="1"/>
    <xf numFmtId="0" fontId="18" fillId="0" borderId="0" xfId="6" applyNumberFormat="1" applyFont="1" applyAlignment="1" applyProtection="1">
      <alignment horizontal="centerContinuous"/>
      <protection locked="0"/>
    </xf>
    <xf numFmtId="0" fontId="18" fillId="0" borderId="0" xfId="6" applyNumberFormat="1" applyFont="1" applyAlignment="1" applyProtection="1">
      <alignment horizontal="center"/>
      <protection locked="0"/>
    </xf>
    <xf numFmtId="0" fontId="23" fillId="0" borderId="0" xfId="6" applyNumberFormat="1" applyFont="1" applyAlignment="1" applyProtection="1">
      <protection locked="0"/>
    </xf>
    <xf numFmtId="0" fontId="23" fillId="0" borderId="0" xfId="6" applyNumberFormat="1" applyFont="1" applyAlignment="1"/>
    <xf numFmtId="0" fontId="18" fillId="0" borderId="0" xfId="6" applyNumberFormat="1" applyFont="1" applyAlignment="1" applyProtection="1">
      <alignment horizontal="fill"/>
      <protection locked="0"/>
    </xf>
    <xf numFmtId="0" fontId="18" fillId="0" borderId="0" xfId="6" applyNumberFormat="1" applyFont="1" applyAlignment="1">
      <alignment horizontal="center"/>
    </xf>
    <xf numFmtId="0" fontId="17" fillId="0" borderId="0" xfId="6" applyNumberFormat="1" applyFont="1" applyAlignment="1" applyProtection="1">
      <alignment horizontal="center"/>
      <protection locked="0"/>
    </xf>
    <xf numFmtId="0" fontId="23" fillId="0" borderId="0" xfId="6" applyNumberFormat="1" applyFont="1" applyAlignment="1" applyProtection="1">
      <alignment horizontal="center"/>
      <protection locked="0"/>
    </xf>
    <xf numFmtId="0" fontId="23" fillId="0" borderId="0" xfId="6" applyNumberFormat="1" applyFont="1" applyAlignment="1">
      <alignment horizontal="center"/>
    </xf>
    <xf numFmtId="0" fontId="18" fillId="0" borderId="7" xfId="6" applyNumberFormat="1" applyFont="1" applyBorder="1" applyAlignment="1" applyProtection="1">
      <protection locked="0"/>
    </xf>
    <xf numFmtId="0" fontId="18" fillId="0" borderId="0" xfId="6" applyNumberFormat="1" applyFont="1" applyBorder="1" applyAlignment="1" applyProtection="1">
      <protection locked="0"/>
    </xf>
    <xf numFmtId="0" fontId="18" fillId="0" borderId="2" xfId="6" applyNumberFormat="1" applyFont="1" applyBorder="1" applyAlignment="1" applyProtection="1">
      <protection locked="0"/>
    </xf>
    <xf numFmtId="0" fontId="17" fillId="0" borderId="2" xfId="6" applyNumberFormat="1" applyFont="1" applyBorder="1" applyAlignment="1"/>
    <xf numFmtId="0" fontId="18" fillId="0" borderId="0" xfId="14" applyNumberFormat="1" applyFont="1" applyAlignment="1">
      <alignment horizontal="center"/>
    </xf>
    <xf numFmtId="3" fontId="18" fillId="0" borderId="0" xfId="6" applyNumberFormat="1" applyFont="1" applyAlignment="1" applyProtection="1">
      <protection locked="0"/>
    </xf>
    <xf numFmtId="38" fontId="18" fillId="0" borderId="0" xfId="6" applyNumberFormat="1" applyFont="1" applyAlignment="1" applyProtection="1">
      <protection locked="0"/>
    </xf>
    <xf numFmtId="9" fontId="18" fillId="0" borderId="0" xfId="2" applyFont="1" applyAlignment="1" applyProtection="1">
      <protection locked="0"/>
    </xf>
    <xf numFmtId="10" fontId="18" fillId="0" borderId="0" xfId="6" applyNumberFormat="1" applyFont="1" applyAlignment="1" applyProtection="1">
      <alignment horizontal="center"/>
      <protection locked="0"/>
    </xf>
    <xf numFmtId="10" fontId="18" fillId="0" borderId="0" xfId="2" applyNumberFormat="1" applyFont="1" applyAlignment="1" applyProtection="1">
      <alignment horizontal="center"/>
      <protection locked="0"/>
    </xf>
    <xf numFmtId="38" fontId="18" fillId="0" borderId="0" xfId="6" applyNumberFormat="1" applyFont="1" applyAlignment="1"/>
    <xf numFmtId="38" fontId="17" fillId="0" borderId="0" xfId="6" applyNumberFormat="1" applyFont="1" applyAlignment="1"/>
    <xf numFmtId="165" fontId="18" fillId="0" borderId="0" xfId="3" applyNumberFormat="1" applyFont="1" applyAlignment="1" applyProtection="1">
      <protection locked="0"/>
    </xf>
    <xf numFmtId="38" fontId="18" fillId="2" borderId="0" xfId="6" applyNumberFormat="1" applyFont="1" applyFill="1" applyAlignment="1" applyProtection="1">
      <protection locked="0"/>
    </xf>
    <xf numFmtId="38" fontId="18" fillId="0" borderId="0" xfId="6" applyNumberFormat="1" applyFont="1" applyFill="1" applyAlignment="1" applyProtection="1">
      <protection locked="0"/>
    </xf>
    <xf numFmtId="0" fontId="18" fillId="0" borderId="0" xfId="6" applyNumberFormat="1" applyFont="1" applyFill="1" applyAlignment="1" applyProtection="1">
      <protection locked="0"/>
    </xf>
    <xf numFmtId="38" fontId="18" fillId="0" borderId="1" xfId="6" applyNumberFormat="1" applyFont="1" applyBorder="1" applyAlignment="1" applyProtection="1">
      <protection locked="0"/>
    </xf>
    <xf numFmtId="38" fontId="18" fillId="0" borderId="0" xfId="6" applyNumberFormat="1" applyFont="1" applyBorder="1" applyAlignment="1" applyProtection="1">
      <protection locked="0"/>
    </xf>
    <xf numFmtId="170" fontId="18" fillId="0" borderId="1" xfId="3" applyNumberFormat="1" applyFont="1" applyBorder="1" applyAlignment="1" applyProtection="1">
      <alignment horizontal="center"/>
      <protection locked="0"/>
    </xf>
    <xf numFmtId="10" fontId="18" fillId="0" borderId="1" xfId="2" applyNumberFormat="1" applyFont="1" applyBorder="1" applyAlignment="1" applyProtection="1">
      <alignment horizontal="center"/>
      <protection locked="0"/>
    </xf>
    <xf numFmtId="0" fontId="18" fillId="0" borderId="5" xfId="6" applyNumberFormat="1" applyFont="1" applyBorder="1" applyAlignment="1" applyProtection="1">
      <alignment horizontal="center"/>
      <protection locked="0"/>
    </xf>
    <xf numFmtId="0" fontId="18" fillId="0" borderId="0" xfId="6" applyNumberFormat="1" applyFont="1" applyBorder="1" applyAlignment="1" applyProtection="1">
      <alignment horizontal="center"/>
      <protection locked="0"/>
    </xf>
    <xf numFmtId="0" fontId="22" fillId="0" borderId="0" xfId="6" applyNumberFormat="1" applyFont="1" applyBorder="1" applyAlignment="1" applyProtection="1">
      <alignment horizontal="center"/>
      <protection locked="0"/>
    </xf>
    <xf numFmtId="171" fontId="18" fillId="0" borderId="0" xfId="6" applyNumberFormat="1" applyFont="1" applyAlignment="1" applyProtection="1">
      <alignment horizontal="center"/>
      <protection locked="0"/>
    </xf>
    <xf numFmtId="10" fontId="18" fillId="0" borderId="3" xfId="2" applyNumberFormat="1" applyFont="1" applyBorder="1" applyAlignment="1" applyProtection="1">
      <alignment horizontal="right"/>
      <protection locked="0"/>
    </xf>
    <xf numFmtId="10" fontId="18" fillId="0" borderId="0" xfId="2" applyNumberFormat="1" applyFont="1" applyBorder="1" applyAlignment="1" applyProtection="1">
      <alignment horizontal="center"/>
      <protection locked="0"/>
    </xf>
    <xf numFmtId="0" fontId="18" fillId="0" borderId="5" xfId="14" applyNumberFormat="1" applyFont="1" applyBorder="1" applyAlignment="1">
      <alignment horizontal="center"/>
    </xf>
    <xf numFmtId="0" fontId="18" fillId="0" borderId="0" xfId="14" applyNumberFormat="1" applyFont="1" applyAlignment="1">
      <alignment horizontal="left"/>
    </xf>
    <xf numFmtId="0" fontId="18" fillId="0" borderId="0" xfId="13" applyNumberFormat="1" applyFont="1" applyAlignment="1" applyProtection="1">
      <protection locked="0"/>
    </xf>
    <xf numFmtId="0" fontId="17" fillId="0" borderId="0" xfId="13" applyNumberFormat="1" applyFont="1"/>
    <xf numFmtId="0" fontId="17" fillId="0" borderId="0" xfId="13" applyNumberFormat="1" applyFont="1" applyAlignment="1"/>
    <xf numFmtId="0" fontId="18" fillId="0" borderId="7" xfId="13" applyNumberFormat="1" applyFont="1" applyBorder="1" applyAlignment="1"/>
    <xf numFmtId="0" fontId="24" fillId="0" borderId="0" xfId="12" applyNumberFormat="1" applyFont="1" applyAlignment="1">
      <alignment horizontal="right"/>
    </xf>
    <xf numFmtId="0" fontId="18" fillId="0" borderId="0" xfId="13" applyNumberFormat="1" applyFont="1" applyAlignment="1" applyProtection="1">
      <alignment horizontal="centerContinuous"/>
      <protection locked="0"/>
    </xf>
    <xf numFmtId="0" fontId="18" fillId="0" borderId="0" xfId="13" applyNumberFormat="1" applyFont="1" applyAlignment="1" applyProtection="1">
      <alignment horizontal="center"/>
      <protection locked="0"/>
    </xf>
    <xf numFmtId="0" fontId="23" fillId="0" borderId="0" xfId="13" applyNumberFormat="1" applyFont="1" applyAlignment="1" applyProtection="1">
      <protection locked="0"/>
    </xf>
    <xf numFmtId="0" fontId="23" fillId="0" borderId="0" xfId="13" applyNumberFormat="1" applyFont="1" applyAlignment="1"/>
    <xf numFmtId="0" fontId="18" fillId="0" borderId="0" xfId="13" applyNumberFormat="1" applyFont="1" applyAlignment="1" applyProtection="1">
      <alignment horizontal="fill"/>
      <protection locked="0"/>
    </xf>
    <xf numFmtId="0" fontId="18" fillId="0" borderId="0" xfId="13" applyNumberFormat="1" applyFont="1" applyAlignment="1">
      <alignment horizontal="center"/>
    </xf>
    <xf numFmtId="0" fontId="23" fillId="0" borderId="0" xfId="13" applyNumberFormat="1" applyFont="1" applyAlignment="1" applyProtection="1">
      <alignment horizontal="center"/>
      <protection locked="0"/>
    </xf>
    <xf numFmtId="0" fontId="23" fillId="0" borderId="0" xfId="13" applyNumberFormat="1" applyFont="1" applyAlignment="1">
      <alignment horizontal="center"/>
    </xf>
    <xf numFmtId="0" fontId="18" fillId="0" borderId="0" xfId="13" applyNumberFormat="1" applyFont="1" applyAlignment="1" applyProtection="1">
      <alignment horizontal="left"/>
      <protection locked="0"/>
    </xf>
    <xf numFmtId="0" fontId="25" fillId="0" borderId="0" xfId="13" applyNumberFormat="1" applyFont="1" applyAlignment="1"/>
    <xf numFmtId="0" fontId="25" fillId="0" borderId="0" xfId="13" applyNumberFormat="1" applyFont="1" applyAlignment="1" applyProtection="1">
      <protection locked="0"/>
    </xf>
    <xf numFmtId="0" fontId="18" fillId="0" borderId="7" xfId="13" applyNumberFormat="1" applyFont="1" applyBorder="1" applyAlignment="1" applyProtection="1">
      <protection locked="0"/>
    </xf>
    <xf numFmtId="0" fontId="24" fillId="0" borderId="0" xfId="13" applyNumberFormat="1" applyFont="1" applyAlignment="1"/>
    <xf numFmtId="0" fontId="26" fillId="0" borderId="0" xfId="13" applyNumberFormat="1" applyFont="1" applyAlignment="1"/>
    <xf numFmtId="164" fontId="18" fillId="0" borderId="0" xfId="1" applyNumberFormat="1" applyFont="1" applyAlignment="1" applyProtection="1">
      <protection locked="0"/>
    </xf>
    <xf numFmtId="164" fontId="18" fillId="0" borderId="0" xfId="1" applyNumberFormat="1" applyFont="1" applyFill="1" applyAlignment="1" applyProtection="1">
      <protection locked="0"/>
    </xf>
    <xf numFmtId="0" fontId="26" fillId="0" borderId="0" xfId="13" applyNumberFormat="1" applyFont="1" applyAlignment="1" applyProtection="1">
      <protection locked="0"/>
    </xf>
    <xf numFmtId="0" fontId="26" fillId="0" borderId="0" xfId="13" quotePrefix="1" applyNumberFormat="1" applyFont="1" applyAlignment="1"/>
    <xf numFmtId="0" fontId="17" fillId="0" borderId="0" xfId="15" applyNumberFormat="1" applyFont="1" applyBorder="1" applyAlignment="1"/>
    <xf numFmtId="38" fontId="17" fillId="2" borderId="0" xfId="15" applyNumberFormat="1" applyFont="1" applyFill="1" applyAlignment="1"/>
    <xf numFmtId="0" fontId="17" fillId="0" borderId="0" xfId="15" applyNumberFormat="1" applyFont="1" applyAlignment="1"/>
    <xf numFmtId="38" fontId="17" fillId="2" borderId="2" xfId="15" applyNumberFormat="1" applyFont="1" applyFill="1" applyBorder="1" applyAlignment="1"/>
    <xf numFmtId="38" fontId="17" fillId="0" borderId="0" xfId="15" applyNumberFormat="1" applyFont="1" applyAlignment="1"/>
    <xf numFmtId="10" fontId="18" fillId="0" borderId="1" xfId="2" applyNumberFormat="1" applyFont="1" applyBorder="1" applyAlignment="1" applyProtection="1">
      <alignment horizontal="right"/>
      <protection locked="0"/>
    </xf>
    <xf numFmtId="0" fontId="0" fillId="0" borderId="0" xfId="0" applyFill="1"/>
    <xf numFmtId="41" fontId="20" fillId="0" borderId="0" xfId="7" applyNumberFormat="1" applyFont="1" applyBorder="1" applyAlignment="1"/>
    <xf numFmtId="0" fontId="17" fillId="0" borderId="0" xfId="7" applyNumberFormat="1" applyFont="1" applyBorder="1" applyAlignment="1"/>
    <xf numFmtId="165" fontId="17" fillId="0" borderId="0" xfId="10" applyNumberFormat="1" applyFont="1" applyBorder="1" applyAlignment="1"/>
    <xf numFmtId="0" fontId="17" fillId="0" borderId="0" xfId="6" applyNumberFormat="1" applyFont="1" applyAlignment="1" applyProtection="1">
      <alignment horizontal="right"/>
      <protection locked="0"/>
    </xf>
    <xf numFmtId="0" fontId="17" fillId="0" borderId="4" xfId="0" quotePrefix="1" applyNumberFormat="1" applyFont="1" applyFill="1" applyBorder="1" applyAlignment="1">
      <alignment horizontal="center"/>
    </xf>
    <xf numFmtId="0" fontId="17" fillId="0" borderId="0" xfId="6" applyNumberFormat="1" applyFont="1" applyAlignment="1">
      <alignment horizontal="center"/>
    </xf>
    <xf numFmtId="0" fontId="27" fillId="0" borderId="0" xfId="0" applyNumberFormat="1" applyFont="1" applyAlignment="1"/>
    <xf numFmtId="0" fontId="29" fillId="0" borderId="0" xfId="0" applyFont="1"/>
    <xf numFmtId="0" fontId="30" fillId="0" borderId="0" xfId="0" applyFont="1"/>
    <xf numFmtId="0" fontId="22" fillId="0" borderId="0" xfId="13" applyNumberFormat="1" applyFont="1" applyAlignment="1"/>
    <xf numFmtId="0" fontId="22" fillId="0" borderId="0" xfId="13" applyNumberFormat="1" applyFont="1" applyAlignment="1" applyProtection="1">
      <protection locked="0"/>
    </xf>
    <xf numFmtId="0" fontId="22" fillId="0" borderId="0" xfId="6" applyNumberFormat="1" applyFont="1" applyAlignment="1"/>
    <xf numFmtId="0" fontId="27" fillId="0" borderId="0" xfId="6" applyNumberFormat="1" applyFont="1" applyAlignment="1"/>
    <xf numFmtId="0" fontId="22" fillId="0" borderId="0" xfId="7" applyNumberFormat="1" applyFont="1" applyAlignment="1"/>
    <xf numFmtId="0" fontId="22" fillId="0" borderId="0" xfId="7" applyNumberFormat="1" applyFont="1" applyAlignment="1" applyProtection="1">
      <protection locked="0"/>
    </xf>
    <xf numFmtId="0" fontId="27" fillId="0" borderId="0" xfId="7" applyNumberFormat="1" applyFont="1" applyAlignment="1"/>
    <xf numFmtId="0" fontId="27" fillId="0" borderId="5" xfId="0" applyNumberFormat="1" applyFont="1" applyBorder="1" applyAlignment="1">
      <alignment horizontal="left"/>
    </xf>
    <xf numFmtId="0" fontId="22" fillId="0" borderId="0" xfId="0" applyNumberFormat="1" applyFont="1" applyAlignment="1"/>
    <xf numFmtId="0" fontId="22" fillId="0" borderId="0" xfId="0" applyNumberFormat="1" applyFont="1" applyAlignment="1" applyProtection="1">
      <protection locked="0"/>
    </xf>
    <xf numFmtId="0" fontId="27" fillId="0" borderId="0" xfId="0" applyFont="1"/>
    <xf numFmtId="0" fontId="22" fillId="0" borderId="5" xfId="0" applyNumberFormat="1" applyFont="1" applyBorder="1" applyAlignment="1"/>
    <xf numFmtId="0" fontId="27" fillId="0" borderId="5" xfId="0" applyFont="1" applyBorder="1"/>
    <xf numFmtId="0" fontId="27" fillId="0" borderId="0" xfId="0" applyNumberFormat="1" applyFont="1" applyAlignment="1" applyProtection="1">
      <protection locked="0"/>
    </xf>
    <xf numFmtId="0" fontId="27" fillId="0" borderId="0" xfId="0" applyNumberFormat="1" applyFont="1"/>
    <xf numFmtId="0" fontId="27" fillId="0" borderId="5" xfId="0" applyNumberFormat="1" applyFont="1" applyBorder="1" applyAlignment="1"/>
    <xf numFmtId="0" fontId="28" fillId="0" borderId="0" xfId="0" applyFont="1"/>
    <xf numFmtId="0" fontId="31" fillId="0" borderId="0" xfId="0" applyFont="1"/>
    <xf numFmtId="164" fontId="31" fillId="0" borderId="0" xfId="1" applyNumberFormat="1" applyFont="1"/>
    <xf numFmtId="0" fontId="28" fillId="0" borderId="0" xfId="0" applyFont="1" applyAlignment="1">
      <alignment horizontal="center"/>
    </xf>
    <xf numFmtId="0" fontId="31" fillId="0" borderId="0" xfId="0" applyFont="1" applyAlignment="1">
      <alignment horizontal="center"/>
    </xf>
    <xf numFmtId="164" fontId="31" fillId="0" borderId="0" xfId="0" applyNumberFormat="1" applyFont="1"/>
    <xf numFmtId="167" fontId="32" fillId="0" borderId="0" xfId="4" applyNumberFormat="1" applyFont="1"/>
    <xf numFmtId="168" fontId="31" fillId="0" borderId="4" xfId="0" applyNumberFormat="1" applyFont="1" applyBorder="1"/>
    <xf numFmtId="168" fontId="31" fillId="0" borderId="0" xfId="0" applyNumberFormat="1" applyFont="1"/>
    <xf numFmtId="168" fontId="31" fillId="0" borderId="1" xfId="0" applyNumberFormat="1" applyFont="1" applyBorder="1"/>
    <xf numFmtId="0" fontId="33" fillId="0" borderId="0" xfId="0" applyFont="1"/>
    <xf numFmtId="0" fontId="18" fillId="0" borderId="0" xfId="12" applyNumberFormat="1" applyFont="1" applyBorder="1" applyAlignment="1">
      <alignment horizontal="center"/>
    </xf>
    <xf numFmtId="0" fontId="30" fillId="0" borderId="5" xfId="0" applyFont="1" applyBorder="1"/>
    <xf numFmtId="0" fontId="30" fillId="0" borderId="0" xfId="0" applyFont="1" applyBorder="1"/>
    <xf numFmtId="0" fontId="17" fillId="0" borderId="0" xfId="0" applyNumberFormat="1" applyFont="1" applyBorder="1" applyAlignment="1">
      <alignment horizontal="left"/>
    </xf>
    <xf numFmtId="0" fontId="12" fillId="0" borderId="0" xfId="0" applyFont="1" applyFill="1" applyAlignment="1">
      <alignment horizontal="center"/>
    </xf>
    <xf numFmtId="0" fontId="27" fillId="0" borderId="0" xfId="0" applyNumberFormat="1" applyFont="1" applyBorder="1" applyAlignment="1">
      <alignment horizontal="center"/>
    </xf>
    <xf numFmtId="0" fontId="2" fillId="0" borderId="0" xfId="0" applyFont="1" applyAlignment="1">
      <alignment horizontal="center"/>
    </xf>
    <xf numFmtId="49" fontId="35" fillId="0" borderId="0" xfId="16" applyNumberFormat="1" applyFont="1" applyFill="1" applyAlignment="1">
      <alignment horizontal="center"/>
    </xf>
    <xf numFmtId="0" fontId="2" fillId="0" borderId="0" xfId="0" applyFont="1" applyFill="1" applyBorder="1" applyAlignment="1">
      <alignment horizontal="center"/>
    </xf>
    <xf numFmtId="0" fontId="36" fillId="0" borderId="0" xfId="0" applyFont="1" applyAlignment="1">
      <alignment horizontal="left"/>
    </xf>
    <xf numFmtId="0" fontId="0" fillId="0" borderId="0" xfId="0" applyAlignment="1">
      <alignment horizontal="left"/>
    </xf>
    <xf numFmtId="164" fontId="1" fillId="0" borderId="12" xfId="1" applyNumberFormat="1" applyFont="1" applyBorder="1"/>
    <xf numFmtId="0" fontId="3" fillId="0" borderId="0" xfId="0" applyFont="1" applyAlignment="1">
      <alignment horizontal="left"/>
    </xf>
    <xf numFmtId="0" fontId="3" fillId="0" borderId="0" xfId="0" applyFont="1" applyBorder="1" applyAlignment="1">
      <alignment horizontal="left"/>
    </xf>
    <xf numFmtId="164" fontId="0" fillId="0" borderId="12" xfId="1" applyNumberFormat="1" applyFont="1" applyBorder="1"/>
    <xf numFmtId="164" fontId="0" fillId="0" borderId="13" xfId="1" applyNumberFormat="1" applyFont="1" applyBorder="1"/>
    <xf numFmtId="0" fontId="2" fillId="0" borderId="0" xfId="0" applyFont="1"/>
    <xf numFmtId="0" fontId="0" fillId="0" borderId="0" xfId="0" applyFill="1" applyAlignment="1">
      <alignment horizontal="left"/>
    </xf>
    <xf numFmtId="166" fontId="0" fillId="0" borderId="0" xfId="2" applyNumberFormat="1" applyFont="1"/>
    <xf numFmtId="164" fontId="0" fillId="0" borderId="1" xfId="0" applyNumberFormat="1" applyBorder="1"/>
    <xf numFmtId="164" fontId="0" fillId="0" borderId="0" xfId="0" applyNumberFormat="1" applyBorder="1"/>
    <xf numFmtId="0" fontId="0" fillId="0" borderId="0" xfId="0" applyFont="1" applyBorder="1"/>
    <xf numFmtId="0" fontId="2" fillId="0" borderId="0" xfId="0" applyFont="1" applyBorder="1"/>
    <xf numFmtId="0" fontId="36" fillId="0" borderId="0" xfId="0" applyFont="1"/>
    <xf numFmtId="49" fontId="35" fillId="0" borderId="0" xfId="16" applyNumberFormat="1" applyFont="1" applyFill="1" applyBorder="1" applyAlignment="1">
      <alignment horizontal="center"/>
    </xf>
    <xf numFmtId="164" fontId="0" fillId="0" borderId="0" xfId="1" applyNumberFormat="1" applyFont="1" applyFill="1" applyBorder="1"/>
    <xf numFmtId="164" fontId="2" fillId="0" borderId="1" xfId="0" applyNumberFormat="1" applyFont="1" applyBorder="1"/>
    <xf numFmtId="165" fontId="38" fillId="0" borderId="0" xfId="3" applyNumberFormat="1" applyFont="1" applyBorder="1"/>
    <xf numFmtId="0" fontId="38" fillId="0" borderId="0" xfId="0" applyFont="1" applyBorder="1"/>
    <xf numFmtId="0" fontId="39" fillId="0" borderId="9" xfId="0" applyFont="1" applyBorder="1"/>
    <xf numFmtId="0" fontId="37" fillId="0" borderId="14" xfId="0" applyFont="1" applyFill="1" applyBorder="1" applyAlignment="1">
      <alignment horizontal="center"/>
    </xf>
    <xf numFmtId="0" fontId="37" fillId="0" borderId="15" xfId="0" applyFont="1" applyFill="1" applyBorder="1" applyAlignment="1">
      <alignment horizontal="center"/>
    </xf>
    <xf numFmtId="49" fontId="40" fillId="0" borderId="15" xfId="16" applyNumberFormat="1" applyFont="1" applyFill="1" applyBorder="1" applyAlignment="1">
      <alignment horizontal="center"/>
    </xf>
    <xf numFmtId="49" fontId="40" fillId="0" borderId="16" xfId="16" applyNumberFormat="1" applyFont="1" applyFill="1" applyBorder="1" applyAlignment="1">
      <alignment horizontal="center"/>
    </xf>
    <xf numFmtId="0" fontId="37" fillId="0" borderId="9" xfId="0" applyFont="1" applyFill="1" applyBorder="1" applyAlignment="1">
      <alignment horizontal="center"/>
    </xf>
    <xf numFmtId="0" fontId="37" fillId="0" borderId="0" xfId="0" applyFont="1" applyFill="1" applyBorder="1" applyAlignment="1">
      <alignment horizontal="center"/>
    </xf>
    <xf numFmtId="0" fontId="37" fillId="0" borderId="17" xfId="0" applyFont="1" applyFill="1" applyBorder="1" applyAlignment="1">
      <alignment horizontal="center"/>
    </xf>
    <xf numFmtId="0" fontId="38" fillId="0" borderId="9" xfId="0" applyFont="1" applyFill="1" applyBorder="1"/>
    <xf numFmtId="0" fontId="38" fillId="0" borderId="0" xfId="0" applyFont="1" applyFill="1" applyBorder="1"/>
    <xf numFmtId="164" fontId="38" fillId="0" borderId="0" xfId="1" applyNumberFormat="1" applyFont="1" applyFill="1" applyBorder="1"/>
    <xf numFmtId="164" fontId="38" fillId="0" borderId="17" xfId="1" applyNumberFormat="1" applyFont="1" applyFill="1" applyBorder="1"/>
    <xf numFmtId="164" fontId="38" fillId="0" borderId="12" xfId="0" applyNumberFormat="1" applyFont="1" applyFill="1" applyBorder="1"/>
    <xf numFmtId="164" fontId="38" fillId="0" borderId="21" xfId="0" applyNumberFormat="1" applyFont="1" applyFill="1" applyBorder="1"/>
    <xf numFmtId="0" fontId="38" fillId="0" borderId="17" xfId="0" applyFont="1" applyFill="1" applyBorder="1"/>
    <xf numFmtId="0" fontId="38" fillId="0" borderId="9" xfId="0" applyFont="1" applyFill="1" applyBorder="1" applyAlignment="1">
      <alignment horizontal="left"/>
    </xf>
    <xf numFmtId="164" fontId="38" fillId="0" borderId="0" xfId="0" applyNumberFormat="1" applyFont="1" applyFill="1" applyBorder="1"/>
    <xf numFmtId="164" fontId="38" fillId="0" borderId="17" xfId="0" applyNumberFormat="1" applyFont="1" applyFill="1" applyBorder="1"/>
    <xf numFmtId="9" fontId="38" fillId="0" borderId="0" xfId="2" applyFont="1" applyFill="1" applyBorder="1"/>
    <xf numFmtId="0" fontId="38" fillId="0" borderId="10" xfId="0" applyFont="1" applyFill="1" applyBorder="1"/>
    <xf numFmtId="9" fontId="38" fillId="0" borderId="5" xfId="2" applyFont="1" applyFill="1" applyBorder="1"/>
    <xf numFmtId="0" fontId="38" fillId="0" borderId="5" xfId="0" applyFont="1" applyFill="1" applyBorder="1"/>
    <xf numFmtId="164" fontId="38" fillId="0" borderId="5" xfId="1" applyNumberFormat="1" applyFont="1" applyFill="1" applyBorder="1"/>
    <xf numFmtId="164" fontId="38" fillId="0" borderId="11" xfId="1" applyNumberFormat="1" applyFont="1" applyFill="1" applyBorder="1"/>
    <xf numFmtId="0" fontId="2" fillId="0" borderId="0" xfId="0" applyFont="1" applyAlignment="1">
      <alignment horizontal="left" vertical="top" wrapText="1"/>
    </xf>
    <xf numFmtId="164" fontId="1" fillId="0" borderId="0" xfId="1" applyNumberFormat="1" applyFont="1" applyBorder="1"/>
    <xf numFmtId="164" fontId="2" fillId="0" borderId="0" xfId="1" applyNumberFormat="1" applyFont="1" applyBorder="1"/>
    <xf numFmtId="164" fontId="2" fillId="0" borderId="13" xfId="1" applyNumberFormat="1" applyFont="1" applyBorder="1"/>
    <xf numFmtId="164" fontId="2" fillId="0" borderId="0" xfId="1" applyNumberFormat="1" applyFont="1"/>
    <xf numFmtId="9" fontId="17" fillId="0" borderId="0" xfId="2" applyFont="1" applyAlignment="1"/>
    <xf numFmtId="164" fontId="17" fillId="0" borderId="0" xfId="1" applyNumberFormat="1" applyFont="1" applyFill="1" applyAlignment="1"/>
    <xf numFmtId="164" fontId="17" fillId="0" borderId="0" xfId="1" applyNumberFormat="1" applyFont="1" applyFill="1" applyAlignment="1" applyProtection="1">
      <protection locked="0"/>
    </xf>
    <xf numFmtId="164" fontId="17" fillId="0" borderId="1" xfId="1" applyNumberFormat="1" applyFont="1" applyFill="1" applyBorder="1" applyAlignment="1" applyProtection="1">
      <protection locked="0"/>
    </xf>
    <xf numFmtId="164" fontId="17" fillId="0" borderId="1" xfId="1" applyNumberFormat="1" applyFont="1" applyFill="1" applyBorder="1" applyAlignment="1"/>
    <xf numFmtId="164" fontId="38" fillId="0" borderId="0" xfId="0" applyNumberFormat="1" applyFont="1" applyBorder="1"/>
    <xf numFmtId="10" fontId="18" fillId="0" borderId="0" xfId="2" applyNumberFormat="1" applyFont="1" applyAlignment="1" applyProtection="1">
      <protection locked="0"/>
    </xf>
    <xf numFmtId="0" fontId="0" fillId="0" borderId="0" xfId="0" applyFont="1" applyAlignment="1">
      <alignment horizontal="left"/>
    </xf>
    <xf numFmtId="38" fontId="17" fillId="0" borderId="0" xfId="7" applyNumberFormat="1" applyFont="1" applyAlignment="1"/>
    <xf numFmtId="165" fontId="17" fillId="0" borderId="12" xfId="3" applyNumberFormat="1" applyFont="1" applyBorder="1" applyAlignment="1"/>
    <xf numFmtId="0" fontId="0" fillId="0" borderId="0" xfId="2" applyNumberFormat="1" applyFont="1" applyAlignment="1">
      <alignment horizontal="left"/>
    </xf>
    <xf numFmtId="10" fontId="0" fillId="0" borderId="1" xfId="0" applyNumberFormat="1" applyFill="1" applyBorder="1"/>
    <xf numFmtId="164" fontId="2" fillId="0" borderId="0" xfId="1" applyNumberFormat="1" applyFont="1" applyAlignment="1">
      <alignment horizontal="center"/>
    </xf>
    <xf numFmtId="164" fontId="35" fillId="0" borderId="0" xfId="1" applyNumberFormat="1" applyFont="1" applyFill="1" applyAlignment="1">
      <alignment horizontal="center"/>
    </xf>
    <xf numFmtId="164" fontId="36" fillId="0" borderId="0" xfId="1" applyNumberFormat="1" applyFont="1" applyAlignment="1">
      <alignment horizontal="left"/>
    </xf>
    <xf numFmtId="164" fontId="0" fillId="0" borderId="0" xfId="1" applyNumberFormat="1" applyFont="1" applyAlignment="1">
      <alignment horizontal="left"/>
    </xf>
    <xf numFmtId="1" fontId="2" fillId="0" borderId="0" xfId="1" applyNumberFormat="1" applyFont="1" applyFill="1" applyBorder="1" applyAlignment="1">
      <alignment horizontal="center"/>
    </xf>
    <xf numFmtId="1" fontId="29" fillId="0" borderId="0" xfId="0" applyNumberFormat="1" applyFont="1"/>
    <xf numFmtId="1" fontId="2" fillId="0" borderId="0" xfId="1" applyNumberFormat="1" applyFont="1" applyAlignment="1">
      <alignment horizontal="center"/>
    </xf>
    <xf numFmtId="1" fontId="0" fillId="0" borderId="0" xfId="1" applyNumberFormat="1" applyFont="1"/>
    <xf numFmtId="1" fontId="0" fillId="0" borderId="0" xfId="1" applyNumberFormat="1" applyFont="1" applyAlignment="1">
      <alignment horizontal="left"/>
    </xf>
    <xf numFmtId="0" fontId="17" fillId="0" borderId="5" xfId="0" applyFont="1" applyBorder="1"/>
    <xf numFmtId="0" fontId="2" fillId="0" borderId="0" xfId="0" applyFont="1" applyAlignment="1">
      <alignment vertical="center" wrapText="1"/>
    </xf>
    <xf numFmtId="0" fontId="0" fillId="0" borderId="5" xfId="0" applyBorder="1"/>
    <xf numFmtId="0" fontId="0" fillId="0" borderId="0" xfId="1" applyNumberFormat="1" applyFont="1"/>
    <xf numFmtId="17" fontId="0" fillId="0" borderId="0" xfId="1" applyNumberFormat="1" applyFont="1"/>
    <xf numFmtId="164" fontId="2" fillId="0" borderId="5" xfId="1" applyNumberFormat="1" applyFont="1" applyBorder="1" applyAlignment="1">
      <alignment horizontal="center"/>
    </xf>
    <xf numFmtId="1" fontId="2" fillId="0" borderId="5" xfId="1" applyNumberFormat="1" applyFont="1" applyFill="1" applyBorder="1" applyAlignment="1">
      <alignment horizontal="center"/>
    </xf>
    <xf numFmtId="164" fontId="1" fillId="0" borderId="1" xfId="1" applyNumberFormat="1" applyFont="1" applyBorder="1"/>
    <xf numFmtId="0" fontId="27" fillId="0" borderId="0" xfId="0" applyNumberFormat="1" applyFont="1" applyFill="1" applyAlignment="1"/>
    <xf numFmtId="0" fontId="30" fillId="0" borderId="0" xfId="0" applyFont="1" applyFill="1" applyBorder="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164" fontId="0" fillId="0" borderId="0" xfId="1" applyNumberFormat="1" applyFont="1" applyFill="1"/>
    <xf numFmtId="164" fontId="0" fillId="0" borderId="12" xfId="1" applyNumberFormat="1" applyFont="1" applyFill="1" applyBorder="1"/>
    <xf numFmtId="9" fontId="0" fillId="0" borderId="0" xfId="2" applyFont="1" applyFill="1"/>
    <xf numFmtId="0" fontId="39" fillId="0" borderId="0" xfId="0" applyFont="1" applyBorder="1"/>
    <xf numFmtId="0" fontId="42" fillId="0" borderId="2" xfId="0" applyFont="1" applyBorder="1" applyAlignment="1">
      <alignment horizontal="center"/>
    </xf>
    <xf numFmtId="41" fontId="39" fillId="0" borderId="1" xfId="0" applyNumberFormat="1" applyFont="1" applyBorder="1"/>
    <xf numFmtId="0" fontId="42" fillId="0" borderId="0" xfId="0" applyFont="1" applyBorder="1" applyAlignment="1">
      <alignment horizontal="center"/>
    </xf>
    <xf numFmtId="0" fontId="39" fillId="0" borderId="14" xfId="0" applyFont="1" applyBorder="1"/>
    <xf numFmtId="17" fontId="42" fillId="0" borderId="15" xfId="0" applyNumberFormat="1" applyFont="1" applyBorder="1" applyAlignment="1">
      <alignment horizontal="center"/>
    </xf>
    <xf numFmtId="0" fontId="42" fillId="0" borderId="15" xfId="0" applyFont="1" applyBorder="1" applyAlignment="1">
      <alignment horizontal="center"/>
    </xf>
    <xf numFmtId="0" fontId="39" fillId="0" borderId="15" xfId="0" applyFont="1" applyBorder="1"/>
    <xf numFmtId="44" fontId="39" fillId="0" borderId="16" xfId="1" applyFont="1" applyBorder="1"/>
    <xf numFmtId="0" fontId="42" fillId="0" borderId="9" xfId="0" applyFont="1" applyBorder="1"/>
    <xf numFmtId="44" fontId="42" fillId="0" borderId="17" xfId="1" applyFont="1" applyFill="1" applyBorder="1" applyAlignment="1">
      <alignment horizontal="center"/>
    </xf>
    <xf numFmtId="17" fontId="42" fillId="0" borderId="0" xfId="0" applyNumberFormat="1" applyFont="1" applyBorder="1" applyAlignment="1">
      <alignment horizontal="center"/>
    </xf>
    <xf numFmtId="44" fontId="42" fillId="0" borderId="24" xfId="1" applyFont="1" applyFill="1" applyBorder="1" applyAlignment="1">
      <alignment horizontal="center"/>
    </xf>
    <xf numFmtId="0" fontId="42" fillId="0" borderId="9" xfId="0" applyFont="1" applyBorder="1" applyAlignment="1">
      <alignment horizontal="left"/>
    </xf>
    <xf numFmtId="44" fontId="39" fillId="0" borderId="17" xfId="1" applyFont="1" applyBorder="1"/>
    <xf numFmtId="41" fontId="39" fillId="0" borderId="0" xfId="0" applyNumberFormat="1" applyFont="1" applyBorder="1"/>
    <xf numFmtId="44" fontId="39" fillId="0" borderId="0" xfId="1" applyFont="1" applyBorder="1"/>
    <xf numFmtId="164" fontId="39" fillId="0" borderId="17" xfId="1" applyNumberFormat="1" applyFont="1" applyBorder="1"/>
    <xf numFmtId="173" fontId="39" fillId="0" borderId="0" xfId="1" applyNumberFormat="1" applyFont="1" applyBorder="1"/>
    <xf numFmtId="41" fontId="39" fillId="0" borderId="22" xfId="0" applyNumberFormat="1" applyFont="1" applyBorder="1"/>
    <xf numFmtId="0" fontId="39" fillId="0" borderId="9" xfId="0" applyFont="1" applyFill="1" applyBorder="1"/>
    <xf numFmtId="0" fontId="39" fillId="0" borderId="10" xfId="0" applyFont="1" applyBorder="1"/>
    <xf numFmtId="0" fontId="39" fillId="0" borderId="5" xfId="0" applyFont="1" applyBorder="1"/>
    <xf numFmtId="164" fontId="39" fillId="0" borderId="23" xfId="1" applyNumberFormat="1" applyFont="1" applyBorder="1"/>
    <xf numFmtId="164" fontId="2" fillId="0" borderId="3" xfId="0" applyNumberFormat="1" applyFont="1" applyBorder="1"/>
    <xf numFmtId="0" fontId="27" fillId="0" borderId="0" xfId="0" applyNumberFormat="1" applyFont="1" applyBorder="1" applyAlignment="1">
      <alignment horizontal="left"/>
    </xf>
    <xf numFmtId="0" fontId="29" fillId="0" borderId="0" xfId="0" applyFont="1" applyFill="1"/>
    <xf numFmtId="0" fontId="2" fillId="0" borderId="0" xfId="0" applyFont="1" applyFill="1" applyAlignment="1">
      <alignment horizontal="center" wrapText="1"/>
    </xf>
    <xf numFmtId="0" fontId="2" fillId="0" borderId="0" xfId="0" applyFont="1" applyFill="1" applyBorder="1" applyAlignment="1">
      <alignment horizontal="center" wrapText="1"/>
    </xf>
    <xf numFmtId="165" fontId="0" fillId="0" borderId="0" xfId="3" applyNumberFormat="1" applyFont="1" applyFill="1"/>
    <xf numFmtId="164" fontId="0" fillId="0" borderId="0" xfId="0" applyNumberFormat="1" applyFill="1" applyBorder="1"/>
    <xf numFmtId="165" fontId="0" fillId="0" borderId="0" xfId="0" applyNumberFormat="1" applyFill="1"/>
    <xf numFmtId="43" fontId="0" fillId="0" borderId="0" xfId="0" applyNumberFormat="1" applyFill="1"/>
    <xf numFmtId="164" fontId="2" fillId="0" borderId="0" xfId="1" applyNumberFormat="1" applyFont="1" applyFill="1" applyBorder="1"/>
    <xf numFmtId="164" fontId="2" fillId="0" borderId="0" xfId="0" applyNumberFormat="1" applyFont="1" applyFill="1"/>
    <xf numFmtId="164" fontId="0" fillId="0" borderId="0" xfId="0" applyNumberFormat="1" applyFill="1"/>
    <xf numFmtId="0" fontId="36" fillId="0" borderId="14" xfId="0" applyFont="1" applyFill="1" applyBorder="1"/>
    <xf numFmtId="0" fontId="0" fillId="0" borderId="15" xfId="0" applyFill="1" applyBorder="1"/>
    <xf numFmtId="0" fontId="36" fillId="0" borderId="9" xfId="0" applyFont="1" applyFill="1" applyBorder="1"/>
    <xf numFmtId="0" fontId="0" fillId="0" borderId="0" xfId="0" applyFill="1" applyBorder="1"/>
    <xf numFmtId="0" fontId="2" fillId="0" borderId="17" xfId="0" applyFont="1" applyFill="1" applyBorder="1" applyAlignment="1">
      <alignment horizontal="center"/>
    </xf>
    <xf numFmtId="0" fontId="0" fillId="0" borderId="1" xfId="0" applyFill="1" applyBorder="1"/>
    <xf numFmtId="0" fontId="2" fillId="0" borderId="9" xfId="0" applyFont="1" applyFill="1" applyBorder="1" applyAlignment="1">
      <alignment horizontal="center"/>
    </xf>
    <xf numFmtId="0" fontId="0" fillId="0" borderId="9" xfId="0" applyFill="1" applyBorder="1" applyAlignment="1">
      <alignment wrapText="1"/>
    </xf>
    <xf numFmtId="0" fontId="0" fillId="0" borderId="0" xfId="0" applyFill="1" applyBorder="1" applyAlignment="1">
      <alignment wrapText="1"/>
    </xf>
    <xf numFmtId="164" fontId="0" fillId="0" borderId="0" xfId="1" applyNumberFormat="1" applyFont="1" applyFill="1" applyBorder="1" applyAlignment="1">
      <alignment wrapText="1"/>
    </xf>
    <xf numFmtId="164" fontId="0" fillId="0" borderId="1" xfId="0" applyNumberFormat="1" applyFill="1" applyBorder="1"/>
    <xf numFmtId="0" fontId="0" fillId="0" borderId="9" xfId="0" applyFill="1" applyBorder="1"/>
    <xf numFmtId="164" fontId="0" fillId="0" borderId="12" xfId="0" applyNumberFormat="1" applyFill="1" applyBorder="1"/>
    <xf numFmtId="164" fontId="0" fillId="0" borderId="21" xfId="0" applyNumberFormat="1" applyFill="1" applyBorder="1"/>
    <xf numFmtId="0" fontId="0" fillId="0" borderId="17" xfId="0" applyFill="1" applyBorder="1"/>
    <xf numFmtId="0" fontId="0" fillId="0" borderId="9" xfId="0" applyFill="1" applyBorder="1" applyAlignment="1">
      <alignment horizontal="left"/>
    </xf>
    <xf numFmtId="0" fontId="0" fillId="0" borderId="0" xfId="0" applyFill="1" applyBorder="1" applyAlignment="1">
      <alignment horizontal="left"/>
    </xf>
    <xf numFmtId="164" fontId="0" fillId="0" borderId="17" xfId="0" applyNumberFormat="1" applyFill="1" applyBorder="1"/>
    <xf numFmtId="9" fontId="0" fillId="0" borderId="0" xfId="2" applyFont="1" applyFill="1" applyBorder="1"/>
    <xf numFmtId="164" fontId="0" fillId="0" borderId="17" xfId="1" applyNumberFormat="1" applyFont="1" applyFill="1" applyBorder="1"/>
    <xf numFmtId="0" fontId="0" fillId="0" borderId="10" xfId="0" applyFill="1" applyBorder="1"/>
    <xf numFmtId="0" fontId="0" fillId="0" borderId="5" xfId="0" applyFill="1" applyBorder="1"/>
    <xf numFmtId="164" fontId="0" fillId="0" borderId="5" xfId="0" applyNumberFormat="1" applyFill="1" applyBorder="1"/>
    <xf numFmtId="164" fontId="0" fillId="0" borderId="11" xfId="0" applyNumberFormat="1" applyFill="1" applyBorder="1"/>
    <xf numFmtId="0" fontId="2" fillId="0" borderId="0" xfId="0" applyFont="1" applyFill="1" applyAlignment="1">
      <alignment horizontal="left" vertical="top" wrapText="1"/>
    </xf>
    <xf numFmtId="164" fontId="2" fillId="0" borderId="0" xfId="1" applyNumberFormat="1" applyFont="1" applyFill="1"/>
    <xf numFmtId="0" fontId="27" fillId="0" borderId="0" xfId="0" applyNumberFormat="1" applyFont="1" applyFill="1" applyBorder="1" applyAlignment="1">
      <alignment horizontal="left"/>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0" borderId="10" xfId="0" applyFont="1" applyFill="1" applyBorder="1" applyAlignment="1">
      <alignment horizontal="center"/>
    </xf>
    <xf numFmtId="0" fontId="2" fillId="0" borderId="5" xfId="0" applyFont="1" applyFill="1" applyBorder="1" applyAlignment="1">
      <alignment horizontal="center"/>
    </xf>
    <xf numFmtId="0" fontId="2" fillId="0" borderId="11" xfId="0" applyFont="1" applyFill="1" applyBorder="1" applyAlignment="1">
      <alignment horizontal="center"/>
    </xf>
    <xf numFmtId="0" fontId="2" fillId="0" borderId="0" xfId="0" applyFont="1" applyFill="1"/>
    <xf numFmtId="0" fontId="0" fillId="0" borderId="0" xfId="0" applyFont="1" applyFill="1"/>
    <xf numFmtId="164" fontId="1" fillId="0" borderId="1" xfId="1" applyNumberFormat="1" applyFont="1" applyFill="1" applyBorder="1"/>
    <xf numFmtId="164" fontId="2" fillId="0" borderId="0" xfId="1" applyNumberFormat="1" applyFont="1" applyFill="1" applyAlignment="1">
      <alignment horizontal="center"/>
    </xf>
    <xf numFmtId="164" fontId="2" fillId="0" borderId="5" xfId="1" applyNumberFormat="1" applyFont="1" applyFill="1" applyBorder="1" applyAlignment="1">
      <alignment horizontal="center"/>
    </xf>
    <xf numFmtId="164" fontId="0" fillId="0" borderId="1" xfId="1" applyNumberFormat="1" applyFont="1" applyFill="1" applyBorder="1"/>
    <xf numFmtId="164" fontId="17" fillId="0" borderId="0" xfId="1" applyNumberFormat="1" applyFont="1" applyAlignment="1" applyProtection="1">
      <protection locked="0"/>
    </xf>
    <xf numFmtId="168" fontId="31" fillId="3" borderId="1" xfId="0" applyNumberFormat="1" applyFont="1" applyFill="1" applyBorder="1"/>
    <xf numFmtId="0" fontId="17" fillId="3" borderId="0" xfId="0" applyNumberFormat="1" applyFont="1" applyFill="1" applyAlignment="1" applyProtection="1">
      <protection locked="0"/>
    </xf>
    <xf numFmtId="41" fontId="17" fillId="3" borderId="0" xfId="0" applyNumberFormat="1" applyFont="1" applyFill="1" applyAlignment="1" applyProtection="1">
      <protection locked="0"/>
    </xf>
    <xf numFmtId="41" fontId="17" fillId="3" borderId="0" xfId="0" applyNumberFormat="1" applyFont="1" applyFill="1" applyAlignment="1"/>
    <xf numFmtId="41" fontId="17" fillId="3" borderId="0" xfId="0" applyNumberFormat="1" applyFont="1" applyFill="1"/>
    <xf numFmtId="165" fontId="17" fillId="3" borderId="0" xfId="11" applyNumberFormat="1" applyFont="1" applyFill="1" applyAlignment="1"/>
    <xf numFmtId="0" fontId="18" fillId="0" borderId="0" xfId="0" applyNumberFormat="1" applyFont="1" applyAlignment="1" applyProtection="1">
      <alignment horizontal="center"/>
      <protection locked="0"/>
    </xf>
    <xf numFmtId="0" fontId="36" fillId="0" borderId="0" xfId="0" applyFont="1"/>
    <xf numFmtId="0" fontId="22" fillId="0" borderId="2" xfId="6" applyNumberFormat="1" applyFont="1" applyBorder="1" applyAlignment="1" applyProtection="1">
      <alignment horizontal="center"/>
      <protection locked="0"/>
    </xf>
    <xf numFmtId="0" fontId="2" fillId="0" borderId="0" xfId="0" applyFont="1" applyFill="1" applyAlignment="1">
      <alignment horizontal="left" vertical="top" wrapText="1"/>
    </xf>
    <xf numFmtId="0" fontId="42" fillId="0" borderId="0" xfId="0" applyFont="1" applyBorder="1" applyAlignment="1">
      <alignment horizontal="center" wrapText="1"/>
    </xf>
    <xf numFmtId="0" fontId="42" fillId="0" borderId="2" xfId="0" applyFont="1" applyBorder="1" applyAlignment="1">
      <alignment horizontal="center" wrapText="1"/>
    </xf>
    <xf numFmtId="0" fontId="42" fillId="0" borderId="0" xfId="0" applyFont="1" applyBorder="1" applyAlignment="1">
      <alignment horizontal="center"/>
    </xf>
    <xf numFmtId="0" fontId="2" fillId="0" borderId="0" xfId="0" applyFont="1" applyAlignment="1">
      <alignment horizontal="center" vertical="center" wrapText="1"/>
    </xf>
    <xf numFmtId="164" fontId="41" fillId="0" borderId="0" xfId="1" applyNumberFormat="1" applyFont="1"/>
  </cellXfs>
  <cellStyles count="19">
    <cellStyle name="Comma" xfId="3" builtinId="3"/>
    <cellStyle name="Comma 2" xfId="5"/>
    <cellStyle name="Comma 3 3 2" xfId="11"/>
    <cellStyle name="Comma 4 2" xfId="10"/>
    <cellStyle name="Currency" xfId="1" builtinId="4"/>
    <cellStyle name="FRxAmtStyle" xfId="16"/>
    <cellStyle name="Hyperlink" xfId="4" builtinId="8"/>
    <cellStyle name="Normal" xfId="0" builtinId="0"/>
    <cellStyle name="Normal 2" xfId="7"/>
    <cellStyle name="Normal 2 2" xfId="17"/>
    <cellStyle name="Normal 2 2 2" xfId="18"/>
    <cellStyle name="Normal 3 2" xfId="8"/>
    <cellStyle name="Normal_d-1a" xfId="6"/>
    <cellStyle name="Normal_d-1b" xfId="13"/>
    <cellStyle name="Normal_d-4a" xfId="15"/>
    <cellStyle name="Normal_d-5" xfId="14"/>
    <cellStyle name="Normal_d-9" xfId="12"/>
    <cellStyle name="Percent" xfId="2" builtinId="5"/>
    <cellStyle name="Percent 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7" Type="http://schemas.openxmlformats.org/officeDocument/2006/relationships/styles" Target="styles.xml" />
  <Relationship Id="rId16" Type="http://schemas.openxmlformats.org/officeDocument/2006/relationships/theme" Target="theme/theme1.xml" />
  <Relationship Id="rId18" Type="http://schemas.openxmlformats.org/officeDocument/2006/relationships/sharedStrings" Target="sharedStrings.xml" />
  <Relationship Id="rId1" Type="http://schemas.openxmlformats.org/officeDocument/2006/relationships/worksheet" Target="worksheets/sheet1.xml" />
  <Relationship Id="rId10" Type="http://schemas.openxmlformats.org/officeDocument/2006/relationships/worksheet" Target="worksheets/sheet10.xml" />
  <Relationship Id="rId11" Type="http://schemas.openxmlformats.org/officeDocument/2006/relationships/worksheet" Target="worksheets/sheet11.xml" />
  <Relationship Id="rId12" Type="http://schemas.openxmlformats.org/officeDocument/2006/relationships/worksheet" Target="worksheets/sheet12.xml" />
  <Relationship Id="rId13" Type="http://schemas.openxmlformats.org/officeDocument/2006/relationships/worksheet" Target="worksheets/sheet13.xml" />
  <Relationship Id="rId14" Type="http://schemas.openxmlformats.org/officeDocument/2006/relationships/worksheet" Target="worksheets/sheet14.xml" />
  <Relationship Id="rId15" Type="http://schemas.openxmlformats.org/officeDocument/2006/relationships/worksheet" Target="worksheets/sheet15.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19"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printerSettings" Target="../printerSettings/printerSettings1.bin" />
  <Relationship Id="rId1" Type="http://schemas.openxmlformats.org/officeDocument/2006/relationships/hyperlink" Target="mailto:=@round('D-1a'!M29,2)" TargetMode="External"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3" Type="http://schemas.openxmlformats.org/officeDocument/2006/relationships/printerSettings" Target="../printerSettings/printerSettings9.bin" />
  <Relationship Id="rId2" Type="http://schemas.openxmlformats.org/officeDocument/2006/relationships/hyperlink" Target="mailto:=@ROUND((D8/D$14),2)" TargetMode="External" />
  <Relationship Id="rId1" Type="http://schemas.openxmlformats.org/officeDocument/2006/relationships/hyperlink" Target="mailto:=@ROUND((D8/D$14),2)"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E27"/>
  <sheetViews>
    <sheetView tabSelected="1" topLeftCell="A13" workbookViewId="0">
      <selection activeCell="D26" sqref="D26"/>
    </sheetView>
  </sheetViews>
  <sheetFormatPr defaultColWidth="9.140625" defaultRowHeight="14.25" x14ac:dyDescent="0.2"/>
  <cols>
    <col min="1" max="1" width="4.5703125" style="255" customWidth="1"/>
    <col min="2" max="2" width="52.5703125" style="255" bestFit="1" customWidth="1"/>
    <col min="3" max="3" width="9.140625" style="255"/>
    <col min="4" max="4" width="19.28515625" style="255" bestFit="1" customWidth="1"/>
    <col min="5" max="16384" width="9.140625" style="255"/>
  </cols>
  <sheetData>
    <row r="1" spans="1:5" ht="15.75" x14ac:dyDescent="0.25">
      <c r="A1" s="237" t="s">
        <v>0</v>
      </c>
      <c r="B1" s="264"/>
      <c r="C1" s="264"/>
      <c r="D1" s="237" t="s">
        <v>10</v>
      </c>
      <c r="E1" s="237" t="s">
        <v>554</v>
      </c>
    </row>
    <row r="2" spans="1:5" ht="15.75" x14ac:dyDescent="0.25">
      <c r="A2" s="237" t="s">
        <v>300</v>
      </c>
      <c r="B2" s="264"/>
      <c r="C2" s="264"/>
      <c r="D2" s="237" t="s">
        <v>11</v>
      </c>
      <c r="E2" s="237" t="s">
        <v>568</v>
      </c>
    </row>
    <row r="3" spans="1:5" ht="15.75" x14ac:dyDescent="0.25">
      <c r="A3" s="237" t="s">
        <v>20</v>
      </c>
      <c r="B3" s="264"/>
      <c r="C3" s="264"/>
      <c r="D3" s="237" t="s">
        <v>296</v>
      </c>
      <c r="E3" s="237" t="s">
        <v>297</v>
      </c>
    </row>
    <row r="7" spans="1:5" ht="15" x14ac:dyDescent="0.25">
      <c r="A7" s="254" t="s">
        <v>21</v>
      </c>
      <c r="D7" s="257" t="s">
        <v>462</v>
      </c>
    </row>
    <row r="8" spans="1:5" x14ac:dyDescent="0.2">
      <c r="D8" s="258"/>
    </row>
    <row r="9" spans="1:5" x14ac:dyDescent="0.2">
      <c r="A9" s="255">
        <v>3</v>
      </c>
      <c r="B9" s="255" t="s">
        <v>12</v>
      </c>
      <c r="D9" s="259">
        <f>'B-1'!R47</f>
        <v>66087714.926755562</v>
      </c>
    </row>
    <row r="11" spans="1:5" x14ac:dyDescent="0.2">
      <c r="A11" s="255">
        <v>4</v>
      </c>
      <c r="B11" s="255" t="s">
        <v>13</v>
      </c>
      <c r="D11" s="260">
        <f>ROUND('D-1a'!M29,4)</f>
        <v>6.2700000000000006E-2</v>
      </c>
    </row>
    <row r="13" spans="1:5" x14ac:dyDescent="0.2">
      <c r="A13" s="255">
        <v>5</v>
      </c>
      <c r="B13" s="255" t="s">
        <v>14</v>
      </c>
      <c r="D13" s="261">
        <f>D9*D11</f>
        <v>4143699.7259075739</v>
      </c>
    </row>
    <row r="15" spans="1:5" x14ac:dyDescent="0.2">
      <c r="A15" s="255">
        <v>6</v>
      </c>
      <c r="B15" s="255" t="s">
        <v>15</v>
      </c>
      <c r="D15" s="262">
        <f>D13</f>
        <v>4143699.7259075739</v>
      </c>
    </row>
    <row r="17" spans="1:4" x14ac:dyDescent="0.2">
      <c r="A17" s="255">
        <v>7</v>
      </c>
      <c r="B17" s="255" t="s">
        <v>16</v>
      </c>
      <c r="D17" s="256">
        <f>'C-1'!E39</f>
        <v>-4721104.3010244071</v>
      </c>
    </row>
    <row r="19" spans="1:4" x14ac:dyDescent="0.2">
      <c r="A19" s="255">
        <v>8</v>
      </c>
      <c r="B19" s="255" t="s">
        <v>17</v>
      </c>
      <c r="D19" s="261">
        <f>D15-D17</f>
        <v>8864804.0269319806</v>
      </c>
    </row>
    <row r="21" spans="1:4" x14ac:dyDescent="0.2">
      <c r="A21" s="255">
        <v>9</v>
      </c>
      <c r="B21" s="255" t="s">
        <v>18</v>
      </c>
      <c r="D21" s="255">
        <v>1.3294999999999999</v>
      </c>
    </row>
    <row r="23" spans="1:4" ht="15" thickBot="1" x14ac:dyDescent="0.25">
      <c r="A23" s="255">
        <v>10</v>
      </c>
      <c r="B23" s="255" t="s">
        <v>19</v>
      </c>
      <c r="D23" s="263">
        <f>D19*D21</f>
        <v>11785756.953806067</v>
      </c>
    </row>
    <row r="24" spans="1:4" ht="15" thickTop="1" x14ac:dyDescent="0.2"/>
    <row r="25" spans="1:4" x14ac:dyDescent="0.2">
      <c r="B25" s="255" t="s">
        <v>561</v>
      </c>
      <c r="D25" s="256">
        <v>11884648</v>
      </c>
    </row>
    <row r="26" spans="1:4" ht="15" thickBot="1" x14ac:dyDescent="0.25">
      <c r="B26" s="255" t="s">
        <v>562</v>
      </c>
      <c r="D26" s="436">
        <f>D23-D25</f>
        <v>-98891.046193933114</v>
      </c>
    </row>
    <row r="27" spans="1:4" ht="15" thickTop="1" x14ac:dyDescent="0.2"/>
  </sheetData>
  <hyperlinks>
    <hyperlink ref="D11" r:id="rId1" display="=@round('D-1a'!M29,2)"/>
  </hyperlinks>
  <pageMargins left="0.7" right="0.7" top="0.75" bottom="0.75" header="0.3" footer="0.3"/>
  <pageSetup scale="80"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110"/>
  <sheetViews>
    <sheetView topLeftCell="A22" workbookViewId="0">
      <selection activeCell="F2" sqref="F2"/>
    </sheetView>
  </sheetViews>
  <sheetFormatPr defaultColWidth="29.85546875" defaultRowHeight="15" x14ac:dyDescent="0.25"/>
  <cols>
    <col min="1" max="1" width="27.7109375" style="4" customWidth="1"/>
    <col min="2" max="2" width="12.85546875" style="4" customWidth="1"/>
    <col min="3" max="3" width="14.42578125" style="4" customWidth="1"/>
    <col min="4" max="4" width="19.140625" style="4" customWidth="1"/>
    <col min="5" max="5" width="13.28515625" style="4" customWidth="1"/>
    <col min="6" max="6" width="19.140625" style="4" customWidth="1"/>
    <col min="7" max="7" width="15.85546875" style="4" customWidth="1"/>
    <col min="8" max="8" width="18.5703125" style="4" customWidth="1"/>
    <col min="9" max="9" width="19.42578125" style="4" customWidth="1"/>
    <col min="10" max="16384" width="29.85546875" style="4"/>
  </cols>
  <sheetData>
    <row r="1" spans="1:6" ht="18" x14ac:dyDescent="0.25">
      <c r="A1" s="236" t="s">
        <v>0</v>
      </c>
      <c r="D1" s="270" t="s">
        <v>108</v>
      </c>
      <c r="E1" s="235" t="s">
        <v>520</v>
      </c>
    </row>
    <row r="2" spans="1:6" ht="18" x14ac:dyDescent="0.25">
      <c r="A2" s="236" t="s">
        <v>300</v>
      </c>
      <c r="E2" s="267" t="s">
        <v>298</v>
      </c>
      <c r="F2" s="385" t="str">
        <f>'A-1 Estimated Revenue Req.'!$E$1</f>
        <v>20190156-EI</v>
      </c>
    </row>
    <row r="3" spans="1:6" ht="18" x14ac:dyDescent="0.25">
      <c r="A3" s="236" t="s">
        <v>290</v>
      </c>
    </row>
    <row r="5" spans="1:6" ht="15.75" x14ac:dyDescent="0.25">
      <c r="A5" s="21" t="s">
        <v>38</v>
      </c>
      <c r="B5" s="22" t="s">
        <v>39</v>
      </c>
      <c r="C5" s="4" t="s">
        <v>108</v>
      </c>
    </row>
    <row r="6" spans="1:6" ht="15.75" x14ac:dyDescent="0.25">
      <c r="A6" s="40" t="s">
        <v>73</v>
      </c>
    </row>
    <row r="7" spans="1:6" ht="15.75" x14ac:dyDescent="0.25">
      <c r="D7" s="39" t="s">
        <v>493</v>
      </c>
      <c r="F7" s="39" t="s">
        <v>41</v>
      </c>
    </row>
    <row r="8" spans="1:6" ht="15.75" x14ac:dyDescent="0.25">
      <c r="A8" s="23" t="s">
        <v>42</v>
      </c>
      <c r="D8" s="25">
        <v>14.694704574539506</v>
      </c>
      <c r="F8" s="25">
        <f>D8*'Uniform Rate Inc'!$F$15</f>
        <v>23.338736376534229</v>
      </c>
    </row>
    <row r="9" spans="1:6" ht="15.75" x14ac:dyDescent="0.25">
      <c r="A9" s="23" t="s">
        <v>43</v>
      </c>
      <c r="D9" s="25">
        <v>24.14130037245776</v>
      </c>
      <c r="F9" s="25">
        <f>D9*'Uniform Rate Inc'!$F$15</f>
        <v>38.342209761449091</v>
      </c>
    </row>
    <row r="10" spans="1:6" ht="15.75" x14ac:dyDescent="0.25">
      <c r="A10" s="23" t="s">
        <v>44</v>
      </c>
      <c r="D10" s="25">
        <v>71.38</v>
      </c>
      <c r="F10" s="25">
        <f>D10*'Uniform Rate Inc'!$F$15</f>
        <v>113.36866243935488</v>
      </c>
    </row>
    <row r="11" spans="1:6" ht="15.75" x14ac:dyDescent="0.25">
      <c r="A11" s="23" t="s">
        <v>45</v>
      </c>
      <c r="D11" s="25">
        <v>136.45082819215256</v>
      </c>
      <c r="F11" s="25">
        <f>D11*'Uniform Rate Inc'!$F$15</f>
        <v>216.71683778210354</v>
      </c>
    </row>
    <row r="12" spans="1:6" ht="15.75" x14ac:dyDescent="0.25">
      <c r="A12" s="23" t="s">
        <v>46</v>
      </c>
      <c r="D12" s="25">
        <v>844.94</v>
      </c>
      <c r="F12" s="25">
        <f>D12*'Uniform Rate Inc'!$F$15</f>
        <v>1341.9685856193405</v>
      </c>
    </row>
    <row r="13" spans="1:6" ht="15.75" x14ac:dyDescent="0.25">
      <c r="A13" s="23" t="s">
        <v>47</v>
      </c>
      <c r="B13" s="23" t="s">
        <v>48</v>
      </c>
      <c r="D13" s="25">
        <v>104.96217553242504</v>
      </c>
      <c r="F13" s="25">
        <f>D13*'Uniform Rate Inc'!$F$15</f>
        <v>166.70525983238733</v>
      </c>
    </row>
    <row r="14" spans="1:6" ht="15.75" x14ac:dyDescent="0.25">
      <c r="A14" s="23" t="s">
        <v>47</v>
      </c>
      <c r="B14" s="23" t="s">
        <v>49</v>
      </c>
      <c r="D14" s="25">
        <v>844.94</v>
      </c>
      <c r="F14" s="25">
        <f>D14*'Uniform Rate Inc'!$F$15</f>
        <v>1341.9685856193405</v>
      </c>
    </row>
    <row r="15" spans="1:6" ht="15.75" x14ac:dyDescent="0.25">
      <c r="A15" s="23"/>
    </row>
    <row r="16" spans="1:6" ht="15.75" x14ac:dyDescent="0.25">
      <c r="A16" s="40" t="s">
        <v>75</v>
      </c>
      <c r="B16" s="24"/>
      <c r="D16" s="39" t="s">
        <v>493</v>
      </c>
      <c r="E16" s="24"/>
      <c r="F16" s="39" t="s">
        <v>41</v>
      </c>
    </row>
    <row r="17" spans="1:6" ht="15.75" x14ac:dyDescent="0.25">
      <c r="A17" s="23" t="s">
        <v>42</v>
      </c>
      <c r="B17" s="23" t="s">
        <v>50</v>
      </c>
      <c r="D17" s="26">
        <v>2.0572586404355307E-2</v>
      </c>
      <c r="F17" s="26">
        <f>D17*'Uniform Rate Inc'!$F$15</f>
        <v>3.2674230927147919E-2</v>
      </c>
    </row>
    <row r="18" spans="1:6" ht="15.75" x14ac:dyDescent="0.25">
      <c r="B18" s="23" t="s">
        <v>51</v>
      </c>
      <c r="D18" s="26">
        <v>3.3692858345908433E-2</v>
      </c>
      <c r="F18" s="26">
        <f>D18*'Uniform Rate Inc'!$F$15</f>
        <v>5.3512388406196328E-2</v>
      </c>
    </row>
    <row r="19" spans="1:6" ht="15.75" x14ac:dyDescent="0.25">
      <c r="A19" s="23" t="s">
        <v>43</v>
      </c>
      <c r="C19" s="27"/>
      <c r="D19" s="26">
        <v>2.5159433475122284E-2</v>
      </c>
      <c r="F19" s="26">
        <f>D19*'Uniform Rate Inc'!$F$15</f>
        <v>3.9959250781823247E-2</v>
      </c>
    </row>
    <row r="20" spans="1:6" ht="15.75" x14ac:dyDescent="0.25">
      <c r="A20" s="23" t="s">
        <v>44</v>
      </c>
      <c r="C20" s="27"/>
      <c r="D20" s="26">
        <v>4.7442903340656119E-3</v>
      </c>
      <c r="F20" s="26">
        <f>D20*'Uniform Rate Inc'!$F$15</f>
        <v>7.5350777444239082E-3</v>
      </c>
    </row>
    <row r="21" spans="1:6" ht="15.75" x14ac:dyDescent="0.25">
      <c r="A21" s="23" t="s">
        <v>45</v>
      </c>
      <c r="C21" s="27"/>
      <c r="D21" s="26">
        <v>2.2000000000000001E-3</v>
      </c>
      <c r="F21" s="26">
        <f>D21*'Uniform Rate Inc'!$F$15</f>
        <v>3.4941308120843479E-3</v>
      </c>
    </row>
    <row r="22" spans="1:6" ht="15.75" x14ac:dyDescent="0.25">
      <c r="A22" s="23" t="s">
        <v>46</v>
      </c>
      <c r="C22" s="27"/>
      <c r="D22" s="26">
        <v>0</v>
      </c>
      <c r="F22" s="26">
        <f>D22*'Uniform Rate Inc'!$F$15</f>
        <v>0</v>
      </c>
    </row>
    <row r="23" spans="1:6" ht="15.75" x14ac:dyDescent="0.25">
      <c r="A23" s="23" t="s">
        <v>47</v>
      </c>
      <c r="B23" s="23" t="s">
        <v>48</v>
      </c>
      <c r="C23" s="27"/>
      <c r="D23" s="26">
        <v>0</v>
      </c>
      <c r="F23" s="26">
        <f>D23*'Uniform Rate Inc'!$F$15</f>
        <v>0</v>
      </c>
    </row>
    <row r="24" spans="1:6" ht="15.75" x14ac:dyDescent="0.25">
      <c r="A24" s="23" t="s">
        <v>52</v>
      </c>
      <c r="C24" s="27"/>
      <c r="D24" s="26">
        <v>0</v>
      </c>
      <c r="F24" s="26">
        <f>D24*'Uniform Rate Inc'!$F$15</f>
        <v>0</v>
      </c>
    </row>
    <row r="25" spans="1:6" ht="15.75" x14ac:dyDescent="0.25">
      <c r="A25" s="23"/>
    </row>
    <row r="26" spans="1:6" ht="15.75" x14ac:dyDescent="0.25">
      <c r="A26" s="40" t="s">
        <v>74</v>
      </c>
      <c r="C26" s="39"/>
      <c r="D26" s="39" t="s">
        <v>493</v>
      </c>
      <c r="F26" s="39" t="s">
        <v>41</v>
      </c>
    </row>
    <row r="27" spans="1:6" ht="15.75" x14ac:dyDescent="0.25">
      <c r="A27" s="23" t="s">
        <v>42</v>
      </c>
      <c r="D27" s="25">
        <v>0</v>
      </c>
      <c r="E27" s="25"/>
      <c r="F27" s="25">
        <f>D27*'Uniform Rate Inc'!$F$15</f>
        <v>0</v>
      </c>
    </row>
    <row r="28" spans="1:6" ht="15.75" x14ac:dyDescent="0.25">
      <c r="A28" s="23" t="s">
        <v>43</v>
      </c>
      <c r="D28" s="25">
        <v>0</v>
      </c>
      <c r="F28" s="25">
        <f>D28*'Uniform Rate Inc'!$F$15</f>
        <v>0</v>
      </c>
    </row>
    <row r="29" spans="1:6" ht="15.75" x14ac:dyDescent="0.25">
      <c r="A29" s="23" t="s">
        <v>44</v>
      </c>
      <c r="C29" s="23" t="s">
        <v>53</v>
      </c>
      <c r="D29" s="25">
        <v>3.89</v>
      </c>
      <c r="F29" s="25">
        <f>D29*'Uniform Rate Inc'!$F$15</f>
        <v>6.1782585722764152</v>
      </c>
    </row>
    <row r="30" spans="1:6" ht="15.75" x14ac:dyDescent="0.25">
      <c r="A30" s="23" t="s">
        <v>45</v>
      </c>
      <c r="D30" s="25">
        <v>5.5629953032185266</v>
      </c>
      <c r="F30" s="25">
        <f>D30*'Uniform Rate Inc'!$F$15</f>
        <v>8.8353787711165293</v>
      </c>
    </row>
    <row r="31" spans="1:6" ht="15.75" x14ac:dyDescent="0.25">
      <c r="A31" s="23" t="s">
        <v>46</v>
      </c>
      <c r="D31" s="25">
        <v>1.5744326329863756</v>
      </c>
      <c r="F31" s="25">
        <f>D31*'Uniform Rate Inc'!$F$15</f>
        <v>2.5005788974858101</v>
      </c>
    </row>
    <row r="32" spans="1:6" ht="15.75" x14ac:dyDescent="0.25">
      <c r="A32" s="23" t="s">
        <v>46</v>
      </c>
      <c r="C32" s="23" t="s">
        <v>106</v>
      </c>
      <c r="D32" s="25">
        <v>0.37786383191673012</v>
      </c>
      <c r="F32" s="25">
        <f>D32*'Uniform Rate Inc'!$F$15</f>
        <v>0.60013893539659435</v>
      </c>
    </row>
    <row r="33" spans="1:6" ht="15.75" x14ac:dyDescent="0.25">
      <c r="A33" s="23" t="s">
        <v>54</v>
      </c>
      <c r="D33" s="25">
        <v>2.729016563843051</v>
      </c>
      <c r="F33" s="25">
        <f>D33*'Uniform Rate Inc'!$F$15</f>
        <v>4.3343367556420711</v>
      </c>
    </row>
    <row r="34" spans="1:6" ht="15.75" x14ac:dyDescent="0.25">
      <c r="A34" s="23" t="s">
        <v>47</v>
      </c>
      <c r="B34" s="23" t="s">
        <v>49</v>
      </c>
      <c r="C34" s="23" t="s">
        <v>40</v>
      </c>
      <c r="D34" s="25">
        <v>0.68225414096076276</v>
      </c>
      <c r="F34" s="25">
        <f>D34*'Uniform Rate Inc'!$F$15</f>
        <v>1.0835841889105178</v>
      </c>
    </row>
    <row r="35" spans="1:6" ht="15.75" x14ac:dyDescent="0.25">
      <c r="A35" s="23" t="s">
        <v>47</v>
      </c>
      <c r="C35" s="23" t="s">
        <v>106</v>
      </c>
      <c r="D35" s="25">
        <v>0.37786383191673012</v>
      </c>
      <c r="F35" s="25">
        <f>D35*'Uniform Rate Inc'!$F$15</f>
        <v>0.60013893539659435</v>
      </c>
    </row>
    <row r="36" spans="1:6" ht="15.75" x14ac:dyDescent="0.25">
      <c r="A36" s="23"/>
    </row>
    <row r="38" spans="1:6" ht="15.75" x14ac:dyDescent="0.25">
      <c r="A38" s="23"/>
      <c r="C38" s="23"/>
      <c r="D38" s="39" t="s">
        <v>493</v>
      </c>
      <c r="F38" s="39" t="s">
        <v>41</v>
      </c>
    </row>
    <row r="39" spans="1:6" ht="15.75" x14ac:dyDescent="0.25">
      <c r="A39" s="23" t="s">
        <v>55</v>
      </c>
      <c r="D39" s="39"/>
    </row>
    <row r="40" spans="1:6" ht="15.75" x14ac:dyDescent="0.25">
      <c r="A40" s="23" t="s">
        <v>56</v>
      </c>
    </row>
    <row r="41" spans="1:6" ht="15.75" x14ac:dyDescent="0.25">
      <c r="A41" s="23" t="s">
        <v>57</v>
      </c>
    </row>
    <row r="42" spans="1:6" ht="15.75" x14ac:dyDescent="0.25">
      <c r="A42" s="23" t="s">
        <v>58</v>
      </c>
    </row>
    <row r="43" spans="1:6" ht="15.75" x14ac:dyDescent="0.25">
      <c r="A43" s="23" t="s">
        <v>59</v>
      </c>
    </row>
    <row r="44" spans="1:6" ht="15.75" x14ac:dyDescent="0.25">
      <c r="A44" s="23" t="s">
        <v>60</v>
      </c>
    </row>
    <row r="45" spans="1:6" ht="15.75" x14ac:dyDescent="0.25">
      <c r="A45" s="23" t="s">
        <v>61</v>
      </c>
    </row>
    <row r="46" spans="1:6" ht="15.75" x14ac:dyDescent="0.25">
      <c r="A46" s="23" t="s">
        <v>62</v>
      </c>
      <c r="C46" s="23" t="s">
        <v>63</v>
      </c>
    </row>
    <row r="48" spans="1:6" ht="15.75" x14ac:dyDescent="0.25">
      <c r="A48" s="23" t="s">
        <v>64</v>
      </c>
      <c r="C48" s="23" t="s">
        <v>65</v>
      </c>
      <c r="D48" s="23"/>
      <c r="F48" s="23"/>
    </row>
    <row r="49" spans="1:3" ht="15.75" x14ac:dyDescent="0.25">
      <c r="A49" s="23" t="s">
        <v>66</v>
      </c>
      <c r="C49" s="23" t="s">
        <v>67</v>
      </c>
    </row>
    <row r="50" spans="1:3" ht="15.75" x14ac:dyDescent="0.25">
      <c r="A50" s="23"/>
    </row>
    <row r="51" spans="1:3" ht="15.75" x14ac:dyDescent="0.25">
      <c r="A51" s="23"/>
    </row>
    <row r="90" spans="1:9" ht="15.75" x14ac:dyDescent="0.25">
      <c r="A90" s="35"/>
      <c r="B90" s="39"/>
      <c r="C90" s="35"/>
      <c r="E90" s="37"/>
      <c r="I90" s="33"/>
    </row>
    <row r="91" spans="1:9" x14ac:dyDescent="0.25">
      <c r="A91" s="35"/>
      <c r="B91" s="29"/>
      <c r="C91" s="29"/>
      <c r="E91" s="36"/>
      <c r="I91" s="33"/>
    </row>
    <row r="92" spans="1:9" x14ac:dyDescent="0.25">
      <c r="A92" s="35"/>
      <c r="B92" s="30"/>
      <c r="C92" s="30"/>
      <c r="E92" s="30"/>
      <c r="I92" s="33"/>
    </row>
    <row r="93" spans="1:9" x14ac:dyDescent="0.25">
      <c r="A93" s="31"/>
      <c r="B93" s="32"/>
      <c r="C93" s="32"/>
      <c r="E93" s="32"/>
      <c r="I93" s="33"/>
    </row>
    <row r="94" spans="1:9" x14ac:dyDescent="0.25">
      <c r="A94" s="31"/>
      <c r="B94" s="32"/>
      <c r="C94" s="32"/>
      <c r="E94" s="32"/>
      <c r="I94" s="33"/>
    </row>
    <row r="95" spans="1:9" x14ac:dyDescent="0.25">
      <c r="A95" s="31"/>
      <c r="B95" s="32"/>
      <c r="C95" s="32"/>
      <c r="E95" s="32"/>
      <c r="I95" s="33"/>
    </row>
    <row r="96" spans="1:9" x14ac:dyDescent="0.25">
      <c r="A96" s="31"/>
      <c r="B96" s="32"/>
      <c r="C96" s="32"/>
      <c r="E96" s="38"/>
      <c r="I96" s="33"/>
    </row>
    <row r="97" spans="1:9" x14ac:dyDescent="0.25">
      <c r="A97" s="31"/>
      <c r="B97" s="32"/>
      <c r="C97" s="32"/>
      <c r="E97" s="38"/>
      <c r="I97" s="33"/>
    </row>
    <row r="98" spans="1:9" x14ac:dyDescent="0.25">
      <c r="A98" s="31"/>
      <c r="B98" s="32"/>
      <c r="C98" s="32"/>
      <c r="E98" s="32"/>
      <c r="I98" s="33"/>
    </row>
    <row r="99" spans="1:9" x14ac:dyDescent="0.25">
      <c r="A99" s="31"/>
      <c r="B99" s="32"/>
      <c r="C99" s="32"/>
      <c r="E99" s="32"/>
      <c r="I99" s="33"/>
    </row>
    <row r="100" spans="1:9" x14ac:dyDescent="0.25">
      <c r="A100" s="31"/>
      <c r="B100" s="32"/>
      <c r="C100" s="32"/>
      <c r="E100" s="32"/>
      <c r="I100" s="33"/>
    </row>
    <row r="101" spans="1:9" x14ac:dyDescent="0.25">
      <c r="A101" s="31"/>
      <c r="B101" s="32"/>
      <c r="C101" s="32"/>
      <c r="E101" s="32"/>
      <c r="I101" s="33"/>
    </row>
    <row r="102" spans="1:9" x14ac:dyDescent="0.25">
      <c r="A102" s="31"/>
      <c r="B102" s="32"/>
      <c r="C102" s="32"/>
      <c r="E102" s="32"/>
      <c r="I102" s="33"/>
    </row>
    <row r="103" spans="1:9" x14ac:dyDescent="0.25">
      <c r="A103" s="31"/>
      <c r="B103" s="32"/>
      <c r="C103" s="32"/>
      <c r="E103" s="32"/>
      <c r="I103" s="33"/>
    </row>
    <row r="104" spans="1:9" x14ac:dyDescent="0.25">
      <c r="A104" s="31"/>
      <c r="B104" s="32"/>
      <c r="C104" s="32"/>
      <c r="E104" s="32"/>
      <c r="I104" s="33"/>
    </row>
    <row r="105" spans="1:9" x14ac:dyDescent="0.25">
      <c r="A105" s="31"/>
      <c r="B105" s="32"/>
      <c r="C105" s="34"/>
      <c r="E105" s="32"/>
      <c r="I105" s="33"/>
    </row>
    <row r="106" spans="1:9" x14ac:dyDescent="0.25">
      <c r="A106" s="31"/>
      <c r="B106" s="32"/>
      <c r="C106" s="34"/>
      <c r="E106" s="32"/>
      <c r="I106" s="33"/>
    </row>
    <row r="107" spans="1:9" x14ac:dyDescent="0.25">
      <c r="A107" s="31"/>
      <c r="B107" s="32"/>
      <c r="C107" s="34"/>
      <c r="E107" s="32"/>
      <c r="I107" s="33"/>
    </row>
    <row r="108" spans="1:9" x14ac:dyDescent="0.25">
      <c r="A108" s="31"/>
      <c r="B108" s="32"/>
      <c r="C108" s="34"/>
      <c r="E108" s="38"/>
      <c r="I108" s="33"/>
    </row>
    <row r="109" spans="1:9" x14ac:dyDescent="0.25">
      <c r="A109" s="31"/>
      <c r="B109" s="32"/>
      <c r="C109" s="34"/>
      <c r="E109" s="32"/>
      <c r="I109" s="33"/>
    </row>
    <row r="110" spans="1:9" x14ac:dyDescent="0.25">
      <c r="A110" s="31"/>
      <c r="B110" s="32"/>
      <c r="C110" s="34"/>
      <c r="E110" s="32"/>
      <c r="I110" s="33"/>
    </row>
  </sheetData>
  <pageMargins left="0.7" right="0.7" top="0.75" bottom="0.75" header="0.3" footer="0.3"/>
  <pageSetup scale="75" orientation="portrait" r:id="rId1"/>
  <rowBreaks count="1" manualBreakCount="1">
    <brk id="5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I38"/>
  <sheetViews>
    <sheetView workbookViewId="0">
      <selection activeCell="H4" sqref="H4"/>
    </sheetView>
  </sheetViews>
  <sheetFormatPr defaultRowHeight="15" x14ac:dyDescent="0.25"/>
  <cols>
    <col min="1" max="1" width="35.7109375" bestFit="1" customWidth="1"/>
    <col min="2" max="2" width="12.85546875" bestFit="1" customWidth="1"/>
    <col min="3" max="4" width="7.5703125" bestFit="1" customWidth="1"/>
    <col min="5" max="5" width="6.42578125" bestFit="1" customWidth="1"/>
    <col min="6" max="6" width="15" bestFit="1" customWidth="1"/>
    <col min="7" max="8" width="9.28515625" customWidth="1"/>
    <col min="9" max="9" width="9.28515625" style="228" customWidth="1"/>
  </cols>
  <sheetData>
    <row r="1" spans="1:9" ht="18" x14ac:dyDescent="0.25">
      <c r="A1" s="236" t="s">
        <v>0</v>
      </c>
      <c r="B1" s="4"/>
      <c r="C1" s="4"/>
      <c r="D1" s="4"/>
      <c r="E1" s="4"/>
      <c r="F1" s="235" t="s">
        <v>521</v>
      </c>
      <c r="G1" s="4"/>
      <c r="H1" s="4"/>
    </row>
    <row r="2" spans="1:9" ht="18" x14ac:dyDescent="0.25">
      <c r="A2" s="236" t="s">
        <v>300</v>
      </c>
      <c r="B2" s="4"/>
      <c r="C2" s="4"/>
      <c r="D2" s="4"/>
      <c r="E2" s="4"/>
      <c r="F2" s="267" t="s">
        <v>298</v>
      </c>
      <c r="G2" s="385" t="str">
        <f>'A-1 Estimated Revenue Req.'!$E$1</f>
        <v>20190156-EI</v>
      </c>
      <c r="H2" s="4"/>
    </row>
    <row r="3" spans="1:9" ht="18" x14ac:dyDescent="0.25">
      <c r="A3" s="236" t="s">
        <v>303</v>
      </c>
      <c r="B3" s="4"/>
      <c r="C3" s="4"/>
      <c r="D3" s="4"/>
      <c r="E3" s="4"/>
      <c r="F3" s="4"/>
      <c r="G3" s="4"/>
      <c r="H3" s="4"/>
    </row>
    <row r="4" spans="1:9" s="4" customFormat="1" ht="18" x14ac:dyDescent="0.25">
      <c r="A4" s="236"/>
      <c r="I4" s="228"/>
    </row>
    <row r="5" spans="1:9" ht="15.75" x14ac:dyDescent="0.25">
      <c r="A5" s="28"/>
      <c r="B5" s="39" t="s">
        <v>493</v>
      </c>
      <c r="C5" s="35"/>
      <c r="D5" s="35"/>
      <c r="E5" s="35"/>
      <c r="F5" s="39" t="s">
        <v>41</v>
      </c>
      <c r="G5" s="4"/>
      <c r="H5" s="4"/>
    </row>
    <row r="6" spans="1:9" ht="15.75" x14ac:dyDescent="0.25">
      <c r="A6" s="40" t="s">
        <v>76</v>
      </c>
      <c r="B6" s="29" t="s">
        <v>68</v>
      </c>
      <c r="C6" s="29" t="s">
        <v>69</v>
      </c>
      <c r="D6" s="29" t="s">
        <v>70</v>
      </c>
      <c r="E6" s="29" t="s">
        <v>7</v>
      </c>
      <c r="F6" s="29" t="s">
        <v>68</v>
      </c>
      <c r="G6" s="29" t="s">
        <v>69</v>
      </c>
      <c r="H6" s="29" t="s">
        <v>70</v>
      </c>
      <c r="I6" s="36" t="s">
        <v>7</v>
      </c>
    </row>
    <row r="7" spans="1:9" x14ac:dyDescent="0.25">
      <c r="A7" s="28"/>
      <c r="B7" s="30" t="s">
        <v>71</v>
      </c>
      <c r="C7" s="30" t="s">
        <v>71</v>
      </c>
      <c r="D7" s="30" t="s">
        <v>71</v>
      </c>
      <c r="E7" s="30" t="s">
        <v>71</v>
      </c>
      <c r="F7" s="30" t="s">
        <v>71</v>
      </c>
      <c r="G7" s="30" t="s">
        <v>71</v>
      </c>
      <c r="H7" s="30" t="s">
        <v>71</v>
      </c>
      <c r="I7" s="269" t="s">
        <v>71</v>
      </c>
    </row>
    <row r="8" spans="1:9" x14ac:dyDescent="0.25">
      <c r="A8" s="31" t="s">
        <v>77</v>
      </c>
      <c r="B8" s="32">
        <v>19.38</v>
      </c>
      <c r="C8" s="32">
        <v>18.46</v>
      </c>
      <c r="D8" s="32">
        <v>2.6</v>
      </c>
      <c r="E8" s="38">
        <v>40.440000000000005</v>
      </c>
      <c r="F8" s="38">
        <f>ROUND((B8*'Uniform Rate Inc'!$F$15),2)</f>
        <v>30.78</v>
      </c>
      <c r="G8" s="32">
        <f>ROUND((C8*'Uniform Rate Inc'!$F$15),2)</f>
        <v>29.32</v>
      </c>
      <c r="H8" s="32">
        <f>ROUND((D8*'Uniform Rate Inc'!$F$15),2)</f>
        <v>4.13</v>
      </c>
      <c r="I8" s="38">
        <f>SUM(F8:H8)</f>
        <v>64.23</v>
      </c>
    </row>
    <row r="9" spans="1:9" x14ac:dyDescent="0.25">
      <c r="A9" s="31" t="s">
        <v>78</v>
      </c>
      <c r="B9" s="32">
        <v>17.87</v>
      </c>
      <c r="C9" s="32">
        <v>18.46</v>
      </c>
      <c r="D9" s="32">
        <v>2.5299999999999998</v>
      </c>
      <c r="E9" s="38">
        <v>38.86</v>
      </c>
      <c r="F9" s="38">
        <f>ROUND((B9*'Uniform Rate Inc'!$F$15),2)</f>
        <v>28.38</v>
      </c>
      <c r="G9" s="32">
        <f>ROUND((C9*'Uniform Rate Inc'!$F$15),2)</f>
        <v>29.32</v>
      </c>
      <c r="H9" s="32">
        <f>ROUND((D9*'Uniform Rate Inc'!$F$15),2)</f>
        <v>4.0199999999999996</v>
      </c>
      <c r="I9" s="38">
        <f t="shared" ref="I9:I36" si="0">SUM(F9:H9)</f>
        <v>61.72</v>
      </c>
    </row>
    <row r="10" spans="1:9" x14ac:dyDescent="0.25">
      <c r="A10" s="31" t="s">
        <v>79</v>
      </c>
      <c r="B10" s="32">
        <v>22.06</v>
      </c>
      <c r="C10" s="32">
        <v>18.46</v>
      </c>
      <c r="D10" s="32">
        <v>2.88</v>
      </c>
      <c r="E10" s="38">
        <v>43.4</v>
      </c>
      <c r="F10" s="38">
        <f>ROUND((B10*'Uniform Rate Inc'!$F$15),2)</f>
        <v>35.04</v>
      </c>
      <c r="G10" s="32">
        <f>ROUND((C10*'Uniform Rate Inc'!$F$15),2)</f>
        <v>29.32</v>
      </c>
      <c r="H10" s="32">
        <f>ROUND((D10*'Uniform Rate Inc'!$F$15),2)</f>
        <v>4.57</v>
      </c>
      <c r="I10" s="38">
        <f t="shared" si="0"/>
        <v>68.930000000000007</v>
      </c>
    </row>
    <row r="11" spans="1:9" x14ac:dyDescent="0.25">
      <c r="A11" s="31" t="s">
        <v>80</v>
      </c>
      <c r="B11" s="32">
        <v>8.3800000000000008</v>
      </c>
      <c r="C11" s="32">
        <v>1.87</v>
      </c>
      <c r="D11" s="32">
        <v>2.85</v>
      </c>
      <c r="E11" s="38">
        <v>13.1</v>
      </c>
      <c r="F11" s="38">
        <f>ROUND((B11*'Uniform Rate Inc'!$F$15),2)</f>
        <v>13.31</v>
      </c>
      <c r="G11" s="32">
        <f>ROUND((C11*'Uniform Rate Inc'!$F$15),2)</f>
        <v>2.97</v>
      </c>
      <c r="H11" s="32">
        <f>ROUND((D11*'Uniform Rate Inc'!$F$15),2)</f>
        <v>4.53</v>
      </c>
      <c r="I11" s="38">
        <f t="shared" si="0"/>
        <v>20.810000000000002</v>
      </c>
    </row>
    <row r="12" spans="1:9" x14ac:dyDescent="0.25">
      <c r="A12" s="31" t="s">
        <v>81</v>
      </c>
      <c r="B12" s="32">
        <v>6.29</v>
      </c>
      <c r="C12" s="32">
        <v>1.87</v>
      </c>
      <c r="D12" s="32">
        <v>1.83</v>
      </c>
      <c r="E12" s="38">
        <v>9.99</v>
      </c>
      <c r="F12" s="38">
        <f>ROUND((B12*'Uniform Rate Inc'!$F$15),2)</f>
        <v>9.99</v>
      </c>
      <c r="G12" s="32">
        <f>ROUND((C12*'Uniform Rate Inc'!$F$15),2)</f>
        <v>2.97</v>
      </c>
      <c r="H12" s="32">
        <f>ROUND((D12*'Uniform Rate Inc'!$F$15),2)</f>
        <v>2.91</v>
      </c>
      <c r="I12" s="38">
        <f t="shared" si="0"/>
        <v>15.870000000000001</v>
      </c>
    </row>
    <row r="13" spans="1:9" x14ac:dyDescent="0.25">
      <c r="A13" s="31" t="s">
        <v>82</v>
      </c>
      <c r="B13" s="32">
        <v>21.51</v>
      </c>
      <c r="C13" s="32">
        <v>1.87</v>
      </c>
      <c r="D13" s="32">
        <v>2.69</v>
      </c>
      <c r="E13" s="38">
        <v>26.070000000000004</v>
      </c>
      <c r="F13" s="38">
        <f>ROUND((B13*'Uniform Rate Inc'!$F$15),2)</f>
        <v>34.159999999999997</v>
      </c>
      <c r="G13" s="32">
        <f>ROUND((C13*'Uniform Rate Inc'!$F$15),2)</f>
        <v>2.97</v>
      </c>
      <c r="H13" s="32">
        <f>ROUND((D13*'Uniform Rate Inc'!$F$15),2)</f>
        <v>4.2699999999999996</v>
      </c>
      <c r="I13" s="38">
        <f t="shared" si="0"/>
        <v>41.399999999999991</v>
      </c>
    </row>
    <row r="14" spans="1:9" x14ac:dyDescent="0.25">
      <c r="A14" s="31" t="s">
        <v>104</v>
      </c>
      <c r="B14" s="32">
        <v>21.34</v>
      </c>
      <c r="C14" s="32">
        <v>1.87</v>
      </c>
      <c r="D14" s="32">
        <v>2.6</v>
      </c>
      <c r="E14" s="38">
        <v>25.810000000000002</v>
      </c>
      <c r="F14" s="38">
        <f>ROUND((B14*'Uniform Rate Inc'!$F$15),2)</f>
        <v>33.89</v>
      </c>
      <c r="G14" s="32">
        <f>ROUND((C14*'Uniform Rate Inc'!$F$15),2)</f>
        <v>2.97</v>
      </c>
      <c r="H14" s="32">
        <f>ROUND((D14*'Uniform Rate Inc'!$F$15),2)</f>
        <v>4.13</v>
      </c>
      <c r="I14" s="38">
        <f t="shared" si="0"/>
        <v>40.99</v>
      </c>
    </row>
    <row r="15" spans="1:9" x14ac:dyDescent="0.25">
      <c r="A15" s="31" t="s">
        <v>83</v>
      </c>
      <c r="B15" s="32">
        <v>17.059999999999999</v>
      </c>
      <c r="C15" s="32">
        <v>2.77</v>
      </c>
      <c r="D15" s="32">
        <v>2.16</v>
      </c>
      <c r="E15" s="38">
        <v>21.99</v>
      </c>
      <c r="F15" s="38">
        <f>ROUND((B15*'Uniform Rate Inc'!$F$15),2)</f>
        <v>27.1</v>
      </c>
      <c r="G15" s="32">
        <f>ROUND((C15*'Uniform Rate Inc'!$F$15),2)</f>
        <v>4.4000000000000004</v>
      </c>
      <c r="H15" s="32">
        <f>ROUND((D15*'Uniform Rate Inc'!$F$15),2)</f>
        <v>3.43</v>
      </c>
      <c r="I15" s="38">
        <f t="shared" si="0"/>
        <v>34.93</v>
      </c>
    </row>
    <row r="16" spans="1:9" x14ac:dyDescent="0.25">
      <c r="A16" s="31" t="s">
        <v>84</v>
      </c>
      <c r="B16" s="32">
        <v>24.33</v>
      </c>
      <c r="C16" s="32">
        <v>2.77</v>
      </c>
      <c r="D16" s="32">
        <v>2.88</v>
      </c>
      <c r="E16" s="38">
        <v>29.979999999999997</v>
      </c>
      <c r="F16" s="38">
        <f>ROUND((B16*'Uniform Rate Inc'!$F$15),2)</f>
        <v>38.64</v>
      </c>
      <c r="G16" s="32">
        <f>ROUND((C16*'Uniform Rate Inc'!$F$15),2)</f>
        <v>4.4000000000000004</v>
      </c>
      <c r="H16" s="32">
        <f>ROUND((D16*'Uniform Rate Inc'!$F$15),2)</f>
        <v>4.57</v>
      </c>
      <c r="I16" s="38">
        <f t="shared" si="0"/>
        <v>47.61</v>
      </c>
    </row>
    <row r="17" spans="1:9" x14ac:dyDescent="0.25">
      <c r="A17" s="31" t="s">
        <v>85</v>
      </c>
      <c r="B17" s="32">
        <v>7.85</v>
      </c>
      <c r="C17" s="32">
        <v>2.77</v>
      </c>
      <c r="D17" s="32">
        <v>2.89</v>
      </c>
      <c r="E17" s="38">
        <v>13.51</v>
      </c>
      <c r="F17" s="38">
        <f>ROUND((B17*'Uniform Rate Inc'!$F$15),2)</f>
        <v>12.47</v>
      </c>
      <c r="G17" s="32">
        <f>ROUND((C17*'Uniform Rate Inc'!$F$15),2)</f>
        <v>4.4000000000000004</v>
      </c>
      <c r="H17" s="32">
        <f>ROUND((D17*'Uniform Rate Inc'!$F$15),2)</f>
        <v>4.59</v>
      </c>
      <c r="I17" s="38">
        <f t="shared" si="0"/>
        <v>21.46</v>
      </c>
    </row>
    <row r="18" spans="1:9" x14ac:dyDescent="0.25">
      <c r="A18" s="31" t="s">
        <v>86</v>
      </c>
      <c r="B18" s="32">
        <v>23.28</v>
      </c>
      <c r="C18" s="32">
        <v>3.26</v>
      </c>
      <c r="D18" s="32">
        <v>2.2599999999999998</v>
      </c>
      <c r="E18" s="38">
        <v>28.799999999999997</v>
      </c>
      <c r="F18" s="38">
        <f>ROUND((B18*'Uniform Rate Inc'!$F$15),2)</f>
        <v>36.97</v>
      </c>
      <c r="G18" s="32">
        <f>ROUND((C18*'Uniform Rate Inc'!$F$15),2)</f>
        <v>5.18</v>
      </c>
      <c r="H18" s="32">
        <f>ROUND((D18*'Uniform Rate Inc'!$F$15),2)</f>
        <v>3.59</v>
      </c>
      <c r="I18" s="38">
        <f t="shared" si="0"/>
        <v>45.739999999999995</v>
      </c>
    </row>
    <row r="19" spans="1:9" x14ac:dyDescent="0.25">
      <c r="A19" s="31" t="s">
        <v>87</v>
      </c>
      <c r="B19" s="32">
        <v>19.66</v>
      </c>
      <c r="C19" s="32">
        <v>3.26</v>
      </c>
      <c r="D19" s="32">
        <v>2.54</v>
      </c>
      <c r="E19" s="38">
        <v>25.46</v>
      </c>
      <c r="F19" s="38">
        <f>ROUND((B19*'Uniform Rate Inc'!$F$15),2)</f>
        <v>31.22</v>
      </c>
      <c r="G19" s="32">
        <f>ROUND((C19*'Uniform Rate Inc'!$F$15),2)</f>
        <v>5.18</v>
      </c>
      <c r="H19" s="32">
        <f>ROUND((D19*'Uniform Rate Inc'!$F$15),2)</f>
        <v>4.03</v>
      </c>
      <c r="I19" s="38">
        <f t="shared" si="0"/>
        <v>40.43</v>
      </c>
    </row>
    <row r="20" spans="1:9" x14ac:dyDescent="0.25">
      <c r="A20" s="31" t="s">
        <v>88</v>
      </c>
      <c r="B20" s="32">
        <v>8.48</v>
      </c>
      <c r="C20" s="32">
        <v>3.69</v>
      </c>
      <c r="D20" s="32">
        <v>2.19</v>
      </c>
      <c r="E20" s="38">
        <v>14.36</v>
      </c>
      <c r="F20" s="38">
        <f>ROUND((B20*'Uniform Rate Inc'!$F$15),2)</f>
        <v>13.47</v>
      </c>
      <c r="G20" s="32">
        <f>ROUND((C20*'Uniform Rate Inc'!$F$15),2)</f>
        <v>5.86</v>
      </c>
      <c r="H20" s="32">
        <f>ROUND((D20*'Uniform Rate Inc'!$F$15),2)</f>
        <v>3.48</v>
      </c>
      <c r="I20" s="38">
        <f t="shared" si="0"/>
        <v>22.810000000000002</v>
      </c>
    </row>
    <row r="21" spans="1:9" x14ac:dyDescent="0.25">
      <c r="A21" s="31" t="s">
        <v>89</v>
      </c>
      <c r="B21" s="32">
        <v>10.08</v>
      </c>
      <c r="C21" s="32">
        <v>4.59</v>
      </c>
      <c r="D21" s="32">
        <v>2.89</v>
      </c>
      <c r="E21" s="38">
        <v>17.559999999999999</v>
      </c>
      <c r="F21" s="38">
        <f>ROUND((B21*'Uniform Rate Inc'!$F$15),2)</f>
        <v>16.010000000000002</v>
      </c>
      <c r="G21" s="32">
        <f>ROUND((C21*'Uniform Rate Inc'!$F$15),2)</f>
        <v>7.29</v>
      </c>
      <c r="H21" s="32">
        <f>ROUND((D21*'Uniform Rate Inc'!$F$15),2)</f>
        <v>4.59</v>
      </c>
      <c r="I21" s="38">
        <f t="shared" si="0"/>
        <v>27.89</v>
      </c>
    </row>
    <row r="22" spans="1:9" x14ac:dyDescent="0.25">
      <c r="A22" s="31" t="s">
        <v>90</v>
      </c>
      <c r="B22" s="32">
        <v>9.86</v>
      </c>
      <c r="C22" s="32">
        <v>4.59</v>
      </c>
      <c r="D22" s="32">
        <v>2.1</v>
      </c>
      <c r="E22" s="38">
        <v>16.55</v>
      </c>
      <c r="F22" s="38">
        <f>ROUND((B22*'Uniform Rate Inc'!$F$15),2)</f>
        <v>15.66</v>
      </c>
      <c r="G22" s="32">
        <f>ROUND((C22*'Uniform Rate Inc'!$F$15),2)</f>
        <v>7.29</v>
      </c>
      <c r="H22" s="32">
        <f>ROUND((D22*'Uniform Rate Inc'!$F$15),2)</f>
        <v>3.34</v>
      </c>
      <c r="I22" s="38">
        <f t="shared" si="0"/>
        <v>26.29</v>
      </c>
    </row>
    <row r="23" spans="1:9" x14ac:dyDescent="0.25">
      <c r="A23" s="31" t="s">
        <v>91</v>
      </c>
      <c r="B23" s="32">
        <v>20.93</v>
      </c>
      <c r="C23" s="32">
        <v>4.59</v>
      </c>
      <c r="D23" s="32">
        <v>2.84</v>
      </c>
      <c r="E23" s="38">
        <v>28.36</v>
      </c>
      <c r="F23" s="38">
        <f>ROUND((B23*'Uniform Rate Inc'!$F$15),2)</f>
        <v>33.24</v>
      </c>
      <c r="G23" s="32">
        <f>ROUND((C23*'Uniform Rate Inc'!$F$15),2)</f>
        <v>7.29</v>
      </c>
      <c r="H23" s="32">
        <f>ROUND((D23*'Uniform Rate Inc'!$F$15),2)</f>
        <v>4.51</v>
      </c>
      <c r="I23" s="38">
        <f t="shared" si="0"/>
        <v>45.04</v>
      </c>
    </row>
    <row r="24" spans="1:9" x14ac:dyDescent="0.25">
      <c r="A24" s="31" t="s">
        <v>92</v>
      </c>
      <c r="B24" s="32">
        <v>9.41</v>
      </c>
      <c r="C24" s="32">
        <v>7.4</v>
      </c>
      <c r="D24" s="32">
        <v>2.4</v>
      </c>
      <c r="E24" s="38">
        <v>19.21</v>
      </c>
      <c r="F24" s="38">
        <f>ROUND((B24*'Uniform Rate Inc'!$F$15),2)</f>
        <v>14.95</v>
      </c>
      <c r="G24" s="32">
        <f>ROUND((C24*'Uniform Rate Inc'!$F$15),2)</f>
        <v>11.75</v>
      </c>
      <c r="H24" s="32">
        <f>ROUND((D24*'Uniform Rate Inc'!$F$15),2)</f>
        <v>3.81</v>
      </c>
      <c r="I24" s="38">
        <f t="shared" si="0"/>
        <v>30.509999999999998</v>
      </c>
    </row>
    <row r="25" spans="1:9" x14ac:dyDescent="0.25">
      <c r="A25" s="31" t="s">
        <v>93</v>
      </c>
      <c r="B25" s="32">
        <v>15.47</v>
      </c>
      <c r="C25" s="32">
        <v>7.4</v>
      </c>
      <c r="D25" s="32">
        <v>1.97</v>
      </c>
      <c r="E25" s="38">
        <v>24.84</v>
      </c>
      <c r="F25" s="38">
        <f>ROUND((B25*'Uniform Rate Inc'!$F$15),2)</f>
        <v>24.57</v>
      </c>
      <c r="G25" s="32">
        <f>ROUND((C25*'Uniform Rate Inc'!$F$15),2)</f>
        <v>11.75</v>
      </c>
      <c r="H25" s="32">
        <f>ROUND((D25*'Uniform Rate Inc'!$F$15),2)</f>
        <v>3.13</v>
      </c>
      <c r="I25" s="38">
        <f t="shared" si="0"/>
        <v>39.450000000000003</v>
      </c>
    </row>
    <row r="26" spans="1:9" x14ac:dyDescent="0.25">
      <c r="A26" s="31" t="s">
        <v>94</v>
      </c>
      <c r="B26" s="32">
        <v>10.5</v>
      </c>
      <c r="C26" s="32">
        <v>7.4</v>
      </c>
      <c r="D26" s="32">
        <v>1.92</v>
      </c>
      <c r="E26" s="38">
        <v>19.82</v>
      </c>
      <c r="F26" s="38">
        <f>ROUND((B26*'Uniform Rate Inc'!$F$15),2)</f>
        <v>16.68</v>
      </c>
      <c r="G26" s="32">
        <f>ROUND((C26*'Uniform Rate Inc'!$F$15),2)</f>
        <v>11.75</v>
      </c>
      <c r="H26" s="32">
        <f>ROUND((D26*'Uniform Rate Inc'!$F$15),2)</f>
        <v>3.05</v>
      </c>
      <c r="I26" s="38">
        <f t="shared" si="0"/>
        <v>31.48</v>
      </c>
    </row>
    <row r="27" spans="1:9" x14ac:dyDescent="0.25">
      <c r="A27" s="31" t="s">
        <v>95</v>
      </c>
      <c r="B27" s="32">
        <v>16.09</v>
      </c>
      <c r="C27" s="34">
        <v>0</v>
      </c>
      <c r="D27" s="34">
        <v>0</v>
      </c>
      <c r="E27" s="38">
        <v>16.09</v>
      </c>
      <c r="F27" s="38">
        <f>ROUND((B27*'Uniform Rate Inc'!$F$15),2)</f>
        <v>25.55</v>
      </c>
      <c r="G27" s="32">
        <v>0</v>
      </c>
      <c r="H27" s="32">
        <v>0</v>
      </c>
      <c r="I27" s="38">
        <f t="shared" si="0"/>
        <v>25.55</v>
      </c>
    </row>
    <row r="28" spans="1:9" x14ac:dyDescent="0.25">
      <c r="A28" s="31" t="s">
        <v>96</v>
      </c>
      <c r="B28" s="32">
        <v>12.26</v>
      </c>
      <c r="C28" s="34">
        <v>0</v>
      </c>
      <c r="D28" s="34">
        <v>0</v>
      </c>
      <c r="E28" s="38">
        <v>12.26</v>
      </c>
      <c r="F28" s="38">
        <f>ROUND((B28*'Uniform Rate Inc'!$F$15),2)</f>
        <v>19.47</v>
      </c>
      <c r="G28" s="32">
        <v>0</v>
      </c>
      <c r="H28" s="32">
        <v>0</v>
      </c>
      <c r="I28" s="38">
        <f t="shared" si="0"/>
        <v>19.47</v>
      </c>
    </row>
    <row r="29" spans="1:9" x14ac:dyDescent="0.25">
      <c r="A29" s="31" t="s">
        <v>97</v>
      </c>
      <c r="B29" s="32">
        <v>8.65</v>
      </c>
      <c r="C29" s="34">
        <v>0</v>
      </c>
      <c r="D29" s="34">
        <v>0</v>
      </c>
      <c r="E29" s="38">
        <v>8.65</v>
      </c>
      <c r="F29" s="38">
        <f>ROUND((B29*'Uniform Rate Inc'!$F$15),2)</f>
        <v>13.74</v>
      </c>
      <c r="G29" s="32">
        <v>0</v>
      </c>
      <c r="H29" s="32">
        <v>0</v>
      </c>
      <c r="I29" s="38">
        <f t="shared" si="0"/>
        <v>13.74</v>
      </c>
    </row>
    <row r="30" spans="1:9" x14ac:dyDescent="0.25">
      <c r="A30" s="31" t="s">
        <v>98</v>
      </c>
      <c r="B30" s="32">
        <v>14.23</v>
      </c>
      <c r="C30" s="34">
        <v>0</v>
      </c>
      <c r="D30" s="34">
        <v>0</v>
      </c>
      <c r="E30" s="38">
        <v>14.23</v>
      </c>
      <c r="F30" s="38">
        <f>ROUND((B30*'Uniform Rate Inc'!$F$15),2)</f>
        <v>22.6</v>
      </c>
      <c r="G30" s="32">
        <v>0</v>
      </c>
      <c r="H30" s="32">
        <v>0</v>
      </c>
      <c r="I30" s="38">
        <f t="shared" si="0"/>
        <v>22.6</v>
      </c>
    </row>
    <row r="31" spans="1:9" x14ac:dyDescent="0.25">
      <c r="A31" s="31" t="s">
        <v>99</v>
      </c>
      <c r="B31" s="32">
        <v>4.6399999999999997</v>
      </c>
      <c r="C31" s="34">
        <v>0</v>
      </c>
      <c r="D31" s="34">
        <v>0</v>
      </c>
      <c r="E31" s="38">
        <v>4.6399999999999997</v>
      </c>
      <c r="F31" s="38">
        <f>ROUND((B31*'Uniform Rate Inc'!$F$15),2)</f>
        <v>7.37</v>
      </c>
      <c r="G31" s="32">
        <v>0</v>
      </c>
      <c r="H31" s="32">
        <v>0</v>
      </c>
      <c r="I31" s="38">
        <f t="shared" si="0"/>
        <v>7.37</v>
      </c>
    </row>
    <row r="32" spans="1:9" x14ac:dyDescent="0.25">
      <c r="A32" s="31" t="s">
        <v>100</v>
      </c>
      <c r="B32" s="32">
        <v>13.72</v>
      </c>
      <c r="C32" s="34">
        <v>0</v>
      </c>
      <c r="D32" s="34">
        <v>0</v>
      </c>
      <c r="E32" s="38">
        <v>13.72</v>
      </c>
      <c r="F32" s="38">
        <f>ROUND((B32*'Uniform Rate Inc'!$F$15),2)</f>
        <v>21.79</v>
      </c>
      <c r="G32" s="32">
        <v>0</v>
      </c>
      <c r="H32" s="32">
        <v>0</v>
      </c>
      <c r="I32" s="38">
        <f t="shared" si="0"/>
        <v>21.79</v>
      </c>
    </row>
    <row r="33" spans="1:9" x14ac:dyDescent="0.25">
      <c r="A33" s="31" t="s">
        <v>101</v>
      </c>
      <c r="B33" s="32">
        <v>9.2899999999999991</v>
      </c>
      <c r="C33" s="34">
        <v>0</v>
      </c>
      <c r="D33" s="34">
        <v>0</v>
      </c>
      <c r="E33" s="38">
        <v>9.2899999999999991</v>
      </c>
      <c r="F33" s="38">
        <f>ROUND((B33*'Uniform Rate Inc'!$F$15),2)</f>
        <v>14.75</v>
      </c>
      <c r="G33" s="32">
        <v>0</v>
      </c>
      <c r="H33" s="32">
        <v>0</v>
      </c>
      <c r="I33" s="38">
        <f t="shared" si="0"/>
        <v>14.75</v>
      </c>
    </row>
    <row r="34" spans="1:9" x14ac:dyDescent="0.25">
      <c r="A34" s="31" t="s">
        <v>72</v>
      </c>
      <c r="B34" s="32">
        <v>4.18</v>
      </c>
      <c r="C34" s="34">
        <v>0</v>
      </c>
      <c r="D34" s="34">
        <v>0</v>
      </c>
      <c r="E34" s="38">
        <v>4.18</v>
      </c>
      <c r="F34" s="38">
        <f>ROUND((B34*'Uniform Rate Inc'!$F$15),2)</f>
        <v>6.64</v>
      </c>
      <c r="G34" s="32">
        <v>0</v>
      </c>
      <c r="H34" s="32">
        <v>0</v>
      </c>
      <c r="I34" s="38">
        <f t="shared" si="0"/>
        <v>6.64</v>
      </c>
    </row>
    <row r="35" spans="1:9" x14ac:dyDescent="0.25">
      <c r="A35" s="31" t="s">
        <v>102</v>
      </c>
      <c r="B35" s="32">
        <v>1.21</v>
      </c>
      <c r="C35" s="32">
        <v>3.2</v>
      </c>
      <c r="D35" s="32">
        <v>1.07</v>
      </c>
      <c r="E35" s="38">
        <v>5.48</v>
      </c>
      <c r="F35" s="38">
        <f>ROUND((B35*'Uniform Rate Inc'!$F$15),2)</f>
        <v>1.92</v>
      </c>
      <c r="G35" s="32">
        <f>ROUND((C35*'Uniform Rate Inc'!$F$15),2)</f>
        <v>5.08</v>
      </c>
      <c r="H35" s="32">
        <f>ROUND((D35*'Uniform Rate Inc'!$F$15),2)</f>
        <v>1.7</v>
      </c>
      <c r="I35" s="38">
        <f t="shared" si="0"/>
        <v>8.6999999999999993</v>
      </c>
    </row>
    <row r="36" spans="1:9" x14ac:dyDescent="0.25">
      <c r="A36" s="31" t="s">
        <v>103</v>
      </c>
      <c r="B36" s="32">
        <v>1.33</v>
      </c>
      <c r="C36" s="32">
        <v>6.89</v>
      </c>
      <c r="D36" s="32">
        <v>1.1499999999999999</v>
      </c>
      <c r="E36" s="38">
        <v>9.3699999999999992</v>
      </c>
      <c r="F36" s="38">
        <f>ROUND((B36*'Uniform Rate Inc'!$F$15),2)</f>
        <v>2.11</v>
      </c>
      <c r="G36" s="32">
        <f>ROUND((C36*'Uniform Rate Inc'!$F$15),2)</f>
        <v>10.94</v>
      </c>
      <c r="H36" s="32">
        <f>ROUND((D36*'Uniform Rate Inc'!$F$15),2)</f>
        <v>1.83</v>
      </c>
      <c r="I36" s="38">
        <f t="shared" si="0"/>
        <v>14.879999999999999</v>
      </c>
    </row>
    <row r="38" spans="1:9" x14ac:dyDescent="0.25">
      <c r="A38" s="31"/>
    </row>
  </sheetData>
  <pageMargins left="0.7" right="0.7" top="0.75" bottom="0.75" header="0.3" footer="0.3"/>
  <pageSetup scale="93"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F69"/>
  <sheetViews>
    <sheetView topLeftCell="A22" workbookViewId="0">
      <selection activeCell="D30" sqref="D30"/>
    </sheetView>
  </sheetViews>
  <sheetFormatPr defaultRowHeight="15" x14ac:dyDescent="0.25"/>
  <cols>
    <col min="1" max="1" width="9.140625" style="228"/>
    <col min="2" max="2" width="63.42578125" style="228" customWidth="1"/>
    <col min="3" max="4" width="17.85546875" style="228" customWidth="1"/>
    <col min="5" max="5" width="17.5703125" style="228" customWidth="1"/>
    <col min="6" max="16384" width="9.140625" style="228"/>
  </cols>
  <sheetData>
    <row r="1" spans="1:6" ht="18" x14ac:dyDescent="0.25">
      <c r="A1" s="386" t="s">
        <v>0</v>
      </c>
      <c r="D1" s="352" t="s">
        <v>522</v>
      </c>
    </row>
    <row r="2" spans="1:6" ht="18.75" thickBot="1" x14ac:dyDescent="0.3">
      <c r="A2" s="386" t="s">
        <v>484</v>
      </c>
      <c r="D2" s="353" t="s">
        <v>298</v>
      </c>
      <c r="E2" s="422" t="str">
        <f>'A-1 Estimated Revenue Req.'!$E$1</f>
        <v>20190156-EI</v>
      </c>
    </row>
    <row r="3" spans="1:6" x14ac:dyDescent="0.25">
      <c r="A3" s="423"/>
      <c r="B3" s="354"/>
      <c r="C3" s="424"/>
      <c r="D3" s="354"/>
      <c r="E3" s="425" t="s">
        <v>361</v>
      </c>
    </row>
    <row r="4" spans="1:6" x14ac:dyDescent="0.25">
      <c r="A4" s="402" t="s">
        <v>131</v>
      </c>
      <c r="B4" s="355"/>
      <c r="C4" s="273"/>
      <c r="D4" s="355"/>
      <c r="E4" s="400" t="s">
        <v>362</v>
      </c>
    </row>
    <row r="5" spans="1:6" ht="15.75" thickBot="1" x14ac:dyDescent="0.3">
      <c r="A5" s="426" t="s">
        <v>141</v>
      </c>
      <c r="B5" s="356" t="s">
        <v>270</v>
      </c>
      <c r="C5" s="427" t="s">
        <v>360</v>
      </c>
      <c r="D5" s="356" t="s">
        <v>7</v>
      </c>
      <c r="E5" s="428" t="s">
        <v>1</v>
      </c>
    </row>
    <row r="6" spans="1:6" x14ac:dyDescent="0.25">
      <c r="A6" s="228">
        <v>1</v>
      </c>
      <c r="B6" s="429" t="s">
        <v>363</v>
      </c>
      <c r="E6" s="273" t="s">
        <v>364</v>
      </c>
      <c r="F6" s="228" t="s">
        <v>365</v>
      </c>
    </row>
    <row r="8" spans="1:6" x14ac:dyDescent="0.25">
      <c r="A8" s="228">
        <v>2</v>
      </c>
      <c r="B8" s="429" t="s">
        <v>373</v>
      </c>
    </row>
    <row r="9" spans="1:6" x14ac:dyDescent="0.25">
      <c r="A9" s="228">
        <v>3</v>
      </c>
      <c r="B9" s="228" t="s">
        <v>367</v>
      </c>
      <c r="D9" s="357">
        <v>609196.05000000005</v>
      </c>
    </row>
    <row r="10" spans="1:6" x14ac:dyDescent="0.25">
      <c r="A10" s="228">
        <v>4</v>
      </c>
      <c r="B10" s="228" t="s">
        <v>368</v>
      </c>
      <c r="D10" s="357">
        <v>490432.89</v>
      </c>
    </row>
    <row r="11" spans="1:6" x14ac:dyDescent="0.25">
      <c r="A11" s="228">
        <v>5</v>
      </c>
      <c r="B11" s="228" t="s">
        <v>385</v>
      </c>
      <c r="D11" s="357">
        <v>371902.39999999997</v>
      </c>
    </row>
    <row r="12" spans="1:6" x14ac:dyDescent="0.25">
      <c r="A12" s="228">
        <v>6</v>
      </c>
      <c r="B12" s="228" t="s">
        <v>513</v>
      </c>
      <c r="D12" s="357">
        <v>46026.86</v>
      </c>
    </row>
    <row r="13" spans="1:6" x14ac:dyDescent="0.25">
      <c r="A13" s="228">
        <v>7</v>
      </c>
      <c r="B13" s="228" t="s">
        <v>369</v>
      </c>
      <c r="D13" s="357">
        <v>77555.38</v>
      </c>
    </row>
    <row r="14" spans="1:6" x14ac:dyDescent="0.25">
      <c r="A14" s="228">
        <v>8</v>
      </c>
      <c r="B14" s="228" t="s">
        <v>370</v>
      </c>
      <c r="D14" s="357">
        <v>57147168.930000015</v>
      </c>
    </row>
    <row r="15" spans="1:6" x14ac:dyDescent="0.25">
      <c r="A15" s="228">
        <v>9</v>
      </c>
      <c r="B15" s="228" t="s">
        <v>387</v>
      </c>
      <c r="D15" s="357">
        <v>1754780.3599999996</v>
      </c>
    </row>
    <row r="16" spans="1:6" x14ac:dyDescent="0.25">
      <c r="A16" s="228">
        <v>10</v>
      </c>
      <c r="B16" s="228" t="s">
        <v>388</v>
      </c>
      <c r="D16" s="357">
        <v>1475235.1800000002</v>
      </c>
    </row>
    <row r="17" spans="1:6" x14ac:dyDescent="0.25">
      <c r="A17" s="228">
        <v>11</v>
      </c>
      <c r="B17" s="228" t="s">
        <v>390</v>
      </c>
      <c r="D17" s="357">
        <v>232333.59</v>
      </c>
    </row>
    <row r="18" spans="1:6" x14ac:dyDescent="0.25">
      <c r="A18" s="228">
        <v>12</v>
      </c>
      <c r="B18" s="228" t="s">
        <v>386</v>
      </c>
      <c r="D18" s="357">
        <v>4813193.209999999</v>
      </c>
    </row>
    <row r="19" spans="1:6" x14ac:dyDescent="0.25">
      <c r="A19" s="228">
        <v>13</v>
      </c>
      <c r="B19" s="228" t="s">
        <v>389</v>
      </c>
      <c r="D19" s="357">
        <v>26516.46</v>
      </c>
    </row>
    <row r="20" spans="1:6" x14ac:dyDescent="0.25">
      <c r="A20" s="228">
        <v>14</v>
      </c>
      <c r="B20" s="228" t="s">
        <v>371</v>
      </c>
      <c r="D20" s="357">
        <v>120320.81</v>
      </c>
    </row>
    <row r="21" spans="1:6" x14ac:dyDescent="0.25">
      <c r="A21" s="228">
        <v>15</v>
      </c>
      <c r="B21" s="228" t="s">
        <v>130</v>
      </c>
      <c r="D21" s="357">
        <v>165297.18</v>
      </c>
    </row>
    <row r="22" spans="1:6" x14ac:dyDescent="0.25">
      <c r="A22" s="228">
        <v>16</v>
      </c>
      <c r="B22" s="429" t="s">
        <v>372</v>
      </c>
      <c r="C22" s="228" t="s">
        <v>396</v>
      </c>
      <c r="D22" s="358">
        <f>SUM(D9:D21)</f>
        <v>67329959.300000027</v>
      </c>
    </row>
    <row r="23" spans="1:6" x14ac:dyDescent="0.25">
      <c r="D23" s="357"/>
    </row>
    <row r="24" spans="1:6" x14ac:dyDescent="0.25">
      <c r="A24" s="228">
        <v>17</v>
      </c>
      <c r="B24" s="429" t="s">
        <v>374</v>
      </c>
      <c r="D24" s="357"/>
    </row>
    <row r="25" spans="1:6" x14ac:dyDescent="0.25">
      <c r="A25" s="228">
        <v>18</v>
      </c>
      <c r="B25" s="228" t="s">
        <v>367</v>
      </c>
      <c r="D25" s="357">
        <v>-113316</v>
      </c>
      <c r="F25" s="228" t="s">
        <v>398</v>
      </c>
    </row>
    <row r="26" spans="1:6" x14ac:dyDescent="0.25">
      <c r="A26" s="228">
        <v>19</v>
      </c>
      <c r="B26" s="228" t="s">
        <v>368</v>
      </c>
      <c r="D26" s="357">
        <v>-11827</v>
      </c>
    </row>
    <row r="27" spans="1:6" x14ac:dyDescent="0.25">
      <c r="A27" s="228">
        <v>20</v>
      </c>
      <c r="B27" s="228" t="s">
        <v>385</v>
      </c>
      <c r="D27" s="357">
        <f>-60039</f>
        <v>-60039</v>
      </c>
    </row>
    <row r="28" spans="1:6" x14ac:dyDescent="0.25">
      <c r="A28" s="228">
        <v>21</v>
      </c>
      <c r="B28" s="429" t="s">
        <v>375</v>
      </c>
      <c r="C28" s="228" t="s">
        <v>397</v>
      </c>
      <c r="D28" s="358">
        <f>SUM(D25:D27)</f>
        <v>-185182</v>
      </c>
    </row>
    <row r="29" spans="1:6" x14ac:dyDescent="0.25">
      <c r="D29" s="357"/>
    </row>
    <row r="30" spans="1:6" x14ac:dyDescent="0.25">
      <c r="A30" s="228">
        <v>22</v>
      </c>
      <c r="B30" s="228" t="s">
        <v>475</v>
      </c>
      <c r="D30" s="357">
        <v>-27398298.48</v>
      </c>
    </row>
    <row r="31" spans="1:6" x14ac:dyDescent="0.25">
      <c r="D31" s="357"/>
    </row>
    <row r="32" spans="1:6" x14ac:dyDescent="0.25">
      <c r="A32" s="228">
        <v>23</v>
      </c>
      <c r="B32" s="429" t="s">
        <v>376</v>
      </c>
      <c r="C32" s="228" t="s">
        <v>391</v>
      </c>
      <c r="D32" s="358">
        <f>D22+D28+D30</f>
        <v>39746478.820000023</v>
      </c>
    </row>
    <row r="34" spans="1:5" x14ac:dyDescent="0.25">
      <c r="A34" s="228">
        <v>24</v>
      </c>
      <c r="B34" s="228" t="s">
        <v>377</v>
      </c>
      <c r="D34" s="359">
        <v>1</v>
      </c>
    </row>
    <row r="36" spans="1:5" x14ac:dyDescent="0.25">
      <c r="A36" s="228">
        <v>25</v>
      </c>
      <c r="B36" s="429" t="s">
        <v>378</v>
      </c>
      <c r="C36" s="228" t="s">
        <v>392</v>
      </c>
      <c r="D36" s="358">
        <f>D32*D34</f>
        <v>39746478.820000023</v>
      </c>
      <c r="E36" s="395">
        <f>D36</f>
        <v>39746478.820000023</v>
      </c>
    </row>
    <row r="37" spans="1:5" x14ac:dyDescent="0.25">
      <c r="E37" s="357"/>
    </row>
    <row r="38" spans="1:5" x14ac:dyDescent="0.25">
      <c r="A38" s="228">
        <v>26</v>
      </c>
      <c r="B38" s="429" t="s">
        <v>379</v>
      </c>
      <c r="C38" s="228" t="s">
        <v>393</v>
      </c>
      <c r="E38" s="358">
        <f>D36+D6</f>
        <v>39746478.820000023</v>
      </c>
    </row>
    <row r="39" spans="1:5" x14ac:dyDescent="0.25">
      <c r="B39" s="429"/>
      <c r="E39" s="357"/>
    </row>
    <row r="40" spans="1:5" x14ac:dyDescent="0.25">
      <c r="A40" s="228">
        <v>27</v>
      </c>
      <c r="B40" s="430" t="s">
        <v>380</v>
      </c>
      <c r="E40" s="357"/>
    </row>
    <row r="41" spans="1:5" x14ac:dyDescent="0.25">
      <c r="B41" s="429"/>
      <c r="E41" s="357"/>
    </row>
    <row r="42" spans="1:5" x14ac:dyDescent="0.25">
      <c r="A42" s="228">
        <v>28</v>
      </c>
      <c r="B42" s="429" t="s">
        <v>381</v>
      </c>
      <c r="C42" s="228" t="s">
        <v>394</v>
      </c>
      <c r="E42" s="358">
        <f>E38+E40</f>
        <v>39746478.820000023</v>
      </c>
    </row>
    <row r="43" spans="1:5" x14ac:dyDescent="0.25">
      <c r="B43" s="429"/>
      <c r="E43" s="357"/>
    </row>
    <row r="44" spans="1:5" x14ac:dyDescent="0.25">
      <c r="A44" s="228">
        <v>29</v>
      </c>
      <c r="B44" s="430" t="s">
        <v>382</v>
      </c>
      <c r="E44" s="357">
        <v>1591279.08</v>
      </c>
    </row>
    <row r="45" spans="1:5" x14ac:dyDescent="0.25">
      <c r="B45" s="429"/>
      <c r="E45" s="357"/>
    </row>
    <row r="46" spans="1:5" x14ac:dyDescent="0.25">
      <c r="A46" s="228">
        <v>30</v>
      </c>
      <c r="B46" s="228" t="s">
        <v>383</v>
      </c>
      <c r="E46" s="357"/>
    </row>
    <row r="48" spans="1:5" x14ac:dyDescent="0.25">
      <c r="A48" s="228">
        <v>31</v>
      </c>
      <c r="B48" s="429" t="s">
        <v>384</v>
      </c>
      <c r="C48" s="228" t="s">
        <v>395</v>
      </c>
      <c r="E48" s="358">
        <f>E42+E44+E46</f>
        <v>41337757.900000021</v>
      </c>
    </row>
    <row r="50" spans="1:5" x14ac:dyDescent="0.25">
      <c r="A50" s="228" t="s">
        <v>365</v>
      </c>
      <c r="B50" s="228" t="s">
        <v>366</v>
      </c>
    </row>
    <row r="51" spans="1:5" x14ac:dyDescent="0.25">
      <c r="A51" s="228" t="s">
        <v>398</v>
      </c>
      <c r="B51" s="228" t="s">
        <v>399</v>
      </c>
    </row>
    <row r="52" spans="1:5" x14ac:dyDescent="0.25">
      <c r="B52" s="228" t="s">
        <v>473</v>
      </c>
    </row>
    <row r="53" spans="1:5" x14ac:dyDescent="0.25">
      <c r="B53" s="228" t="s">
        <v>474</v>
      </c>
    </row>
    <row r="54" spans="1:5" x14ac:dyDescent="0.25">
      <c r="A54" s="429" t="s">
        <v>439</v>
      </c>
    </row>
    <row r="55" spans="1:5" x14ac:dyDescent="0.25">
      <c r="A55" s="228" t="s">
        <v>306</v>
      </c>
      <c r="E55" s="395">
        <f>E48</f>
        <v>41337757.900000021</v>
      </c>
    </row>
    <row r="56" spans="1:5" x14ac:dyDescent="0.25">
      <c r="A56" s="228" t="s">
        <v>307</v>
      </c>
      <c r="E56" s="395">
        <f>E55-($E$48/10/12)</f>
        <v>40993276.584166691</v>
      </c>
    </row>
    <row r="57" spans="1:5" x14ac:dyDescent="0.25">
      <c r="A57" s="228" t="s">
        <v>308</v>
      </c>
      <c r="E57" s="395">
        <f t="shared" ref="E57:E67" si="0">E56-($E$48/10/12)</f>
        <v>40648795.268333361</v>
      </c>
    </row>
    <row r="58" spans="1:5" x14ac:dyDescent="0.25">
      <c r="A58" s="228" t="s">
        <v>309</v>
      </c>
      <c r="E58" s="395">
        <f t="shared" si="0"/>
        <v>40304313.95250003</v>
      </c>
    </row>
    <row r="59" spans="1:5" x14ac:dyDescent="0.25">
      <c r="A59" s="228" t="s">
        <v>310</v>
      </c>
      <c r="E59" s="395">
        <f t="shared" si="0"/>
        <v>39959832.6366667</v>
      </c>
    </row>
    <row r="60" spans="1:5" x14ac:dyDescent="0.25">
      <c r="A60" s="228" t="s">
        <v>2</v>
      </c>
      <c r="E60" s="395">
        <f t="shared" si="0"/>
        <v>39615351.32083337</v>
      </c>
    </row>
    <row r="61" spans="1:5" x14ac:dyDescent="0.25">
      <c r="A61" s="228" t="s">
        <v>311</v>
      </c>
      <c r="E61" s="395">
        <f t="shared" si="0"/>
        <v>39270870.00500004</v>
      </c>
    </row>
    <row r="62" spans="1:5" x14ac:dyDescent="0.25">
      <c r="A62" s="228" t="s">
        <v>437</v>
      </c>
      <c r="E62" s="395">
        <f t="shared" si="0"/>
        <v>38926388.68916671</v>
      </c>
    </row>
    <row r="63" spans="1:5" x14ac:dyDescent="0.25">
      <c r="A63" s="228" t="s">
        <v>313</v>
      </c>
      <c r="E63" s="395">
        <f t="shared" si="0"/>
        <v>38581907.37333338</v>
      </c>
    </row>
    <row r="64" spans="1:5" x14ac:dyDescent="0.25">
      <c r="A64" s="228" t="s">
        <v>314</v>
      </c>
      <c r="E64" s="395">
        <f t="shared" si="0"/>
        <v>38237426.057500049</v>
      </c>
    </row>
    <row r="65" spans="1:5" x14ac:dyDescent="0.25">
      <c r="A65" s="228" t="s">
        <v>315</v>
      </c>
      <c r="E65" s="395">
        <f t="shared" si="0"/>
        <v>37892944.741666719</v>
      </c>
    </row>
    <row r="66" spans="1:5" x14ac:dyDescent="0.25">
      <c r="A66" s="228" t="s">
        <v>316</v>
      </c>
      <c r="E66" s="395">
        <f t="shared" si="0"/>
        <v>37548463.425833389</v>
      </c>
    </row>
    <row r="67" spans="1:5" x14ac:dyDescent="0.25">
      <c r="A67" s="228" t="s">
        <v>306</v>
      </c>
      <c r="E67" s="395">
        <f t="shared" si="0"/>
        <v>37203982.110000059</v>
      </c>
    </row>
    <row r="68" spans="1:5" ht="15.75" thickBot="1" x14ac:dyDescent="0.3">
      <c r="A68" s="228" t="s">
        <v>438</v>
      </c>
      <c r="E68" s="406">
        <f>SUM(E55:E67)/13</f>
        <v>39270870.005000047</v>
      </c>
    </row>
    <row r="69" spans="1:5" ht="15.75" thickTop="1" x14ac:dyDescent="0.25"/>
  </sheetData>
  <pageMargins left="0.7" right="0.7" top="0.75" bottom="0.75" header="0.3" footer="0.3"/>
  <pageSetup scale="65"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31"/>
  <sheetViews>
    <sheetView topLeftCell="G25" workbookViewId="0">
      <selection activeCell="T43" sqref="T43"/>
    </sheetView>
  </sheetViews>
  <sheetFormatPr defaultRowHeight="15" x14ac:dyDescent="0.25"/>
  <cols>
    <col min="1" max="1" width="51.28515625" style="228" customWidth="1"/>
    <col min="2" max="2" width="3.5703125" style="228" customWidth="1"/>
    <col min="3" max="3" width="14.5703125" style="228" customWidth="1"/>
    <col min="4" max="4" width="14.85546875" style="228" bestFit="1" customWidth="1"/>
    <col min="5" max="5" width="13" style="228" customWidth="1"/>
    <col min="6" max="6" width="11.5703125" style="228" customWidth="1"/>
    <col min="7" max="7" width="13.5703125" style="228" customWidth="1"/>
    <col min="8" max="8" width="12.7109375" style="228" bestFit="1" customWidth="1"/>
    <col min="9" max="11" width="11.5703125" style="228" bestFit="1" customWidth="1"/>
    <col min="12" max="12" width="13.5703125" style="228" customWidth="1"/>
    <col min="13" max="13" width="11.42578125" style="228" customWidth="1"/>
    <col min="14" max="14" width="14" style="228" customWidth="1"/>
    <col min="15" max="15" width="14.5703125" style="228" customWidth="1"/>
    <col min="16" max="16" width="13.5703125" style="228" customWidth="1"/>
    <col min="17" max="17" width="10.28515625" style="228" bestFit="1" customWidth="1"/>
    <col min="18" max="16384" width="9.140625" style="228"/>
  </cols>
  <sheetData>
    <row r="1" spans="1:17" ht="18" x14ac:dyDescent="0.25">
      <c r="A1" s="386" t="s">
        <v>0</v>
      </c>
      <c r="M1" s="352" t="s">
        <v>517</v>
      </c>
    </row>
    <row r="2" spans="1:17" ht="18" x14ac:dyDescent="0.25">
      <c r="A2" s="386" t="s">
        <v>300</v>
      </c>
      <c r="M2" s="353" t="s">
        <v>298</v>
      </c>
      <c r="O2" s="353" t="str">
        <f>'A-1 Estimated Revenue Req.'!E1</f>
        <v>20190156-EI</v>
      </c>
    </row>
    <row r="3" spans="1:17" ht="18" x14ac:dyDescent="0.25">
      <c r="A3" s="386" t="s">
        <v>494</v>
      </c>
    </row>
    <row r="4" spans="1:17" ht="79.5" customHeight="1" x14ac:dyDescent="0.25">
      <c r="C4" s="387"/>
      <c r="D4" s="387" t="s">
        <v>400</v>
      </c>
      <c r="E4" s="387" t="s">
        <v>523</v>
      </c>
      <c r="F4" s="387" t="s">
        <v>524</v>
      </c>
      <c r="G4" s="387" t="s">
        <v>401</v>
      </c>
      <c r="H4" s="388"/>
      <c r="I4" s="388"/>
    </row>
    <row r="5" spans="1:17" x14ac:dyDescent="0.25">
      <c r="A5" s="228" t="s">
        <v>402</v>
      </c>
      <c r="D5" s="228">
        <v>14.69</v>
      </c>
      <c r="E5" s="389">
        <v>8730</v>
      </c>
      <c r="F5" s="389">
        <v>7991</v>
      </c>
      <c r="H5" s="290"/>
      <c r="I5" s="390"/>
      <c r="L5" s="391"/>
      <c r="N5" s="391"/>
      <c r="O5" s="392"/>
    </row>
    <row r="6" spans="1:17" x14ac:dyDescent="0.25">
      <c r="A6" s="228" t="s">
        <v>403</v>
      </c>
      <c r="D6" s="228">
        <v>24.14</v>
      </c>
      <c r="E6" s="389">
        <v>16589</v>
      </c>
      <c r="H6" s="290"/>
      <c r="I6" s="390"/>
    </row>
    <row r="7" spans="1:17" x14ac:dyDescent="0.25">
      <c r="A7" s="228" t="s">
        <v>404</v>
      </c>
      <c r="D7" s="228">
        <v>71.38</v>
      </c>
      <c r="E7" s="389">
        <v>269095</v>
      </c>
      <c r="G7" s="228">
        <v>891</v>
      </c>
      <c r="H7" s="290"/>
      <c r="I7" s="390"/>
    </row>
    <row r="8" spans="1:17" x14ac:dyDescent="0.25">
      <c r="A8" s="228" t="s">
        <v>552</v>
      </c>
      <c r="E8" s="389"/>
      <c r="H8" s="393">
        <f>Q20+Q24</f>
        <v>504448.08749286161</v>
      </c>
      <c r="I8" s="390"/>
    </row>
    <row r="9" spans="1:17" x14ac:dyDescent="0.25">
      <c r="A9" s="228" t="s">
        <v>436</v>
      </c>
      <c r="H9" s="394">
        <f>H8/5</f>
        <v>100889.61749857232</v>
      </c>
      <c r="I9" s="395"/>
    </row>
    <row r="10" spans="1:17" ht="15.75" thickBot="1" x14ac:dyDescent="0.3">
      <c r="H10" s="394"/>
      <c r="I10" s="395"/>
    </row>
    <row r="11" spans="1:17" x14ac:dyDescent="0.25">
      <c r="A11" s="396" t="s">
        <v>408</v>
      </c>
      <c r="B11" s="397"/>
      <c r="C11" s="397"/>
      <c r="D11" s="289" t="s">
        <v>316</v>
      </c>
      <c r="E11" s="289" t="s">
        <v>306</v>
      </c>
      <c r="F11" s="289" t="s">
        <v>307</v>
      </c>
      <c r="G11" s="289" t="s">
        <v>308</v>
      </c>
      <c r="H11" s="289" t="s">
        <v>309</v>
      </c>
      <c r="I11" s="289" t="s">
        <v>310</v>
      </c>
      <c r="J11" s="289" t="s">
        <v>2</v>
      </c>
      <c r="K11" s="289" t="s">
        <v>311</v>
      </c>
      <c r="L11" s="289" t="s">
        <v>312</v>
      </c>
      <c r="M11" s="289" t="s">
        <v>313</v>
      </c>
      <c r="N11" s="289" t="s">
        <v>314</v>
      </c>
      <c r="O11" s="289" t="s">
        <v>315</v>
      </c>
      <c r="P11" s="289" t="s">
        <v>316</v>
      </c>
      <c r="Q11" s="289" t="s">
        <v>306</v>
      </c>
    </row>
    <row r="12" spans="1:17" x14ac:dyDescent="0.25">
      <c r="A12" s="398" t="s">
        <v>550</v>
      </c>
      <c r="B12" s="399"/>
      <c r="C12" s="399"/>
      <c r="D12" s="273">
        <v>2018</v>
      </c>
      <c r="E12" s="273">
        <v>2018</v>
      </c>
      <c r="F12" s="273">
        <v>2019</v>
      </c>
      <c r="G12" s="273">
        <v>2019</v>
      </c>
      <c r="H12" s="273">
        <v>2019</v>
      </c>
      <c r="I12" s="273">
        <v>2019</v>
      </c>
      <c r="J12" s="273">
        <v>2019</v>
      </c>
      <c r="K12" s="273">
        <v>2019</v>
      </c>
      <c r="L12" s="273">
        <v>2019</v>
      </c>
      <c r="M12" s="273">
        <v>2019</v>
      </c>
      <c r="N12" s="273">
        <v>2019</v>
      </c>
      <c r="O12" s="273">
        <v>2019</v>
      </c>
      <c r="P12" s="273">
        <v>2019</v>
      </c>
      <c r="Q12" s="273">
        <v>2019</v>
      </c>
    </row>
    <row r="13" spans="1:17" x14ac:dyDescent="0.25">
      <c r="A13" s="228" t="s">
        <v>402</v>
      </c>
      <c r="B13" s="399"/>
      <c r="C13" s="399"/>
      <c r="D13" s="228">
        <v>552</v>
      </c>
      <c r="E13" s="228">
        <v>552</v>
      </c>
      <c r="F13" s="228">
        <v>552</v>
      </c>
      <c r="G13" s="228">
        <v>541</v>
      </c>
      <c r="H13" s="228">
        <v>516</v>
      </c>
      <c r="I13" s="228">
        <v>488</v>
      </c>
      <c r="J13" s="228">
        <v>468</v>
      </c>
      <c r="K13" s="228">
        <v>457</v>
      </c>
      <c r="L13" s="228">
        <v>438</v>
      </c>
      <c r="M13" s="228">
        <v>427</v>
      </c>
      <c r="N13" s="228">
        <v>405</v>
      </c>
      <c r="O13" s="228">
        <v>396</v>
      </c>
      <c r="P13" s="228">
        <v>388</v>
      </c>
      <c r="Q13" s="228">
        <v>380</v>
      </c>
    </row>
    <row r="14" spans="1:17" x14ac:dyDescent="0.25">
      <c r="A14" s="228" t="s">
        <v>403</v>
      </c>
      <c r="B14" s="399"/>
      <c r="C14" s="399"/>
      <c r="D14" s="228">
        <v>198</v>
      </c>
      <c r="E14" s="228">
        <v>198</v>
      </c>
      <c r="F14" s="228">
        <v>198</v>
      </c>
      <c r="G14" s="228">
        <v>194</v>
      </c>
      <c r="H14" s="228">
        <v>192</v>
      </c>
      <c r="I14" s="228">
        <v>183</v>
      </c>
      <c r="J14" s="228">
        <v>182</v>
      </c>
      <c r="K14" s="228">
        <v>180</v>
      </c>
      <c r="L14" s="228">
        <v>175</v>
      </c>
      <c r="M14" s="228">
        <v>174</v>
      </c>
      <c r="N14" s="228">
        <v>167</v>
      </c>
      <c r="O14" s="228">
        <v>165</v>
      </c>
      <c r="P14" s="228">
        <v>163</v>
      </c>
      <c r="Q14" s="228">
        <v>161</v>
      </c>
    </row>
    <row r="15" spans="1:17" x14ac:dyDescent="0.25">
      <c r="A15" s="228" t="s">
        <v>549</v>
      </c>
      <c r="B15" s="399"/>
      <c r="C15" s="399"/>
      <c r="D15" s="228">
        <v>12</v>
      </c>
      <c r="E15" s="228">
        <v>12</v>
      </c>
      <c r="F15" s="228">
        <v>12</v>
      </c>
      <c r="G15" s="228">
        <v>12</v>
      </c>
      <c r="H15" s="228">
        <v>10</v>
      </c>
      <c r="I15" s="228">
        <v>9</v>
      </c>
      <c r="J15" s="228">
        <v>9</v>
      </c>
      <c r="K15" s="228">
        <v>9</v>
      </c>
      <c r="L15" s="228">
        <v>9</v>
      </c>
      <c r="M15" s="228">
        <v>7</v>
      </c>
      <c r="N15" s="228">
        <v>5</v>
      </c>
      <c r="O15" s="228">
        <v>5</v>
      </c>
      <c r="P15" s="228">
        <v>5</v>
      </c>
      <c r="Q15" s="228">
        <v>5</v>
      </c>
    </row>
    <row r="16" spans="1:17" ht="15.75" thickBot="1" x14ac:dyDescent="0.3">
      <c r="A16" s="398"/>
      <c r="B16" s="399"/>
      <c r="C16" s="399"/>
      <c r="D16" s="401">
        <v>762</v>
      </c>
      <c r="E16" s="401">
        <v>762</v>
      </c>
      <c r="F16" s="401">
        <v>762</v>
      </c>
      <c r="G16" s="401">
        <v>747</v>
      </c>
      <c r="H16" s="401">
        <v>718</v>
      </c>
      <c r="I16" s="401">
        <v>680</v>
      </c>
      <c r="J16" s="401">
        <v>659</v>
      </c>
      <c r="K16" s="401">
        <v>646</v>
      </c>
      <c r="L16" s="401">
        <v>622</v>
      </c>
      <c r="M16" s="401">
        <v>608</v>
      </c>
      <c r="N16" s="401">
        <v>577</v>
      </c>
      <c r="O16" s="401">
        <v>566</v>
      </c>
      <c r="P16" s="401">
        <v>556</v>
      </c>
      <c r="Q16" s="401">
        <v>546</v>
      </c>
    </row>
    <row r="17" spans="1:17" ht="15.75" thickTop="1" x14ac:dyDescent="0.25">
      <c r="A17" s="402"/>
      <c r="B17" s="273"/>
      <c r="C17" s="289"/>
    </row>
    <row r="18" spans="1:17" x14ac:dyDescent="0.25">
      <c r="A18" s="402"/>
      <c r="B18" s="273"/>
      <c r="C18" s="273"/>
    </row>
    <row r="19" spans="1:17" ht="30.75" thickBot="1" x14ac:dyDescent="0.3">
      <c r="A19" s="403" t="s">
        <v>551</v>
      </c>
      <c r="B19" s="404"/>
      <c r="C19" s="405"/>
      <c r="D19" s="406">
        <v>39067.224742800005</v>
      </c>
      <c r="E19" s="406">
        <v>39067.224742800005</v>
      </c>
      <c r="F19" s="406">
        <v>39067.224742800005</v>
      </c>
      <c r="G19" s="406">
        <v>38396.886940316668</v>
      </c>
      <c r="H19" s="406">
        <v>36359.6746174</v>
      </c>
      <c r="I19" s="406">
        <v>35709.817820499993</v>
      </c>
      <c r="J19" s="406">
        <v>34827.578375083336</v>
      </c>
      <c r="K19" s="406">
        <v>34253.833441374998</v>
      </c>
      <c r="L19" s="406">
        <v>33168.479335916672</v>
      </c>
      <c r="M19" s="406">
        <v>31655.409494291664</v>
      </c>
      <c r="N19" s="406">
        <v>29324.420267291665</v>
      </c>
      <c r="O19" s="406">
        <v>28832.794916833333</v>
      </c>
      <c r="P19" s="406">
        <v>28382.229358000001</v>
      </c>
      <c r="Q19" s="406">
        <f>27931.6637991667+16519</f>
        <v>44450.663799166701</v>
      </c>
    </row>
    <row r="20" spans="1:17" ht="15.75" thickTop="1" x14ac:dyDescent="0.25">
      <c r="A20" s="407" t="s">
        <v>409</v>
      </c>
      <c r="B20" s="399"/>
      <c r="C20" s="390"/>
      <c r="D20" s="408">
        <f>D19+C20</f>
        <v>39067.224742800005</v>
      </c>
      <c r="E20" s="408">
        <f t="shared" ref="E20:Q20" si="0">E19+D20</f>
        <v>78134.449485600009</v>
      </c>
      <c r="F20" s="408">
        <f t="shared" si="0"/>
        <v>117201.67422840002</v>
      </c>
      <c r="G20" s="408">
        <f t="shared" si="0"/>
        <v>155598.5611687167</v>
      </c>
      <c r="H20" s="408">
        <f t="shared" si="0"/>
        <v>191958.23578611668</v>
      </c>
      <c r="I20" s="408">
        <f t="shared" si="0"/>
        <v>227668.05360661668</v>
      </c>
      <c r="J20" s="408">
        <f t="shared" si="0"/>
        <v>262495.63198170002</v>
      </c>
      <c r="K20" s="408">
        <f t="shared" si="0"/>
        <v>296749.46542307502</v>
      </c>
      <c r="L20" s="408">
        <f t="shared" si="0"/>
        <v>329917.94475899171</v>
      </c>
      <c r="M20" s="408">
        <f t="shared" si="0"/>
        <v>361573.35425328335</v>
      </c>
      <c r="N20" s="408">
        <f t="shared" si="0"/>
        <v>390897.77452057501</v>
      </c>
      <c r="O20" s="408">
        <f t="shared" si="0"/>
        <v>419730.56943740835</v>
      </c>
      <c r="P20" s="408">
        <f t="shared" si="0"/>
        <v>448112.79879540834</v>
      </c>
      <c r="Q20" s="409">
        <f t="shared" si="0"/>
        <v>492563.46259457502</v>
      </c>
    </row>
    <row r="21" spans="1:17" x14ac:dyDescent="0.25">
      <c r="A21" s="407"/>
      <c r="B21" s="399"/>
      <c r="C21" s="399"/>
      <c r="D21" s="399"/>
      <c r="E21" s="399"/>
      <c r="F21" s="399"/>
      <c r="G21" s="399"/>
      <c r="H21" s="399"/>
      <c r="I21" s="399"/>
      <c r="J21" s="399"/>
      <c r="K21" s="399"/>
      <c r="L21" s="399"/>
      <c r="M21" s="399"/>
      <c r="N21" s="399"/>
      <c r="O21" s="399"/>
      <c r="P21" s="399"/>
      <c r="Q21" s="410"/>
    </row>
    <row r="22" spans="1:17" x14ac:dyDescent="0.25">
      <c r="A22" s="411" t="s">
        <v>411</v>
      </c>
      <c r="B22" s="412"/>
      <c r="C22" s="390"/>
      <c r="D22" s="390">
        <f>(D20+C20)/2</f>
        <v>19533.612371400002</v>
      </c>
      <c r="E22" s="390">
        <f t="shared" ref="E22:Q22" si="1">(E20+D20)/2</f>
        <v>58600.837114200011</v>
      </c>
      <c r="F22" s="390">
        <f t="shared" si="1"/>
        <v>97668.061857000022</v>
      </c>
      <c r="G22" s="390">
        <f t="shared" si="1"/>
        <v>136400.11769855837</v>
      </c>
      <c r="H22" s="390">
        <f t="shared" si="1"/>
        <v>173778.39847741669</v>
      </c>
      <c r="I22" s="390">
        <f t="shared" si="1"/>
        <v>209813.14469636668</v>
      </c>
      <c r="J22" s="390">
        <f t="shared" si="1"/>
        <v>245081.84279415835</v>
      </c>
      <c r="K22" s="390">
        <f t="shared" si="1"/>
        <v>279622.54870238749</v>
      </c>
      <c r="L22" s="390">
        <f t="shared" si="1"/>
        <v>313333.70509103336</v>
      </c>
      <c r="M22" s="390">
        <f t="shared" si="1"/>
        <v>345745.64950613753</v>
      </c>
      <c r="N22" s="390">
        <f t="shared" si="1"/>
        <v>376235.56438692915</v>
      </c>
      <c r="O22" s="390">
        <f t="shared" si="1"/>
        <v>405314.17197899171</v>
      </c>
      <c r="P22" s="390">
        <f t="shared" si="1"/>
        <v>433921.68411640835</v>
      </c>
      <c r="Q22" s="413">
        <f t="shared" si="1"/>
        <v>470338.13069499168</v>
      </c>
    </row>
    <row r="23" spans="1:17" x14ac:dyDescent="0.25">
      <c r="A23" s="407" t="s">
        <v>406</v>
      </c>
      <c r="B23" s="414">
        <v>0.04</v>
      </c>
      <c r="C23" s="290"/>
      <c r="D23" s="290">
        <f t="shared" ref="D23:Q23" si="2">D22*($B$23/12)</f>
        <v>65.112041238000018</v>
      </c>
      <c r="E23" s="290">
        <f t="shared" si="2"/>
        <v>195.33612371400005</v>
      </c>
      <c r="F23" s="290">
        <f t="shared" si="2"/>
        <v>325.56020619000009</v>
      </c>
      <c r="G23" s="290">
        <f t="shared" si="2"/>
        <v>454.66705899519462</v>
      </c>
      <c r="H23" s="290">
        <f t="shared" si="2"/>
        <v>579.26132825805564</v>
      </c>
      <c r="I23" s="290">
        <f t="shared" si="2"/>
        <v>699.37714898788897</v>
      </c>
      <c r="J23" s="290">
        <f t="shared" si="2"/>
        <v>816.93947598052785</v>
      </c>
      <c r="K23" s="290">
        <f t="shared" si="2"/>
        <v>932.07516234129173</v>
      </c>
      <c r="L23" s="290">
        <f t="shared" si="2"/>
        <v>1044.4456836367779</v>
      </c>
      <c r="M23" s="290">
        <f t="shared" si="2"/>
        <v>1152.4854983537919</v>
      </c>
      <c r="N23" s="290">
        <f t="shared" si="2"/>
        <v>1254.1185479564306</v>
      </c>
      <c r="O23" s="290">
        <f t="shared" si="2"/>
        <v>1351.0472399299724</v>
      </c>
      <c r="P23" s="290">
        <f t="shared" si="2"/>
        <v>1446.4056137213613</v>
      </c>
      <c r="Q23" s="415">
        <f t="shared" si="2"/>
        <v>1567.7937689833057</v>
      </c>
    </row>
    <row r="24" spans="1:17" ht="15.75" thickBot="1" x14ac:dyDescent="0.3">
      <c r="A24" s="416" t="s">
        <v>407</v>
      </c>
      <c r="B24" s="417"/>
      <c r="C24" s="418"/>
      <c r="D24" s="418">
        <f>D23</f>
        <v>65.112041238000018</v>
      </c>
      <c r="E24" s="418">
        <f>E23+D24</f>
        <v>260.44816495200007</v>
      </c>
      <c r="F24" s="418">
        <f t="shared" ref="F24:Q24" si="3">F23+E24</f>
        <v>586.00837114200021</v>
      </c>
      <c r="G24" s="418">
        <f t="shared" si="3"/>
        <v>1040.6754301371948</v>
      </c>
      <c r="H24" s="418">
        <f t="shared" si="3"/>
        <v>1619.9367583952503</v>
      </c>
      <c r="I24" s="418">
        <f t="shared" si="3"/>
        <v>2319.3139073831394</v>
      </c>
      <c r="J24" s="418">
        <f t="shared" si="3"/>
        <v>3136.2533833636671</v>
      </c>
      <c r="K24" s="418">
        <f t="shared" si="3"/>
        <v>4068.3285457049587</v>
      </c>
      <c r="L24" s="418">
        <f t="shared" si="3"/>
        <v>5112.7742293417368</v>
      </c>
      <c r="M24" s="418">
        <f t="shared" si="3"/>
        <v>6265.2597276955285</v>
      </c>
      <c r="N24" s="418">
        <f t="shared" si="3"/>
        <v>7519.3782756519595</v>
      </c>
      <c r="O24" s="418">
        <f t="shared" si="3"/>
        <v>8870.4255155819319</v>
      </c>
      <c r="P24" s="418">
        <f t="shared" si="3"/>
        <v>10316.831129303293</v>
      </c>
      <c r="Q24" s="419">
        <f t="shared" si="3"/>
        <v>11884.624898286598</v>
      </c>
    </row>
    <row r="26" spans="1:17" ht="24.75" customHeight="1" x14ac:dyDescent="0.25">
      <c r="A26" s="445" t="s">
        <v>410</v>
      </c>
      <c r="B26" s="445"/>
      <c r="C26" s="445"/>
      <c r="D26" s="445"/>
      <c r="E26" s="445"/>
      <c r="F26" s="445"/>
      <c r="G26" s="445"/>
      <c r="H26" s="445"/>
      <c r="I26" s="445"/>
      <c r="J26" s="445"/>
    </row>
    <row r="27" spans="1:17" ht="19.5" customHeight="1" x14ac:dyDescent="0.25">
      <c r="A27" s="445"/>
      <c r="B27" s="445"/>
      <c r="C27" s="445"/>
      <c r="D27" s="445"/>
      <c r="E27" s="445"/>
      <c r="F27" s="445"/>
      <c r="G27" s="445"/>
      <c r="H27" s="445"/>
      <c r="I27" s="445"/>
      <c r="J27" s="445"/>
    </row>
    <row r="28" spans="1:17" ht="11.25" customHeight="1" x14ac:dyDescent="0.25">
      <c r="A28" s="445"/>
      <c r="B28" s="445"/>
      <c r="C28" s="445"/>
      <c r="D28" s="445"/>
      <c r="E28" s="445"/>
      <c r="F28" s="445"/>
      <c r="G28" s="445"/>
      <c r="H28" s="445"/>
      <c r="I28" s="445"/>
      <c r="J28" s="445"/>
    </row>
    <row r="29" spans="1:17" ht="12" hidden="1" customHeight="1" x14ac:dyDescent="0.25">
      <c r="A29" s="445"/>
      <c r="B29" s="445"/>
      <c r="C29" s="445"/>
      <c r="D29" s="445"/>
      <c r="E29" s="445"/>
      <c r="F29" s="445"/>
      <c r="G29" s="445"/>
      <c r="H29" s="445"/>
      <c r="I29" s="445"/>
      <c r="J29" s="445"/>
    </row>
    <row r="30" spans="1:17" ht="12" customHeight="1" x14ac:dyDescent="0.25">
      <c r="A30" s="420"/>
      <c r="B30" s="420"/>
      <c r="C30" s="289" t="s">
        <v>440</v>
      </c>
      <c r="D30" s="289" t="s">
        <v>441</v>
      </c>
      <c r="E30" s="289" t="s">
        <v>442</v>
      </c>
      <c r="F30" s="289" t="s">
        <v>443</v>
      </c>
      <c r="G30" s="289" t="s">
        <v>444</v>
      </c>
      <c r="H30" s="289" t="s">
        <v>445</v>
      </c>
      <c r="I30" s="289" t="s">
        <v>446</v>
      </c>
      <c r="J30" s="289" t="s">
        <v>447</v>
      </c>
      <c r="K30" s="289" t="s">
        <v>448</v>
      </c>
      <c r="L30" s="289" t="s">
        <v>449</v>
      </c>
      <c r="M30" s="289" t="s">
        <v>450</v>
      </c>
      <c r="N30" s="289" t="s">
        <v>451</v>
      </c>
      <c r="O30" s="289" t="s">
        <v>452</v>
      </c>
      <c r="P30" s="289" t="s">
        <v>453</v>
      </c>
    </row>
    <row r="31" spans="1:17" s="357" customFormat="1" x14ac:dyDescent="0.25">
      <c r="A31" s="421" t="s">
        <v>439</v>
      </c>
      <c r="C31" s="357">
        <f>Q20+Q24</f>
        <v>504448.08749286161</v>
      </c>
      <c r="D31" s="357">
        <f>C31-($C$31/60)</f>
        <v>496040.61936798057</v>
      </c>
      <c r="E31" s="357">
        <f t="shared" ref="E31:O31" si="4">D31-($C$31/60)</f>
        <v>487633.15124309954</v>
      </c>
      <c r="F31" s="357">
        <f t="shared" si="4"/>
        <v>479225.6831182185</v>
      </c>
      <c r="G31" s="357">
        <f t="shared" si="4"/>
        <v>470818.21499333746</v>
      </c>
      <c r="H31" s="357">
        <f t="shared" si="4"/>
        <v>462410.74686845642</v>
      </c>
      <c r="I31" s="357">
        <f t="shared" si="4"/>
        <v>454003.27874357539</v>
      </c>
      <c r="J31" s="357">
        <f t="shared" si="4"/>
        <v>445595.81061869435</v>
      </c>
      <c r="K31" s="357">
        <f t="shared" si="4"/>
        <v>437188.34249381331</v>
      </c>
      <c r="L31" s="357">
        <f t="shared" si="4"/>
        <v>428780.87436893227</v>
      </c>
      <c r="M31" s="357">
        <f t="shared" si="4"/>
        <v>420373.40624405124</v>
      </c>
      <c r="N31" s="357">
        <f t="shared" si="4"/>
        <v>411965.9381191702</v>
      </c>
      <c r="O31" s="357">
        <f t="shared" si="4"/>
        <v>403558.46999428916</v>
      </c>
      <c r="P31" s="357">
        <f>SUM(C31:O31)/13</f>
        <v>454003.27874357539</v>
      </c>
    </row>
  </sheetData>
  <mergeCells count="1">
    <mergeCell ref="A26:J29"/>
  </mergeCells>
  <pageMargins left="0.7" right="0.7" top="0.75" bottom="0.75" header="0.3" footer="0.3"/>
  <pageSetup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43"/>
  <sheetViews>
    <sheetView topLeftCell="G34" workbookViewId="0">
      <selection activeCell="A5" sqref="A5"/>
    </sheetView>
  </sheetViews>
  <sheetFormatPr defaultColWidth="14" defaultRowHeight="15" x14ac:dyDescent="0.25"/>
  <cols>
    <col min="1" max="1" width="21.28515625" customWidth="1"/>
    <col min="2" max="2" width="14.7109375" customWidth="1"/>
    <col min="3" max="3" width="12.42578125" customWidth="1"/>
    <col min="4" max="4" width="12.7109375" customWidth="1"/>
    <col min="5" max="5" width="10.85546875" customWidth="1"/>
    <col min="6" max="6" width="11.5703125" customWidth="1"/>
    <col min="7" max="7" width="10.7109375" customWidth="1"/>
    <col min="8" max="8" width="11.5703125" customWidth="1"/>
    <col min="9" max="9" width="11.140625" customWidth="1"/>
    <col min="10" max="10" width="11.28515625" customWidth="1"/>
    <col min="11" max="11" width="10" customWidth="1"/>
    <col min="12" max="12" width="13" customWidth="1"/>
    <col min="13" max="13" width="11.42578125" customWidth="1"/>
    <col min="14" max="14" width="14" customWidth="1"/>
    <col min="15" max="15" width="13.7109375" customWidth="1"/>
    <col min="16" max="16" width="12.42578125" customWidth="1"/>
    <col min="17" max="17" width="10.5703125" customWidth="1"/>
  </cols>
  <sheetData>
    <row r="1" spans="1:15" ht="18" x14ac:dyDescent="0.25">
      <c r="A1" s="236" t="s">
        <v>0</v>
      </c>
      <c r="B1" s="4"/>
      <c r="C1" s="4"/>
      <c r="D1" s="4"/>
      <c r="E1" s="4"/>
      <c r="F1" s="235"/>
      <c r="M1" s="235" t="s">
        <v>518</v>
      </c>
    </row>
    <row r="2" spans="1:15" ht="18" x14ac:dyDescent="0.25">
      <c r="A2" s="236" t="s">
        <v>300</v>
      </c>
      <c r="B2" s="4"/>
      <c r="C2" s="4"/>
      <c r="D2" s="4"/>
      <c r="E2" s="4"/>
      <c r="F2" s="267"/>
      <c r="M2" s="267" t="s">
        <v>298</v>
      </c>
      <c r="O2" s="267" t="str">
        <f>'Reg Asset Lost Customers'!O2</f>
        <v>20190156-EI</v>
      </c>
    </row>
    <row r="3" spans="1:15" ht="18" x14ac:dyDescent="0.25">
      <c r="A3" s="236" t="s">
        <v>547</v>
      </c>
    </row>
    <row r="5" spans="1:15" ht="15" customHeight="1" x14ac:dyDescent="0.25">
      <c r="A5" s="4" t="s">
        <v>529</v>
      </c>
      <c r="B5" s="4"/>
      <c r="D5" s="8">
        <v>910985.15</v>
      </c>
      <c r="E5" s="449" t="s">
        <v>419</v>
      </c>
      <c r="F5" s="449"/>
      <c r="G5" s="449"/>
      <c r="H5" s="449"/>
      <c r="I5" s="449"/>
      <c r="J5" s="449"/>
      <c r="K5" s="449"/>
      <c r="L5" s="449"/>
      <c r="M5" s="449"/>
      <c r="N5" s="449"/>
    </row>
    <row r="6" spans="1:15" s="4" customFormat="1" ht="15" customHeight="1" x14ac:dyDescent="0.25">
      <c r="A6" s="4" t="s">
        <v>530</v>
      </c>
      <c r="D6" s="8">
        <v>54476.91</v>
      </c>
      <c r="E6" s="449"/>
      <c r="F6" s="449"/>
      <c r="G6" s="449"/>
      <c r="H6" s="449"/>
      <c r="I6" s="449"/>
      <c r="J6" s="449"/>
      <c r="K6" s="449"/>
      <c r="L6" s="449"/>
      <c r="M6" s="449"/>
      <c r="N6" s="449"/>
    </row>
    <row r="7" spans="1:15" s="4" customFormat="1" ht="15" customHeight="1" thickBot="1" x14ac:dyDescent="0.3">
      <c r="A7" s="4" t="s">
        <v>545</v>
      </c>
      <c r="D7" s="284">
        <f>SUM(D5:D6)</f>
        <v>965462.06</v>
      </c>
      <c r="E7" s="449"/>
      <c r="F7" s="449"/>
      <c r="G7" s="449"/>
      <c r="H7" s="449"/>
      <c r="I7" s="449"/>
      <c r="J7" s="449"/>
      <c r="K7" s="449"/>
      <c r="L7" s="449"/>
      <c r="M7" s="449"/>
      <c r="N7" s="449"/>
    </row>
    <row r="8" spans="1:15" s="4" customFormat="1" ht="15" customHeight="1" thickTop="1" x14ac:dyDescent="0.25">
      <c r="D8" s="8"/>
      <c r="E8" s="449"/>
      <c r="F8" s="449"/>
      <c r="G8" s="449"/>
      <c r="H8" s="449"/>
      <c r="I8" s="449"/>
      <c r="J8" s="449"/>
      <c r="K8" s="449"/>
      <c r="L8" s="449"/>
      <c r="M8" s="449"/>
      <c r="N8" s="449"/>
    </row>
    <row r="9" spans="1:15" s="4" customFormat="1" ht="15" customHeight="1" x14ac:dyDescent="0.25">
      <c r="A9" s="4" t="s">
        <v>546</v>
      </c>
      <c r="D9" s="8">
        <f>L30</f>
        <v>940397.66307000001</v>
      </c>
      <c r="E9" s="449"/>
      <c r="F9" s="449"/>
      <c r="G9" s="449"/>
      <c r="H9" s="449"/>
      <c r="I9" s="449"/>
      <c r="J9" s="449"/>
      <c r="K9" s="449"/>
      <c r="L9" s="449"/>
      <c r="M9" s="449"/>
      <c r="N9" s="449"/>
    </row>
    <row r="10" spans="1:15" x14ac:dyDescent="0.25">
      <c r="A10" s="4" t="s">
        <v>412</v>
      </c>
      <c r="B10" s="4"/>
      <c r="D10" s="7">
        <f>Q40</f>
        <v>43885.224276600005</v>
      </c>
      <c r="E10" s="449"/>
      <c r="F10" s="449"/>
      <c r="G10" s="449"/>
      <c r="H10" s="449"/>
      <c r="I10" s="449"/>
      <c r="J10" s="449"/>
      <c r="K10" s="449"/>
      <c r="L10" s="449"/>
      <c r="M10" s="449"/>
      <c r="N10" s="449"/>
    </row>
    <row r="11" spans="1:15" ht="15.75" thickBot="1" x14ac:dyDescent="0.3">
      <c r="A11" s="4" t="s">
        <v>413</v>
      </c>
      <c r="B11" s="4"/>
      <c r="D11" s="291">
        <f>D9+D10</f>
        <v>984282.88734660007</v>
      </c>
      <c r="E11" s="449"/>
      <c r="F11" s="449"/>
      <c r="G11" s="449"/>
      <c r="H11" s="449"/>
      <c r="I11" s="449"/>
      <c r="J11" s="449"/>
      <c r="K11" s="449"/>
      <c r="L11" s="449"/>
      <c r="M11" s="449"/>
      <c r="N11" s="449"/>
    </row>
    <row r="12" spans="1:15" ht="15.75" thickTop="1" x14ac:dyDescent="0.25">
      <c r="A12" s="4"/>
      <c r="B12" s="4"/>
      <c r="D12" s="4"/>
      <c r="E12" s="345"/>
      <c r="F12" s="345"/>
      <c r="G12" s="345"/>
      <c r="H12" s="345"/>
      <c r="I12" s="345"/>
      <c r="J12" s="345"/>
      <c r="K12" s="345"/>
    </row>
    <row r="13" spans="1:15" ht="12.75" customHeight="1" thickBot="1" x14ac:dyDescent="0.3">
      <c r="A13" s="4" t="s">
        <v>436</v>
      </c>
      <c r="B13" s="4"/>
      <c r="D13" s="384">
        <f>D11/5</f>
        <v>196856.57746932001</v>
      </c>
      <c r="E13" s="345"/>
      <c r="F13" s="345"/>
      <c r="G13" s="345"/>
      <c r="H13" s="345"/>
      <c r="I13" s="345"/>
      <c r="J13" s="345"/>
      <c r="K13" s="345"/>
    </row>
    <row r="14" spans="1:15" s="4" customFormat="1" ht="15.75" thickTop="1" x14ac:dyDescent="0.25">
      <c r="C14" s="285"/>
      <c r="E14" s="345"/>
      <c r="F14" s="345"/>
      <c r="G14" s="345"/>
      <c r="H14" s="345"/>
      <c r="I14" s="345"/>
      <c r="J14" s="345"/>
    </row>
    <row r="15" spans="1:15" ht="15.75" thickBot="1" x14ac:dyDescent="0.3">
      <c r="A15" s="288" t="s">
        <v>548</v>
      </c>
    </row>
    <row r="16" spans="1:15" ht="15.75" customHeight="1" x14ac:dyDescent="0.25">
      <c r="A16" s="364"/>
      <c r="B16" s="365">
        <v>43009</v>
      </c>
      <c r="C16" s="365">
        <v>42644</v>
      </c>
      <c r="D16" s="366" t="s">
        <v>9</v>
      </c>
      <c r="E16" s="365">
        <v>43009</v>
      </c>
      <c r="F16" s="365">
        <v>42644</v>
      </c>
      <c r="G16" s="366" t="s">
        <v>9</v>
      </c>
      <c r="H16" s="366"/>
      <c r="I16" s="366">
        <v>2018</v>
      </c>
      <c r="J16" s="367"/>
      <c r="K16" s="367"/>
      <c r="L16" s="368"/>
    </row>
    <row r="17" spans="1:12" ht="15" customHeight="1" x14ac:dyDescent="0.25">
      <c r="A17" s="369" t="s">
        <v>531</v>
      </c>
      <c r="B17" s="363" t="s">
        <v>532</v>
      </c>
      <c r="C17" s="363" t="s">
        <v>532</v>
      </c>
      <c r="D17" s="363" t="s">
        <v>532</v>
      </c>
      <c r="E17" s="363" t="s">
        <v>532</v>
      </c>
      <c r="F17" s="363" t="s">
        <v>532</v>
      </c>
      <c r="G17" s="363" t="s">
        <v>532</v>
      </c>
      <c r="H17" s="363" t="s">
        <v>533</v>
      </c>
      <c r="I17" s="446" t="s">
        <v>534</v>
      </c>
      <c r="J17" s="448" t="s">
        <v>535</v>
      </c>
      <c r="K17" s="448"/>
      <c r="L17" s="370" t="s">
        <v>536</v>
      </c>
    </row>
    <row r="18" spans="1:12" x14ac:dyDescent="0.25">
      <c r="A18" s="294"/>
      <c r="B18" s="363" t="s">
        <v>537</v>
      </c>
      <c r="C18" s="363" t="s">
        <v>537</v>
      </c>
      <c r="D18" s="363" t="s">
        <v>537</v>
      </c>
      <c r="E18" s="363" t="s">
        <v>538</v>
      </c>
      <c r="F18" s="363" t="s">
        <v>538</v>
      </c>
      <c r="G18" s="363" t="s">
        <v>538</v>
      </c>
      <c r="H18" s="371">
        <v>43344</v>
      </c>
      <c r="I18" s="447"/>
      <c r="J18" s="361" t="s">
        <v>539</v>
      </c>
      <c r="K18" s="361" t="s">
        <v>538</v>
      </c>
      <c r="L18" s="372" t="s">
        <v>540</v>
      </c>
    </row>
    <row r="19" spans="1:12" x14ac:dyDescent="0.25">
      <c r="A19" s="373"/>
      <c r="B19" s="360"/>
      <c r="C19" s="360"/>
      <c r="D19" s="360"/>
      <c r="E19" s="360"/>
      <c r="F19" s="360"/>
      <c r="G19" s="360"/>
      <c r="H19" s="360"/>
      <c r="I19" s="360"/>
      <c r="J19" s="360"/>
      <c r="K19" s="360"/>
      <c r="L19" s="374"/>
    </row>
    <row r="20" spans="1:12" x14ac:dyDescent="0.25">
      <c r="A20" s="294" t="s">
        <v>402</v>
      </c>
      <c r="B20" s="360"/>
      <c r="C20" s="360"/>
      <c r="D20" s="360"/>
      <c r="E20" s="360"/>
      <c r="F20" s="360"/>
      <c r="G20" s="360"/>
      <c r="H20" s="375">
        <v>10231</v>
      </c>
      <c r="I20" s="376">
        <v>15.12</v>
      </c>
      <c r="J20" s="360"/>
      <c r="K20" s="376"/>
      <c r="L20" s="377">
        <f>H20*I20</f>
        <v>154692.72</v>
      </c>
    </row>
    <row r="21" spans="1:12" x14ac:dyDescent="0.25">
      <c r="A21" s="294" t="s">
        <v>414</v>
      </c>
      <c r="B21" s="375">
        <v>7383035</v>
      </c>
      <c r="C21" s="375">
        <v>7413708</v>
      </c>
      <c r="D21" s="375">
        <v>7398371.5</v>
      </c>
      <c r="E21" s="360"/>
      <c r="F21" s="360"/>
      <c r="G21" s="360"/>
      <c r="H21" s="375"/>
      <c r="I21" s="376"/>
      <c r="J21" s="378">
        <v>2.1170000000000001E-2</v>
      </c>
      <c r="K21" s="376"/>
      <c r="L21" s="377">
        <f>D21*J21</f>
        <v>156623.52465500002</v>
      </c>
    </row>
    <row r="22" spans="1:12" x14ac:dyDescent="0.25">
      <c r="A22" s="294" t="s">
        <v>415</v>
      </c>
      <c r="B22" s="375">
        <v>2672262</v>
      </c>
      <c r="C22" s="375">
        <v>2667376</v>
      </c>
      <c r="D22" s="375">
        <v>2669819</v>
      </c>
      <c r="E22" s="360"/>
      <c r="F22" s="360"/>
      <c r="G22" s="360"/>
      <c r="H22" s="375"/>
      <c r="I22" s="376"/>
      <c r="J22" s="378">
        <v>3.4669999999999999E-2</v>
      </c>
      <c r="K22" s="376"/>
      <c r="L22" s="377">
        <f>D22*J22</f>
        <v>92562.624729999996</v>
      </c>
    </row>
    <row r="23" spans="1:12" x14ac:dyDescent="0.25">
      <c r="A23" s="294" t="s">
        <v>403</v>
      </c>
      <c r="B23" s="375">
        <v>2542044</v>
      </c>
      <c r="C23" s="375">
        <v>3247169</v>
      </c>
      <c r="D23" s="375">
        <v>2894606.5</v>
      </c>
      <c r="E23" s="375"/>
      <c r="F23" s="375"/>
      <c r="G23" s="375"/>
      <c r="H23" s="375">
        <v>2100</v>
      </c>
      <c r="I23" s="376">
        <v>24.84</v>
      </c>
      <c r="J23" s="378">
        <v>2.589E-2</v>
      </c>
      <c r="K23" s="376"/>
      <c r="L23" s="377">
        <f>(D23*J23)+(H23*I23)+(G23*K23)</f>
        <v>127105.362285</v>
      </c>
    </row>
    <row r="24" spans="1:12" x14ac:dyDescent="0.25">
      <c r="A24" s="294" t="s">
        <v>404</v>
      </c>
      <c r="B24" s="375">
        <v>7547000</v>
      </c>
      <c r="C24" s="375">
        <v>6980590</v>
      </c>
      <c r="D24" s="375">
        <v>7263795</v>
      </c>
      <c r="E24" s="375">
        <v>28452</v>
      </c>
      <c r="F24" s="375">
        <v>21736.57</v>
      </c>
      <c r="G24" s="375">
        <v>25094.285</v>
      </c>
      <c r="H24" s="375">
        <v>423</v>
      </c>
      <c r="I24" s="376">
        <v>73.45</v>
      </c>
      <c r="J24" s="378">
        <v>4.8799999999999998E-3</v>
      </c>
      <c r="K24" s="376">
        <v>4</v>
      </c>
      <c r="L24" s="377">
        <f>(D24*J24)+(H24*I24)+(G24*K24)</f>
        <v>166893.80959999998</v>
      </c>
    </row>
    <row r="25" spans="1:12" x14ac:dyDescent="0.25">
      <c r="A25" s="294" t="s">
        <v>416</v>
      </c>
      <c r="B25" s="375">
        <v>5324736</v>
      </c>
      <c r="C25" s="375">
        <v>4640084</v>
      </c>
      <c r="D25" s="375">
        <v>4982410</v>
      </c>
      <c r="E25" s="375">
        <v>11488</v>
      </c>
      <c r="F25" s="375">
        <v>8578.82</v>
      </c>
      <c r="G25" s="375">
        <v>10033.41</v>
      </c>
      <c r="H25" s="375">
        <v>15</v>
      </c>
      <c r="I25" s="376">
        <v>140.41</v>
      </c>
      <c r="J25" s="378">
        <v>2.2599999999999999E-3</v>
      </c>
      <c r="K25" s="376">
        <v>5.72</v>
      </c>
      <c r="L25" s="377">
        <f>(D25*J25)+(H25*I25)+(G25*K25)</f>
        <v>70757.501799999998</v>
      </c>
    </row>
    <row r="26" spans="1:12" x14ac:dyDescent="0.25">
      <c r="A26" s="294" t="s">
        <v>541</v>
      </c>
      <c r="B26" s="375">
        <v>0</v>
      </c>
      <c r="C26" s="375">
        <v>0</v>
      </c>
      <c r="D26" s="375">
        <v>0</v>
      </c>
      <c r="E26" s="360"/>
      <c r="F26" s="360"/>
      <c r="G26" s="360"/>
      <c r="H26" s="375">
        <v>0</v>
      </c>
      <c r="I26" s="360"/>
      <c r="J26" s="360"/>
      <c r="K26" s="360"/>
      <c r="L26" s="377"/>
    </row>
    <row r="27" spans="1:12" s="4" customFormat="1" x14ac:dyDescent="0.25">
      <c r="A27" s="294" t="s">
        <v>542</v>
      </c>
      <c r="B27" s="375">
        <v>445378</v>
      </c>
      <c r="C27" s="375">
        <v>442995</v>
      </c>
      <c r="D27" s="375">
        <v>444186.5</v>
      </c>
      <c r="E27" s="360"/>
      <c r="F27" s="360"/>
      <c r="G27" s="360"/>
      <c r="H27" s="375">
        <v>2586</v>
      </c>
      <c r="I27" s="376">
        <v>33.21</v>
      </c>
      <c r="J27" s="360" t="s">
        <v>543</v>
      </c>
      <c r="K27" s="360"/>
      <c r="L27" s="377">
        <f>H27*I27</f>
        <v>85881.06</v>
      </c>
    </row>
    <row r="28" spans="1:12" s="4" customFormat="1" ht="15.75" thickBot="1" x14ac:dyDescent="0.3">
      <c r="A28" s="294"/>
      <c r="B28" s="362">
        <f t="shared" ref="B28:G28" si="0">SUM(B21:B27)</f>
        <v>25914455</v>
      </c>
      <c r="C28" s="362">
        <f t="shared" si="0"/>
        <v>25391922</v>
      </c>
      <c r="D28" s="362">
        <f t="shared" si="0"/>
        <v>25653188.5</v>
      </c>
      <c r="E28" s="362">
        <f t="shared" si="0"/>
        <v>39940</v>
      </c>
      <c r="F28" s="362">
        <f t="shared" si="0"/>
        <v>30315.39</v>
      </c>
      <c r="G28" s="362">
        <f t="shared" si="0"/>
        <v>35127.695</v>
      </c>
      <c r="H28" s="362">
        <f>SUM(H20:H27)</f>
        <v>15355</v>
      </c>
      <c r="I28" s="360"/>
      <c r="J28" s="360"/>
      <c r="K28" s="360"/>
      <c r="L28" s="379">
        <f>SUM(L20:L27)</f>
        <v>854516.60306999995</v>
      </c>
    </row>
    <row r="29" spans="1:12" s="4" customFormat="1" ht="15.75" thickTop="1" x14ac:dyDescent="0.25">
      <c r="A29" s="380" t="s">
        <v>544</v>
      </c>
      <c r="B29" s="360"/>
      <c r="C29" s="360"/>
      <c r="D29" s="360"/>
      <c r="E29" s="360"/>
      <c r="F29" s="360"/>
      <c r="G29" s="360"/>
      <c r="H29" s="360"/>
      <c r="I29" s="360"/>
      <c r="J29" s="360"/>
      <c r="K29" s="360"/>
      <c r="L29" s="377">
        <f>L27</f>
        <v>85881.06</v>
      </c>
    </row>
    <row r="30" spans="1:12" ht="15.75" thickBot="1" x14ac:dyDescent="0.3">
      <c r="A30" s="381"/>
      <c r="B30" s="382"/>
      <c r="C30" s="382"/>
      <c r="D30" s="382"/>
      <c r="E30" s="382"/>
      <c r="F30" s="382"/>
      <c r="G30" s="382"/>
      <c r="H30" s="382"/>
      <c r="I30" s="382"/>
      <c r="J30" s="382"/>
      <c r="K30" s="382"/>
      <c r="L30" s="383">
        <f>L28+L29</f>
        <v>940397.66307000001</v>
      </c>
    </row>
    <row r="31" spans="1:12" s="4" customFormat="1" x14ac:dyDescent="0.25">
      <c r="A31" s="293"/>
      <c r="B31" s="292"/>
      <c r="C31" s="293"/>
      <c r="D31" s="292"/>
      <c r="E31" s="292"/>
      <c r="F31" s="292"/>
      <c r="G31" s="293"/>
      <c r="H31" s="293"/>
      <c r="I31" s="292"/>
      <c r="J31" s="328"/>
    </row>
    <row r="32" spans="1:12" ht="15.75" thickBot="1" x14ac:dyDescent="0.3">
      <c r="A32" s="288" t="s">
        <v>417</v>
      </c>
    </row>
    <row r="33" spans="1:17" x14ac:dyDescent="0.25">
      <c r="A33" s="295"/>
      <c r="B33" s="296"/>
      <c r="C33" s="297" t="s">
        <v>315</v>
      </c>
      <c r="D33" s="297" t="s">
        <v>316</v>
      </c>
      <c r="E33" s="297" t="s">
        <v>306</v>
      </c>
      <c r="F33" s="297" t="s">
        <v>307</v>
      </c>
      <c r="G33" s="297" t="s">
        <v>308</v>
      </c>
      <c r="H33" s="297" t="s">
        <v>309</v>
      </c>
      <c r="I33" s="297" t="s">
        <v>310</v>
      </c>
      <c r="J33" s="297" t="s">
        <v>2</v>
      </c>
      <c r="K33" s="297" t="s">
        <v>311</v>
      </c>
      <c r="L33" s="297" t="s">
        <v>312</v>
      </c>
      <c r="M33" s="297" t="s">
        <v>313</v>
      </c>
      <c r="N33" s="297" t="s">
        <v>314</v>
      </c>
      <c r="O33" s="297" t="s">
        <v>315</v>
      </c>
      <c r="P33" s="297" t="s">
        <v>316</v>
      </c>
      <c r="Q33" s="298" t="s">
        <v>306</v>
      </c>
    </row>
    <row r="34" spans="1:17" x14ac:dyDescent="0.25">
      <c r="A34" s="299"/>
      <c r="B34" s="300"/>
      <c r="C34" s="300">
        <v>2018</v>
      </c>
      <c r="D34" s="300">
        <v>2018</v>
      </c>
      <c r="E34" s="300">
        <v>2018</v>
      </c>
      <c r="F34" s="300">
        <v>2019</v>
      </c>
      <c r="G34" s="300">
        <v>2019</v>
      </c>
      <c r="H34" s="300">
        <v>2019</v>
      </c>
      <c r="I34" s="300">
        <v>2019</v>
      </c>
      <c r="J34" s="300">
        <v>2019</v>
      </c>
      <c r="K34" s="300">
        <v>2019</v>
      </c>
      <c r="L34" s="300">
        <v>2019</v>
      </c>
      <c r="M34" s="300">
        <v>2019</v>
      </c>
      <c r="N34" s="300">
        <v>2019</v>
      </c>
      <c r="O34" s="300">
        <v>2019</v>
      </c>
      <c r="P34" s="300">
        <v>2019</v>
      </c>
      <c r="Q34" s="301">
        <v>2019</v>
      </c>
    </row>
    <row r="35" spans="1:17" x14ac:dyDescent="0.25">
      <c r="A35" s="302" t="s">
        <v>418</v>
      </c>
      <c r="B35" s="303"/>
      <c r="C35" s="304">
        <f>D9</f>
        <v>940397.66307000001</v>
      </c>
      <c r="D35" s="304"/>
      <c r="E35" s="304"/>
      <c r="F35" s="304"/>
      <c r="G35" s="304"/>
      <c r="H35" s="304"/>
      <c r="I35" s="304"/>
      <c r="J35" s="304"/>
      <c r="K35" s="304"/>
      <c r="L35" s="304"/>
      <c r="M35" s="304"/>
      <c r="N35" s="304"/>
      <c r="O35" s="304"/>
      <c r="P35" s="304"/>
      <c r="Q35" s="305"/>
    </row>
    <row r="36" spans="1:17" x14ac:dyDescent="0.25">
      <c r="A36" s="302" t="s">
        <v>405</v>
      </c>
      <c r="B36" s="303"/>
      <c r="C36" s="306">
        <f>C35</f>
        <v>940397.66307000001</v>
      </c>
      <c r="D36" s="306">
        <f>D35+C36</f>
        <v>940397.66307000001</v>
      </c>
      <c r="E36" s="306">
        <f t="shared" ref="E36:Q36" si="1">E35+D36</f>
        <v>940397.66307000001</v>
      </c>
      <c r="F36" s="306">
        <f t="shared" si="1"/>
        <v>940397.66307000001</v>
      </c>
      <c r="G36" s="306">
        <f t="shared" si="1"/>
        <v>940397.66307000001</v>
      </c>
      <c r="H36" s="306">
        <f t="shared" si="1"/>
        <v>940397.66307000001</v>
      </c>
      <c r="I36" s="306">
        <f t="shared" si="1"/>
        <v>940397.66307000001</v>
      </c>
      <c r="J36" s="306">
        <f t="shared" si="1"/>
        <v>940397.66307000001</v>
      </c>
      <c r="K36" s="306">
        <f t="shared" si="1"/>
        <v>940397.66307000001</v>
      </c>
      <c r="L36" s="306">
        <f t="shared" si="1"/>
        <v>940397.66307000001</v>
      </c>
      <c r="M36" s="306">
        <f t="shared" si="1"/>
        <v>940397.66307000001</v>
      </c>
      <c r="N36" s="306">
        <f t="shared" si="1"/>
        <v>940397.66307000001</v>
      </c>
      <c r="O36" s="306">
        <f t="shared" si="1"/>
        <v>940397.66307000001</v>
      </c>
      <c r="P36" s="306">
        <f t="shared" si="1"/>
        <v>940397.66307000001</v>
      </c>
      <c r="Q36" s="307">
        <f t="shared" si="1"/>
        <v>940397.66307000001</v>
      </c>
    </row>
    <row r="37" spans="1:17" x14ac:dyDescent="0.25">
      <c r="A37" s="302"/>
      <c r="B37" s="303"/>
      <c r="C37" s="303"/>
      <c r="D37" s="303"/>
      <c r="E37" s="303"/>
      <c r="F37" s="303"/>
      <c r="G37" s="303"/>
      <c r="H37" s="303"/>
      <c r="I37" s="303"/>
      <c r="J37" s="303"/>
      <c r="K37" s="303"/>
      <c r="L37" s="303"/>
      <c r="M37" s="303"/>
      <c r="N37" s="303"/>
      <c r="O37" s="303"/>
      <c r="P37" s="303"/>
      <c r="Q37" s="308"/>
    </row>
    <row r="38" spans="1:17" x14ac:dyDescent="0.25">
      <c r="A38" s="309" t="s">
        <v>411</v>
      </c>
      <c r="B38" s="303"/>
      <c r="C38" s="303"/>
      <c r="D38" s="310">
        <f t="shared" ref="D38:Q38" si="2">(D36+C36)/2</f>
        <v>940397.66307000001</v>
      </c>
      <c r="E38" s="310">
        <f t="shared" si="2"/>
        <v>940397.66307000001</v>
      </c>
      <c r="F38" s="310">
        <f t="shared" si="2"/>
        <v>940397.66307000001</v>
      </c>
      <c r="G38" s="310">
        <f t="shared" si="2"/>
        <v>940397.66307000001</v>
      </c>
      <c r="H38" s="310">
        <f t="shared" si="2"/>
        <v>940397.66307000001</v>
      </c>
      <c r="I38" s="310">
        <f t="shared" si="2"/>
        <v>940397.66307000001</v>
      </c>
      <c r="J38" s="310">
        <f t="shared" si="2"/>
        <v>940397.66307000001</v>
      </c>
      <c r="K38" s="310">
        <f t="shared" si="2"/>
        <v>940397.66307000001</v>
      </c>
      <c r="L38" s="310">
        <f t="shared" si="2"/>
        <v>940397.66307000001</v>
      </c>
      <c r="M38" s="310">
        <f t="shared" si="2"/>
        <v>940397.66307000001</v>
      </c>
      <c r="N38" s="310">
        <f t="shared" si="2"/>
        <v>940397.66307000001</v>
      </c>
      <c r="O38" s="310">
        <f t="shared" si="2"/>
        <v>940397.66307000001</v>
      </c>
      <c r="P38" s="310">
        <f t="shared" si="2"/>
        <v>940397.66307000001</v>
      </c>
      <c r="Q38" s="311">
        <f t="shared" si="2"/>
        <v>940397.66307000001</v>
      </c>
    </row>
    <row r="39" spans="1:17" x14ac:dyDescent="0.25">
      <c r="A39" s="302" t="s">
        <v>406</v>
      </c>
      <c r="B39" s="312">
        <v>0.04</v>
      </c>
      <c r="C39" s="303"/>
      <c r="D39" s="304">
        <f>D38*($B39/12)</f>
        <v>3134.6588769000005</v>
      </c>
      <c r="E39" s="304">
        <f t="shared" ref="E39:Q39" si="3">E38*($B39/12)</f>
        <v>3134.6588769000005</v>
      </c>
      <c r="F39" s="304">
        <f t="shared" si="3"/>
        <v>3134.6588769000005</v>
      </c>
      <c r="G39" s="304">
        <f t="shared" si="3"/>
        <v>3134.6588769000005</v>
      </c>
      <c r="H39" s="304">
        <f t="shared" si="3"/>
        <v>3134.6588769000005</v>
      </c>
      <c r="I39" s="304">
        <f t="shared" si="3"/>
        <v>3134.6588769000005</v>
      </c>
      <c r="J39" s="304">
        <f t="shared" si="3"/>
        <v>3134.6588769000005</v>
      </c>
      <c r="K39" s="304">
        <f t="shared" si="3"/>
        <v>3134.6588769000005</v>
      </c>
      <c r="L39" s="304">
        <f t="shared" si="3"/>
        <v>3134.6588769000005</v>
      </c>
      <c r="M39" s="304">
        <f t="shared" si="3"/>
        <v>3134.6588769000005</v>
      </c>
      <c r="N39" s="304">
        <f t="shared" si="3"/>
        <v>3134.6588769000005</v>
      </c>
      <c r="O39" s="304">
        <f t="shared" si="3"/>
        <v>3134.6588769000005</v>
      </c>
      <c r="P39" s="304">
        <f t="shared" si="3"/>
        <v>3134.6588769000005</v>
      </c>
      <c r="Q39" s="305">
        <f t="shared" si="3"/>
        <v>3134.6588769000005</v>
      </c>
    </row>
    <row r="40" spans="1:17" ht="15.75" thickBot="1" x14ac:dyDescent="0.3">
      <c r="A40" s="313" t="s">
        <v>407</v>
      </c>
      <c r="B40" s="314"/>
      <c r="C40" s="315"/>
      <c r="D40" s="316">
        <f>D39</f>
        <v>3134.6588769000005</v>
      </c>
      <c r="E40" s="316">
        <f>D40+E39</f>
        <v>6269.3177538000009</v>
      </c>
      <c r="F40" s="316">
        <f t="shared" ref="F40:Q40" si="4">E40+F39</f>
        <v>9403.9766307000009</v>
      </c>
      <c r="G40" s="316">
        <f t="shared" si="4"/>
        <v>12538.635507600002</v>
      </c>
      <c r="H40" s="316">
        <f t="shared" si="4"/>
        <v>15673.294384500003</v>
      </c>
      <c r="I40" s="316">
        <f t="shared" si="4"/>
        <v>18807.953261400002</v>
      </c>
      <c r="J40" s="316">
        <f t="shared" si="4"/>
        <v>21942.612138300003</v>
      </c>
      <c r="K40" s="316">
        <f t="shared" si="4"/>
        <v>25077.271015200004</v>
      </c>
      <c r="L40" s="316">
        <f t="shared" si="4"/>
        <v>28211.929892100005</v>
      </c>
      <c r="M40" s="316">
        <f t="shared" si="4"/>
        <v>31346.588769000005</v>
      </c>
      <c r="N40" s="316">
        <f t="shared" si="4"/>
        <v>34481.247645900003</v>
      </c>
      <c r="O40" s="316">
        <f t="shared" si="4"/>
        <v>37615.906522800004</v>
      </c>
      <c r="P40" s="316">
        <f t="shared" si="4"/>
        <v>40750.565399700004</v>
      </c>
      <c r="Q40" s="317">
        <f t="shared" si="4"/>
        <v>43885.224276600005</v>
      </c>
    </row>
    <row r="42" spans="1:17" x14ac:dyDescent="0.25">
      <c r="A42" s="318"/>
      <c r="B42" s="318"/>
      <c r="C42" s="289" t="s">
        <v>440</v>
      </c>
      <c r="D42" s="289" t="s">
        <v>441</v>
      </c>
      <c r="E42" s="289" t="s">
        <v>442</v>
      </c>
      <c r="F42" s="289" t="s">
        <v>443</v>
      </c>
      <c r="G42" s="289" t="s">
        <v>444</v>
      </c>
      <c r="H42" s="289" t="s">
        <v>445</v>
      </c>
      <c r="I42" s="289" t="s">
        <v>446</v>
      </c>
      <c r="J42" s="289" t="s">
        <v>447</v>
      </c>
      <c r="K42" s="289" t="s">
        <v>448</v>
      </c>
      <c r="L42" s="289" t="s">
        <v>449</v>
      </c>
      <c r="M42" s="289" t="s">
        <v>450</v>
      </c>
      <c r="N42" s="289" t="s">
        <v>451</v>
      </c>
      <c r="O42" s="289" t="s">
        <v>452</v>
      </c>
      <c r="P42" s="289" t="s">
        <v>453</v>
      </c>
    </row>
    <row r="43" spans="1:17" x14ac:dyDescent="0.25">
      <c r="A43" s="322" t="s">
        <v>439</v>
      </c>
      <c r="B43" s="7"/>
      <c r="C43" s="7">
        <f>D11</f>
        <v>984282.88734660007</v>
      </c>
      <c r="D43" s="7">
        <f t="shared" ref="D43:O43" si="5">C43-($D$13/12)</f>
        <v>967878.17255749006</v>
      </c>
      <c r="E43" s="7">
        <f t="shared" si="5"/>
        <v>951473.45776838006</v>
      </c>
      <c r="F43" s="7">
        <f t="shared" si="5"/>
        <v>935068.74297927006</v>
      </c>
      <c r="G43" s="7">
        <f t="shared" si="5"/>
        <v>918664.02819016005</v>
      </c>
      <c r="H43" s="7">
        <f t="shared" si="5"/>
        <v>902259.31340105005</v>
      </c>
      <c r="I43" s="7">
        <f t="shared" si="5"/>
        <v>885854.59861194005</v>
      </c>
      <c r="J43" s="7">
        <f t="shared" si="5"/>
        <v>869449.88382283004</v>
      </c>
      <c r="K43" s="7">
        <f t="shared" si="5"/>
        <v>853045.16903372004</v>
      </c>
      <c r="L43" s="7">
        <f t="shared" si="5"/>
        <v>836640.45424461004</v>
      </c>
      <c r="M43" s="7">
        <f t="shared" si="5"/>
        <v>820235.73945550004</v>
      </c>
      <c r="N43" s="7">
        <f t="shared" si="5"/>
        <v>803831.02466639003</v>
      </c>
      <c r="O43" s="7">
        <f t="shared" si="5"/>
        <v>787426.30987728003</v>
      </c>
      <c r="P43" s="7">
        <f>SUM(C43:O43)/13</f>
        <v>885854.59861194016</v>
      </c>
    </row>
  </sheetData>
  <mergeCells count="3">
    <mergeCell ref="I17:I18"/>
    <mergeCell ref="J17:K17"/>
    <mergeCell ref="E5:N11"/>
  </mergeCells>
  <pageMargins left="0.7" right="0.7" top="0.75" bottom="0.75" header="0.3" footer="0.3"/>
  <pageSetup scale="55"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R39"/>
  <sheetViews>
    <sheetView workbookViewId="0">
      <selection activeCell="H8" sqref="H8:H18"/>
    </sheetView>
  </sheetViews>
  <sheetFormatPr defaultColWidth="9.140625" defaultRowHeight="15" x14ac:dyDescent="0.25"/>
  <cols>
    <col min="1" max="1" width="13.85546875" style="7" customWidth="1"/>
    <col min="2" max="2" width="29" style="7" bestFit="1" customWidth="1"/>
    <col min="3" max="3" width="6.28515625" style="342" customWidth="1"/>
    <col min="4" max="4" width="7.140625" style="7" customWidth="1"/>
    <col min="5" max="5" width="16.85546875" style="357" customWidth="1"/>
    <col min="6" max="6" width="18.42578125" style="7" customWidth="1"/>
    <col min="7" max="7" width="19.42578125" style="7" customWidth="1"/>
    <col min="8" max="8" width="22.28515625" style="7" customWidth="1"/>
    <col min="9" max="9" width="14.5703125" style="7" customWidth="1"/>
    <col min="10" max="10" width="15.5703125" style="7" customWidth="1"/>
    <col min="11" max="11" width="13.140625" style="7" customWidth="1"/>
    <col min="12" max="12" width="13.7109375" style="7" customWidth="1"/>
    <col min="13" max="13" width="13" style="7" customWidth="1"/>
    <col min="14" max="14" width="12.5703125" style="7" customWidth="1"/>
    <col min="15" max="15" width="13" style="7" customWidth="1"/>
    <col min="16" max="16" width="12.85546875" style="7" customWidth="1"/>
    <col min="17" max="17" width="12.5703125" style="7" customWidth="1"/>
    <col min="18" max="18" width="12.140625" style="7" customWidth="1"/>
    <col min="19" max="16384" width="9.140625" style="7"/>
  </cols>
  <sheetData>
    <row r="1" spans="1:18" ht="18" x14ac:dyDescent="0.25">
      <c r="A1" s="340" t="s">
        <v>0</v>
      </c>
      <c r="D1" s="4"/>
      <c r="E1" s="228"/>
      <c r="F1" s="4"/>
      <c r="G1" s="4"/>
      <c r="H1" s="235"/>
      <c r="I1" s="235" t="s">
        <v>563</v>
      </c>
      <c r="J1" s="4"/>
      <c r="K1" s="4"/>
      <c r="L1" s="4"/>
      <c r="M1" s="4"/>
      <c r="N1" s="4"/>
      <c r="P1" s="4"/>
    </row>
    <row r="2" spans="1:18" ht="18" x14ac:dyDescent="0.25">
      <c r="A2" s="340" t="s">
        <v>497</v>
      </c>
      <c r="D2" s="4"/>
      <c r="E2" s="228"/>
      <c r="F2" s="4"/>
      <c r="G2" s="4"/>
      <c r="H2" s="235"/>
      <c r="I2" s="235"/>
      <c r="J2" s="4"/>
      <c r="K2" s="4"/>
      <c r="L2" s="4"/>
      <c r="M2" s="4"/>
      <c r="N2" s="4"/>
      <c r="P2" s="4"/>
    </row>
    <row r="3" spans="1:18" ht="18" x14ac:dyDescent="0.25">
      <c r="A3" s="340" t="s">
        <v>300</v>
      </c>
      <c r="D3" s="4"/>
      <c r="E3" s="228"/>
      <c r="F3" s="4"/>
      <c r="G3" s="4"/>
      <c r="H3" s="267"/>
      <c r="I3" s="267" t="s">
        <v>298</v>
      </c>
      <c r="J3" s="267" t="str">
        <f>'Reg Asset Exp Not Rec in Base'!O2</f>
        <v>20190156-EI</v>
      </c>
      <c r="K3" s="4"/>
      <c r="L3" s="4"/>
      <c r="M3" s="4"/>
      <c r="N3" s="4"/>
      <c r="P3" s="4"/>
    </row>
    <row r="4" spans="1:18" x14ac:dyDescent="0.25">
      <c r="H4" s="322" t="s">
        <v>503</v>
      </c>
    </row>
    <row r="5" spans="1:18" x14ac:dyDescent="0.25">
      <c r="A5" s="335"/>
      <c r="B5" s="335" t="s">
        <v>305</v>
      </c>
      <c r="C5" s="341" t="s">
        <v>485</v>
      </c>
      <c r="D5" s="335" t="s">
        <v>485</v>
      </c>
      <c r="E5" s="336" t="s">
        <v>498</v>
      </c>
      <c r="F5" s="336"/>
      <c r="G5" s="336" t="s">
        <v>501</v>
      </c>
      <c r="H5" s="335" t="s">
        <v>555</v>
      </c>
      <c r="I5" s="336" t="s">
        <v>504</v>
      </c>
      <c r="J5" s="336"/>
      <c r="K5" s="336"/>
      <c r="L5" s="336"/>
      <c r="M5" s="336"/>
      <c r="N5" s="336"/>
      <c r="O5" s="336"/>
      <c r="P5" s="336"/>
      <c r="Q5" s="336"/>
      <c r="R5" s="336"/>
    </row>
    <row r="6" spans="1:18" ht="15.75" thickBot="1" x14ac:dyDescent="0.3">
      <c r="A6" s="335"/>
      <c r="B6" s="335"/>
      <c r="C6" s="341" t="s">
        <v>317</v>
      </c>
      <c r="D6" s="335" t="s">
        <v>317</v>
      </c>
      <c r="E6" s="350" t="s">
        <v>499</v>
      </c>
      <c r="F6" s="350" t="s">
        <v>500</v>
      </c>
      <c r="G6" s="350" t="s">
        <v>502</v>
      </c>
      <c r="H6" s="350" t="s">
        <v>556</v>
      </c>
      <c r="I6" s="350" t="s">
        <v>505</v>
      </c>
      <c r="J6" s="339"/>
      <c r="K6" s="339"/>
      <c r="L6" s="339"/>
      <c r="M6" s="339"/>
      <c r="N6" s="339"/>
      <c r="O6" s="339"/>
      <c r="P6" s="339"/>
      <c r="Q6" s="339"/>
      <c r="R6" s="335"/>
    </row>
    <row r="7" spans="1:18" x14ac:dyDescent="0.25">
      <c r="A7" s="337" t="s">
        <v>345</v>
      </c>
    </row>
    <row r="8" spans="1:18" x14ac:dyDescent="0.25">
      <c r="A8" s="338" t="s">
        <v>346</v>
      </c>
      <c r="B8" s="338" t="s">
        <v>319</v>
      </c>
      <c r="C8" s="343">
        <v>1080</v>
      </c>
      <c r="D8" s="338" t="s">
        <v>320</v>
      </c>
      <c r="E8" s="357">
        <v>148142.47</v>
      </c>
      <c r="F8" s="357"/>
      <c r="G8" s="7">
        <f>-'B-3'!E22-'B-3'!E68</f>
        <v>17656.5</v>
      </c>
      <c r="I8" s="7">
        <f>E8+F8+G8+H8</f>
        <v>165798.97</v>
      </c>
      <c r="R8" s="6"/>
    </row>
    <row r="9" spans="1:18" x14ac:dyDescent="0.25">
      <c r="A9" s="338" t="s">
        <v>428</v>
      </c>
      <c r="B9" s="338" t="s">
        <v>322</v>
      </c>
      <c r="C9" s="343">
        <v>1080</v>
      </c>
      <c r="D9" s="338" t="s">
        <v>323</v>
      </c>
      <c r="E9" s="357">
        <v>82.94</v>
      </c>
      <c r="F9" s="357"/>
      <c r="G9" s="7">
        <f>-'B-3'!E23-'B-3'!E69</f>
        <v>0</v>
      </c>
      <c r="I9" s="7">
        <f t="shared" ref="I9:I18" si="0">E9+F9+G9+H9</f>
        <v>82.94</v>
      </c>
      <c r="R9" s="6"/>
    </row>
    <row r="10" spans="1:18" x14ac:dyDescent="0.25">
      <c r="A10" s="338" t="s">
        <v>347</v>
      </c>
      <c r="B10" s="338" t="s">
        <v>325</v>
      </c>
      <c r="C10" s="343">
        <v>1080</v>
      </c>
      <c r="D10" s="338" t="s">
        <v>326</v>
      </c>
      <c r="E10" s="357">
        <v>5202219.79</v>
      </c>
      <c r="F10" s="357"/>
      <c r="G10" s="7">
        <f>-'B-3'!E24-'B-3'!E70</f>
        <v>311524.51</v>
      </c>
      <c r="I10" s="7">
        <f t="shared" si="0"/>
        <v>5513744.2999999998</v>
      </c>
      <c r="R10" s="6"/>
    </row>
    <row r="11" spans="1:18" x14ac:dyDescent="0.25">
      <c r="A11" s="338" t="s">
        <v>348</v>
      </c>
      <c r="B11" s="338" t="s">
        <v>328</v>
      </c>
      <c r="C11" s="343">
        <v>1080</v>
      </c>
      <c r="D11" s="338" t="s">
        <v>329</v>
      </c>
      <c r="E11" s="357">
        <v>1796949.11</v>
      </c>
      <c r="F11" s="357">
        <v>-25991.96</v>
      </c>
      <c r="G11" s="7">
        <f>-'B-3'!E25-'B-3'!E71</f>
        <v>159389.89000000001</v>
      </c>
      <c r="I11" s="7">
        <f t="shared" si="0"/>
        <v>1930347.04</v>
      </c>
      <c r="R11" s="6"/>
    </row>
    <row r="12" spans="1:18" x14ac:dyDescent="0.25">
      <c r="A12" s="338" t="s">
        <v>349</v>
      </c>
      <c r="B12" s="338" t="s">
        <v>331</v>
      </c>
      <c r="C12" s="343">
        <v>1080</v>
      </c>
      <c r="D12" s="338" t="s">
        <v>332</v>
      </c>
      <c r="E12" s="357">
        <v>41273.340000000004</v>
      </c>
      <c r="F12" s="357"/>
      <c r="G12" s="7">
        <f>-'B-3'!E26-'B-3'!E72</f>
        <v>0</v>
      </c>
      <c r="I12" s="7">
        <f t="shared" si="0"/>
        <v>41273.340000000004</v>
      </c>
      <c r="R12" s="6"/>
    </row>
    <row r="13" spans="1:18" x14ac:dyDescent="0.25">
      <c r="A13" s="338" t="s">
        <v>350</v>
      </c>
      <c r="B13" s="338" t="s">
        <v>351</v>
      </c>
      <c r="C13" s="343">
        <v>1080</v>
      </c>
      <c r="D13" s="338" t="s">
        <v>335</v>
      </c>
      <c r="E13" s="357">
        <v>6710.41</v>
      </c>
      <c r="F13" s="357">
        <f>-29266.74</f>
        <v>-29266.74</v>
      </c>
      <c r="G13" s="7">
        <f>-'B-3'!E27-'B-3'!E73</f>
        <v>81494.44</v>
      </c>
      <c r="I13" s="7">
        <f t="shared" si="0"/>
        <v>58938.11</v>
      </c>
      <c r="R13" s="6"/>
    </row>
    <row r="14" spans="1:18" x14ac:dyDescent="0.25">
      <c r="A14" s="338" t="s">
        <v>352</v>
      </c>
      <c r="B14" s="338" t="s">
        <v>337</v>
      </c>
      <c r="C14" s="343">
        <v>1080</v>
      </c>
      <c r="D14" s="338" t="s">
        <v>338</v>
      </c>
      <c r="E14" s="357">
        <v>317.68</v>
      </c>
      <c r="F14" s="357"/>
      <c r="G14" s="7">
        <f>-'B-3'!E28-'B-3'!E74</f>
        <v>4189.25</v>
      </c>
      <c r="I14" s="7">
        <f t="shared" si="0"/>
        <v>4506.93</v>
      </c>
      <c r="R14" s="6"/>
    </row>
    <row r="15" spans="1:18" x14ac:dyDescent="0.25">
      <c r="A15" s="338" t="s">
        <v>353</v>
      </c>
      <c r="B15" s="338" t="s">
        <v>340</v>
      </c>
      <c r="C15" s="343">
        <v>1080</v>
      </c>
      <c r="D15" s="338" t="s">
        <v>341</v>
      </c>
      <c r="E15" s="357">
        <v>247573.96000000002</v>
      </c>
      <c r="F15" s="357"/>
      <c r="G15" s="7">
        <f>-'B-3'!E29-'B-3'!E75</f>
        <v>-10592</v>
      </c>
      <c r="I15" s="7">
        <f t="shared" si="0"/>
        <v>236981.96000000002</v>
      </c>
      <c r="R15" s="6"/>
    </row>
    <row r="16" spans="1:18" x14ac:dyDescent="0.25">
      <c r="A16" s="338" t="s">
        <v>425</v>
      </c>
      <c r="B16" s="338" t="s">
        <v>431</v>
      </c>
      <c r="C16" s="343">
        <v>1080</v>
      </c>
      <c r="D16" s="338" t="s">
        <v>479</v>
      </c>
      <c r="F16" s="357"/>
      <c r="G16" s="7">
        <f>-'B-3'!E30-'B-3'!E76</f>
        <v>19674</v>
      </c>
      <c r="I16" s="7">
        <f t="shared" si="0"/>
        <v>19674</v>
      </c>
      <c r="R16" s="6"/>
    </row>
    <row r="17" spans="1:18" x14ac:dyDescent="0.25">
      <c r="A17" s="338" t="s">
        <v>426</v>
      </c>
      <c r="B17" s="338" t="s">
        <v>429</v>
      </c>
      <c r="C17" s="343">
        <v>1080</v>
      </c>
      <c r="D17" s="338" t="s">
        <v>430</v>
      </c>
      <c r="E17" s="357">
        <v>5816.11</v>
      </c>
      <c r="F17" s="357"/>
      <c r="G17" s="7">
        <f>-'B-3'!E31-'B-3'!E77</f>
        <v>265786.18</v>
      </c>
      <c r="I17" s="7">
        <f t="shared" si="0"/>
        <v>271602.28999999998</v>
      </c>
      <c r="R17" s="6"/>
    </row>
    <row r="18" spans="1:18" x14ac:dyDescent="0.25">
      <c r="A18" s="338" t="s">
        <v>427</v>
      </c>
      <c r="B18" s="338" t="s">
        <v>469</v>
      </c>
      <c r="C18" s="343">
        <v>1080</v>
      </c>
      <c r="D18" s="338" t="s">
        <v>470</v>
      </c>
      <c r="E18" s="357">
        <v>1144.3499999999999</v>
      </c>
      <c r="F18" s="357"/>
      <c r="G18" s="7">
        <f>-'B-3'!E32-'B-3'!E78</f>
        <v>7376.9599999999991</v>
      </c>
      <c r="I18" s="7">
        <f t="shared" si="0"/>
        <v>8521.31</v>
      </c>
      <c r="R18" s="6"/>
    </row>
    <row r="19" spans="1:18" ht="15.75" thickBot="1" x14ac:dyDescent="0.3">
      <c r="A19" s="338"/>
      <c r="B19" s="338"/>
      <c r="C19" s="343"/>
      <c r="D19" s="338"/>
      <c r="E19" s="431">
        <f>SUM(E8:E18)</f>
        <v>7450230.1600000001</v>
      </c>
      <c r="F19" s="351">
        <f>SUM(F8:F18)</f>
        <v>-55258.7</v>
      </c>
      <c r="G19" s="351">
        <f>SUM(G8:G18)</f>
        <v>856499.73</v>
      </c>
      <c r="H19" s="351">
        <f>SUM(H8:H18)</f>
        <v>0</v>
      </c>
      <c r="I19" s="351">
        <f>SUM(I8:I18)</f>
        <v>8251471.1899999995</v>
      </c>
      <c r="J19" s="319"/>
      <c r="K19" s="319"/>
      <c r="L19" s="319"/>
      <c r="M19" s="319"/>
      <c r="N19" s="319"/>
      <c r="O19" s="319"/>
      <c r="P19" s="319"/>
      <c r="Q19" s="319"/>
      <c r="R19" s="319"/>
    </row>
    <row r="20" spans="1:18" ht="15.75" thickTop="1" x14ac:dyDescent="0.25"/>
    <row r="21" spans="1:18" x14ac:dyDescent="0.25">
      <c r="E21" s="432" t="s">
        <v>507</v>
      </c>
      <c r="F21" s="335" t="s">
        <v>508</v>
      </c>
      <c r="G21" s="335" t="s">
        <v>128</v>
      </c>
      <c r="H21" s="335" t="s">
        <v>459</v>
      </c>
    </row>
    <row r="22" spans="1:18" ht="18" thickBot="1" x14ac:dyDescent="0.45">
      <c r="A22" s="450" t="s">
        <v>506</v>
      </c>
      <c r="B22" s="450"/>
      <c r="E22" s="433" t="s">
        <v>504</v>
      </c>
      <c r="F22" s="349" t="s">
        <v>459</v>
      </c>
      <c r="G22" s="349" t="s">
        <v>509</v>
      </c>
      <c r="H22" s="349" t="s">
        <v>553</v>
      </c>
    </row>
    <row r="23" spans="1:18" x14ac:dyDescent="0.25">
      <c r="A23" s="348">
        <v>43800</v>
      </c>
      <c r="E23" s="357">
        <f t="shared" ref="E23:E35" si="1">$I$19</f>
        <v>8251471.1899999995</v>
      </c>
      <c r="G23" s="7">
        <f>E23+F23</f>
        <v>8251471.1899999995</v>
      </c>
    </row>
    <row r="24" spans="1:18" x14ac:dyDescent="0.25">
      <c r="A24" s="348">
        <v>43831</v>
      </c>
      <c r="E24" s="357">
        <f t="shared" si="1"/>
        <v>8251471.1899999995</v>
      </c>
      <c r="F24" s="7">
        <f>-H24</f>
        <v>-68762.259916666662</v>
      </c>
      <c r="G24" s="7">
        <f t="shared" ref="G24:G35" si="2">E24+F24</f>
        <v>8182708.9300833326</v>
      </c>
      <c r="H24" s="7">
        <f t="shared" ref="H24:H35" si="3">$I$19/10/12</f>
        <v>68762.259916666662</v>
      </c>
    </row>
    <row r="25" spans="1:18" x14ac:dyDescent="0.25">
      <c r="A25" s="348">
        <v>43862</v>
      </c>
      <c r="E25" s="357">
        <f t="shared" si="1"/>
        <v>8251471.1899999995</v>
      </c>
      <c r="F25" s="7">
        <f>F24-H25</f>
        <v>-137524.51983333332</v>
      </c>
      <c r="G25" s="7">
        <f t="shared" si="2"/>
        <v>8113946.6701666657</v>
      </c>
      <c r="H25" s="7">
        <f t="shared" si="3"/>
        <v>68762.259916666662</v>
      </c>
    </row>
    <row r="26" spans="1:18" x14ac:dyDescent="0.25">
      <c r="A26" s="348">
        <v>43891</v>
      </c>
      <c r="E26" s="357">
        <f t="shared" si="1"/>
        <v>8251471.1899999995</v>
      </c>
      <c r="F26" s="7">
        <f t="shared" ref="F26:F35" si="4">F25-H26</f>
        <v>-206286.77974999999</v>
      </c>
      <c r="G26" s="7">
        <f t="shared" si="2"/>
        <v>8045184.4102499997</v>
      </c>
      <c r="H26" s="7">
        <f t="shared" si="3"/>
        <v>68762.259916666662</v>
      </c>
    </row>
    <row r="27" spans="1:18" x14ac:dyDescent="0.25">
      <c r="A27" s="348">
        <v>43922</v>
      </c>
      <c r="E27" s="357">
        <f t="shared" si="1"/>
        <v>8251471.1899999995</v>
      </c>
      <c r="F27" s="7">
        <f t="shared" si="4"/>
        <v>-275049.03966666665</v>
      </c>
      <c r="G27" s="7">
        <f t="shared" si="2"/>
        <v>7976422.1503333328</v>
      </c>
      <c r="H27" s="7">
        <f t="shared" si="3"/>
        <v>68762.259916666662</v>
      </c>
    </row>
    <row r="28" spans="1:18" x14ac:dyDescent="0.25">
      <c r="A28" s="348">
        <v>43952</v>
      </c>
      <c r="E28" s="357">
        <f t="shared" si="1"/>
        <v>8251471.1899999995</v>
      </c>
      <c r="F28" s="7">
        <f t="shared" si="4"/>
        <v>-343811.29958333331</v>
      </c>
      <c r="G28" s="7">
        <f t="shared" si="2"/>
        <v>7907659.8904166659</v>
      </c>
      <c r="H28" s="7">
        <f t="shared" si="3"/>
        <v>68762.259916666662</v>
      </c>
    </row>
    <row r="29" spans="1:18" x14ac:dyDescent="0.25">
      <c r="A29" s="348">
        <v>43983</v>
      </c>
      <c r="E29" s="357">
        <f t="shared" si="1"/>
        <v>8251471.1899999995</v>
      </c>
      <c r="F29" s="7">
        <f t="shared" si="4"/>
        <v>-412573.55949999997</v>
      </c>
      <c r="G29" s="7">
        <f t="shared" si="2"/>
        <v>7838897.6305</v>
      </c>
      <c r="H29" s="7">
        <f t="shared" si="3"/>
        <v>68762.259916666662</v>
      </c>
    </row>
    <row r="30" spans="1:18" x14ac:dyDescent="0.25">
      <c r="A30" s="348">
        <v>44013</v>
      </c>
      <c r="E30" s="357">
        <f t="shared" si="1"/>
        <v>8251471.1899999995</v>
      </c>
      <c r="F30" s="7">
        <f t="shared" si="4"/>
        <v>-481335.81941666664</v>
      </c>
      <c r="G30" s="7">
        <f t="shared" si="2"/>
        <v>7770135.3705833331</v>
      </c>
      <c r="H30" s="7">
        <f t="shared" si="3"/>
        <v>68762.259916666662</v>
      </c>
    </row>
    <row r="31" spans="1:18" x14ac:dyDescent="0.25">
      <c r="A31" s="348">
        <v>44044</v>
      </c>
      <c r="E31" s="357">
        <f t="shared" si="1"/>
        <v>8251471.1899999995</v>
      </c>
      <c r="F31" s="7">
        <f t="shared" si="4"/>
        <v>-550098.0793333333</v>
      </c>
      <c r="G31" s="7">
        <f t="shared" si="2"/>
        <v>7701373.1106666662</v>
      </c>
      <c r="H31" s="7">
        <f t="shared" si="3"/>
        <v>68762.259916666662</v>
      </c>
    </row>
    <row r="32" spans="1:18" x14ac:dyDescent="0.25">
      <c r="A32" s="348">
        <v>44075</v>
      </c>
      <c r="E32" s="357">
        <f t="shared" si="1"/>
        <v>8251471.1899999995</v>
      </c>
      <c r="F32" s="7">
        <f t="shared" si="4"/>
        <v>-618860.33924999996</v>
      </c>
      <c r="G32" s="7">
        <f t="shared" si="2"/>
        <v>7632610.8507499993</v>
      </c>
      <c r="H32" s="7">
        <f t="shared" si="3"/>
        <v>68762.259916666662</v>
      </c>
    </row>
    <row r="33" spans="1:8" x14ac:dyDescent="0.25">
      <c r="A33" s="348">
        <v>44105</v>
      </c>
      <c r="E33" s="357">
        <f t="shared" si="1"/>
        <v>8251471.1899999995</v>
      </c>
      <c r="F33" s="7">
        <f t="shared" si="4"/>
        <v>-687622.59916666662</v>
      </c>
      <c r="G33" s="7">
        <f t="shared" si="2"/>
        <v>7563848.5908333324</v>
      </c>
      <c r="H33" s="7">
        <f t="shared" si="3"/>
        <v>68762.259916666662</v>
      </c>
    </row>
    <row r="34" spans="1:8" x14ac:dyDescent="0.25">
      <c r="A34" s="348">
        <v>44136</v>
      </c>
      <c r="E34" s="357">
        <f t="shared" si="1"/>
        <v>8251471.1899999995</v>
      </c>
      <c r="F34" s="7">
        <f t="shared" si="4"/>
        <v>-756384.85908333329</v>
      </c>
      <c r="G34" s="7">
        <f t="shared" si="2"/>
        <v>7495086.3309166664</v>
      </c>
      <c r="H34" s="7">
        <f t="shared" si="3"/>
        <v>68762.259916666662</v>
      </c>
    </row>
    <row r="35" spans="1:8" x14ac:dyDescent="0.25">
      <c r="A35" s="348">
        <v>44166</v>
      </c>
      <c r="E35" s="357">
        <f t="shared" si="1"/>
        <v>8251471.1899999995</v>
      </c>
      <c r="F35" s="7">
        <f t="shared" si="4"/>
        <v>-825147.11899999995</v>
      </c>
      <c r="G35" s="7">
        <f t="shared" si="2"/>
        <v>7426324.0709999995</v>
      </c>
      <c r="H35" s="7">
        <f t="shared" si="3"/>
        <v>68762.259916666662</v>
      </c>
    </row>
    <row r="36" spans="1:8" ht="15.75" thickBot="1" x14ac:dyDescent="0.3">
      <c r="A36" s="347"/>
      <c r="B36" s="7" t="s">
        <v>7</v>
      </c>
      <c r="E36" s="358">
        <f>SUM(E23:E35)</f>
        <v>107269125.46999998</v>
      </c>
      <c r="F36" s="279">
        <f>SUM(F23:F35)</f>
        <v>-5363456.2735000001</v>
      </c>
      <c r="G36" s="279">
        <f>SUM(G23:G35)</f>
        <v>101905669.1965</v>
      </c>
      <c r="H36" s="20">
        <f>SUM(H24:H35)</f>
        <v>825147.11899999995</v>
      </c>
    </row>
    <row r="37" spans="1:8" ht="16.5" thickTop="1" thickBot="1" x14ac:dyDescent="0.3">
      <c r="A37" s="347"/>
      <c r="B37" s="7" t="s">
        <v>510</v>
      </c>
      <c r="E37" s="434">
        <f>E36/13</f>
        <v>8251471.1899999985</v>
      </c>
      <c r="F37" s="20">
        <f>F36/13</f>
        <v>-412573.55950000003</v>
      </c>
      <c r="G37" s="20">
        <f>G36/13</f>
        <v>7838897.6305</v>
      </c>
    </row>
    <row r="38" spans="1:8" ht="15.75" thickTop="1" x14ac:dyDescent="0.25">
      <c r="A38" s="347"/>
    </row>
    <row r="39" spans="1:8" x14ac:dyDescent="0.25">
      <c r="A39" s="347"/>
    </row>
  </sheetData>
  <mergeCells count="1">
    <mergeCell ref="A22:B22"/>
  </mergeCells>
  <pageMargins left="0.7" right="0.7" top="0.75" bottom="0.75" header="0.3" footer="0.3"/>
  <pageSetup scale="7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T57"/>
  <sheetViews>
    <sheetView topLeftCell="A13" workbookViewId="0">
      <selection activeCell="B26" sqref="B26:G26"/>
    </sheetView>
  </sheetViews>
  <sheetFormatPr defaultColWidth="9.140625" defaultRowHeight="15" x14ac:dyDescent="0.2"/>
  <cols>
    <col min="1" max="1" width="10" style="45" customWidth="1"/>
    <col min="2" max="2" width="37.140625" style="45" customWidth="1"/>
    <col min="3" max="3" width="3.7109375" style="45" customWidth="1"/>
    <col min="4" max="4" width="20.5703125" style="45" customWidth="1"/>
    <col min="5" max="5" width="23.140625" style="45" customWidth="1"/>
    <col min="6" max="6" width="3.42578125" style="45" customWidth="1"/>
    <col min="7" max="7" width="22" style="45" customWidth="1"/>
    <col min="8" max="8" width="20.5703125" style="45" customWidth="1"/>
    <col min="9" max="9" width="5.7109375" style="45" customWidth="1"/>
    <col min="10" max="10" width="17.42578125" style="45" customWidth="1"/>
    <col min="11" max="11" width="20" style="45" customWidth="1"/>
    <col min="12" max="12" width="5.7109375" style="45" customWidth="1"/>
    <col min="13" max="13" width="20.42578125" style="45" customWidth="1"/>
    <col min="14" max="14" width="3.140625" style="45" customWidth="1"/>
    <col min="15" max="15" width="24.28515625" style="45" customWidth="1"/>
    <col min="16" max="16" width="17.28515625" style="45" customWidth="1"/>
    <col min="17" max="17" width="6.140625" style="45" customWidth="1"/>
    <col min="18" max="18" width="18.28515625" style="45" customWidth="1"/>
    <col min="19" max="20" width="12.5703125" style="45" customWidth="1"/>
    <col min="21" max="16384" width="9.140625" style="45"/>
  </cols>
  <sheetData>
    <row r="1" spans="1:20" ht="15.75" x14ac:dyDescent="0.25">
      <c r="A1" s="235" t="s">
        <v>107</v>
      </c>
      <c r="B1" s="251"/>
      <c r="C1" s="235"/>
      <c r="D1" s="235"/>
      <c r="E1" s="251"/>
      <c r="F1" s="251"/>
      <c r="G1" s="235"/>
      <c r="H1" s="251" t="s">
        <v>109</v>
      </c>
      <c r="J1" s="251"/>
      <c r="K1" s="251"/>
      <c r="L1" s="235"/>
      <c r="M1" s="235"/>
      <c r="N1" s="235"/>
      <c r="O1" s="252"/>
      <c r="P1" s="235" t="s">
        <v>567</v>
      </c>
      <c r="Q1" s="42"/>
      <c r="S1" s="42"/>
      <c r="T1" s="42"/>
    </row>
    <row r="2" spans="1:20" ht="16.5" thickBot="1" x14ac:dyDescent="0.3">
      <c r="A2" s="253"/>
      <c r="B2" s="253"/>
      <c r="C2" s="253"/>
      <c r="D2" s="253"/>
      <c r="E2" s="253"/>
      <c r="F2" s="253"/>
      <c r="G2" s="245" t="s">
        <v>481</v>
      </c>
      <c r="H2" s="344"/>
      <c r="I2" s="253"/>
      <c r="J2" s="253"/>
      <c r="K2" s="253"/>
      <c r="L2" s="253"/>
      <c r="M2" s="253"/>
      <c r="N2" s="253"/>
      <c r="O2" s="253"/>
      <c r="P2" s="266" t="s">
        <v>298</v>
      </c>
      <c r="Q2" s="46"/>
      <c r="R2" s="245" t="str">
        <f>'A-1 Estimated Revenue Req.'!$E$1</f>
        <v>20190156-EI</v>
      </c>
      <c r="S2" s="42"/>
      <c r="T2" s="42"/>
    </row>
    <row r="3" spans="1:20" x14ac:dyDescent="0.2">
      <c r="A3" s="47"/>
      <c r="B3" s="47"/>
      <c r="C3" s="47"/>
      <c r="D3" s="47"/>
      <c r="E3" s="47"/>
      <c r="F3" s="47"/>
      <c r="G3" s="47"/>
      <c r="H3" s="47"/>
      <c r="I3" s="47"/>
      <c r="J3" s="47"/>
      <c r="K3" s="47"/>
      <c r="L3" s="47"/>
      <c r="M3" s="47"/>
      <c r="N3" s="47"/>
      <c r="O3" s="47"/>
      <c r="P3" s="47"/>
      <c r="Q3" s="47"/>
      <c r="R3" s="47"/>
      <c r="S3" s="42"/>
      <c r="T3" s="42"/>
    </row>
    <row r="4" spans="1:20" ht="16.5" x14ac:dyDescent="0.25">
      <c r="A4" s="48" t="s">
        <v>110</v>
      </c>
      <c r="B4" s="48"/>
      <c r="C4" s="42"/>
      <c r="D4" s="42"/>
      <c r="E4" s="42"/>
      <c r="F4" s="42" t="s">
        <v>111</v>
      </c>
      <c r="G4" s="42"/>
      <c r="H4" s="43" t="s">
        <v>112</v>
      </c>
      <c r="I4" s="43"/>
      <c r="J4" s="43"/>
      <c r="K4" s="43"/>
      <c r="L4" s="42"/>
      <c r="M4" s="42"/>
      <c r="N4" s="42"/>
      <c r="O4" s="42" t="s">
        <v>113</v>
      </c>
      <c r="P4" s="42"/>
      <c r="Q4" s="42"/>
      <c r="R4" s="42"/>
      <c r="S4" s="42"/>
      <c r="T4" s="42"/>
    </row>
    <row r="5" spans="1:20" ht="16.5" x14ac:dyDescent="0.25">
      <c r="A5" s="48"/>
      <c r="B5" s="48"/>
      <c r="C5" s="42"/>
      <c r="D5" s="42"/>
      <c r="E5" s="42"/>
      <c r="F5" s="42"/>
      <c r="G5" s="43"/>
      <c r="H5" s="43" t="s">
        <v>114</v>
      </c>
      <c r="I5" s="43"/>
      <c r="J5" s="43"/>
      <c r="K5" s="43"/>
      <c r="L5" s="42"/>
      <c r="M5" s="42"/>
      <c r="N5" s="203"/>
      <c r="O5" s="158" t="s">
        <v>304</v>
      </c>
      <c r="P5" s="42"/>
      <c r="Q5" s="42"/>
      <c r="R5" s="42"/>
      <c r="S5" s="42"/>
      <c r="T5" s="42"/>
    </row>
    <row r="6" spans="1:20" ht="16.5" x14ac:dyDescent="0.25">
      <c r="A6" s="48" t="s">
        <v>115</v>
      </c>
      <c r="B6" s="48"/>
      <c r="C6" s="42"/>
      <c r="D6" s="42"/>
      <c r="E6" s="42"/>
      <c r="F6" s="42"/>
      <c r="G6" s="43"/>
      <c r="H6" s="43" t="s">
        <v>116</v>
      </c>
      <c r="I6" s="43"/>
      <c r="J6" s="43"/>
      <c r="K6" s="43"/>
      <c r="L6" s="42"/>
      <c r="M6" s="42"/>
      <c r="N6" s="42"/>
      <c r="O6" s="42"/>
      <c r="P6" s="42"/>
      <c r="Q6" s="42"/>
      <c r="R6" s="42"/>
      <c r="S6" s="42"/>
      <c r="T6" s="42"/>
    </row>
    <row r="7" spans="1:20" ht="16.5" x14ac:dyDescent="0.25">
      <c r="A7" s="48"/>
      <c r="B7" s="48"/>
      <c r="C7" s="42"/>
      <c r="D7" s="42"/>
      <c r="E7" s="43"/>
      <c r="F7" s="43"/>
      <c r="G7" s="43"/>
      <c r="H7" s="43"/>
      <c r="I7" s="43"/>
      <c r="J7" s="43"/>
      <c r="K7" s="43"/>
      <c r="L7" s="42"/>
      <c r="M7" s="42"/>
      <c r="N7" s="42"/>
      <c r="O7" s="42"/>
      <c r="P7" s="42"/>
      <c r="Q7" s="42"/>
      <c r="R7" s="42"/>
      <c r="S7" s="42"/>
      <c r="T7" s="42"/>
    </row>
    <row r="8" spans="1:20" ht="16.5" x14ac:dyDescent="0.25">
      <c r="A8" s="48"/>
      <c r="B8" s="48"/>
      <c r="C8" s="42"/>
      <c r="D8" s="42"/>
      <c r="E8" s="43"/>
      <c r="F8" s="43"/>
      <c r="G8" s="43"/>
      <c r="H8" s="43"/>
      <c r="I8" s="43"/>
      <c r="J8" s="43"/>
      <c r="K8" s="43"/>
      <c r="L8" s="42"/>
      <c r="M8" s="42"/>
      <c r="N8" s="42"/>
      <c r="O8" s="42"/>
      <c r="P8" s="42"/>
      <c r="Q8" s="42"/>
      <c r="R8" s="42"/>
      <c r="S8" s="42"/>
      <c r="T8" s="42"/>
    </row>
    <row r="9" spans="1:20" ht="15.75" thickBot="1" x14ac:dyDescent="0.25">
      <c r="A9" s="46"/>
      <c r="B9" s="46"/>
      <c r="C9" s="46"/>
      <c r="D9" s="46"/>
      <c r="E9" s="49"/>
      <c r="F9" s="49"/>
      <c r="G9" s="49"/>
      <c r="H9" s="49"/>
      <c r="I9" s="49"/>
      <c r="J9" s="49"/>
      <c r="K9" s="49"/>
      <c r="L9" s="46"/>
      <c r="M9" s="46"/>
      <c r="N9" s="46"/>
      <c r="O9" s="46"/>
      <c r="P9" s="46"/>
      <c r="Q9" s="46"/>
      <c r="R9" s="46"/>
      <c r="S9" s="42"/>
      <c r="T9" s="42"/>
    </row>
    <row r="10" spans="1:20" x14ac:dyDescent="0.2">
      <c r="A10" s="47"/>
      <c r="B10" s="47"/>
      <c r="C10" s="47"/>
      <c r="D10" s="47"/>
      <c r="E10" s="47"/>
      <c r="F10" s="47"/>
      <c r="G10" s="47"/>
      <c r="H10" s="47"/>
      <c r="I10" s="47"/>
      <c r="J10" s="47"/>
      <c r="K10" s="47"/>
      <c r="L10" s="47"/>
      <c r="M10" s="47"/>
      <c r="N10" s="47"/>
      <c r="O10" s="47"/>
      <c r="P10" s="47"/>
      <c r="Q10" s="47"/>
      <c r="R10" s="47"/>
      <c r="S10" s="42"/>
      <c r="T10" s="42"/>
    </row>
    <row r="11" spans="1:20" x14ac:dyDescent="0.2">
      <c r="A11" s="43"/>
      <c r="B11" s="42"/>
      <c r="C11" s="42"/>
      <c r="D11" s="50" t="s">
        <v>22</v>
      </c>
      <c r="E11" s="50" t="s">
        <v>23</v>
      </c>
      <c r="F11" s="51"/>
      <c r="G11" s="50" t="s">
        <v>24</v>
      </c>
      <c r="H11" s="50" t="s">
        <v>25</v>
      </c>
      <c r="I11" s="51"/>
      <c r="J11" s="50" t="s">
        <v>26</v>
      </c>
      <c r="K11" s="50" t="s">
        <v>118</v>
      </c>
      <c r="L11" s="51"/>
      <c r="M11" s="52" t="s">
        <v>119</v>
      </c>
      <c r="N11" s="51"/>
      <c r="O11" s="52" t="s">
        <v>120</v>
      </c>
      <c r="P11" s="52" t="s">
        <v>121</v>
      </c>
      <c r="Q11" s="51"/>
      <c r="R11" s="52" t="s">
        <v>122</v>
      </c>
      <c r="S11" s="42"/>
      <c r="T11" s="42"/>
    </row>
    <row r="12" spans="1:20" x14ac:dyDescent="0.2">
      <c r="A12" s="43"/>
      <c r="B12" s="42"/>
      <c r="C12" s="42"/>
      <c r="D12" s="42"/>
      <c r="E12" s="50" t="s">
        <v>123</v>
      </c>
      <c r="F12" s="51"/>
      <c r="G12" s="42"/>
      <c r="H12" s="51"/>
      <c r="I12" s="51"/>
      <c r="J12" s="42"/>
      <c r="K12" s="50"/>
      <c r="L12" s="51"/>
      <c r="M12" s="52"/>
      <c r="N12" s="51"/>
      <c r="O12" s="42"/>
      <c r="P12" s="52"/>
      <c r="Q12" s="51"/>
      <c r="R12" s="42"/>
      <c r="S12" s="42"/>
      <c r="T12" s="42"/>
    </row>
    <row r="13" spans="1:20" x14ac:dyDescent="0.2">
      <c r="A13" s="42"/>
      <c r="B13" s="42"/>
      <c r="C13" s="42"/>
      <c r="D13" s="42"/>
      <c r="E13" s="50" t="s">
        <v>124</v>
      </c>
      <c r="F13" s="51"/>
      <c r="G13" s="50" t="s">
        <v>125</v>
      </c>
      <c r="H13" s="51"/>
      <c r="I13" s="51"/>
      <c r="J13" s="50" t="s">
        <v>126</v>
      </c>
      <c r="K13" s="50" t="s">
        <v>127</v>
      </c>
      <c r="L13" s="51"/>
      <c r="M13" s="52" t="s">
        <v>128</v>
      </c>
      <c r="N13" s="51"/>
      <c r="O13" s="52" t="s">
        <v>129</v>
      </c>
      <c r="P13" s="52" t="s">
        <v>130</v>
      </c>
      <c r="Q13" s="51"/>
      <c r="R13" s="42"/>
      <c r="S13" s="42"/>
      <c r="T13" s="42"/>
    </row>
    <row r="14" spans="1:20" x14ac:dyDescent="0.2">
      <c r="A14" s="43" t="s">
        <v>131</v>
      </c>
      <c r="B14" s="42"/>
      <c r="C14" s="42"/>
      <c r="D14" s="50" t="s">
        <v>132</v>
      </c>
      <c r="E14" s="50" t="s">
        <v>133</v>
      </c>
      <c r="F14" s="51"/>
      <c r="G14" s="50" t="s">
        <v>134</v>
      </c>
      <c r="H14" s="50" t="s">
        <v>135</v>
      </c>
      <c r="I14" s="51"/>
      <c r="J14" s="50" t="s">
        <v>136</v>
      </c>
      <c r="K14" s="52" t="s">
        <v>137</v>
      </c>
      <c r="L14" s="53"/>
      <c r="M14" s="52" t="s">
        <v>138</v>
      </c>
      <c r="N14" s="51"/>
      <c r="O14" s="52" t="s">
        <v>139</v>
      </c>
      <c r="P14" s="52" t="s">
        <v>140</v>
      </c>
      <c r="Q14" s="51"/>
      <c r="R14" s="52" t="s">
        <v>7</v>
      </c>
      <c r="S14" s="42"/>
      <c r="T14" s="42"/>
    </row>
    <row r="15" spans="1:20" x14ac:dyDescent="0.2">
      <c r="A15" s="43" t="s">
        <v>141</v>
      </c>
      <c r="B15" s="42"/>
      <c r="C15" s="42"/>
      <c r="D15" s="52" t="s">
        <v>142</v>
      </c>
      <c r="E15" s="52" t="s">
        <v>143</v>
      </c>
      <c r="F15" s="51"/>
      <c r="G15" s="50" t="s">
        <v>144</v>
      </c>
      <c r="H15" s="50" t="s">
        <v>137</v>
      </c>
      <c r="I15" s="51"/>
      <c r="J15" s="50" t="s">
        <v>145</v>
      </c>
      <c r="K15" s="52" t="s">
        <v>146</v>
      </c>
      <c r="L15" s="51"/>
      <c r="M15" s="52" t="s">
        <v>126</v>
      </c>
      <c r="N15" s="51"/>
      <c r="O15" s="52" t="s">
        <v>147</v>
      </c>
      <c r="P15" s="52" t="s">
        <v>148</v>
      </c>
      <c r="Q15" s="51"/>
      <c r="R15" s="52" t="s">
        <v>140</v>
      </c>
      <c r="S15" s="42"/>
      <c r="T15" s="42"/>
    </row>
    <row r="16" spans="1:20" ht="15.75" thickBot="1" x14ac:dyDescent="0.25">
      <c r="A16" s="46"/>
      <c r="B16" s="46"/>
      <c r="C16" s="46"/>
      <c r="D16" s="46"/>
      <c r="E16" s="46"/>
      <c r="F16" s="46"/>
      <c r="G16" s="46"/>
      <c r="H16" s="46"/>
      <c r="I16" s="46"/>
      <c r="J16" s="46"/>
      <c r="K16" s="46"/>
      <c r="L16" s="46"/>
      <c r="M16" s="46"/>
      <c r="N16" s="46"/>
      <c r="O16" s="46"/>
      <c r="P16" s="46"/>
      <c r="Q16" s="46"/>
      <c r="R16" s="46"/>
      <c r="S16" s="42"/>
      <c r="T16" s="42"/>
    </row>
    <row r="17" spans="1:20" x14ac:dyDescent="0.2">
      <c r="A17" s="47"/>
      <c r="B17" s="47"/>
      <c r="C17" s="47"/>
      <c r="D17" s="47"/>
      <c r="E17" s="47"/>
      <c r="F17" s="47"/>
      <c r="G17" s="47"/>
      <c r="H17" s="47"/>
      <c r="I17" s="47"/>
      <c r="J17" s="47"/>
      <c r="K17" s="47"/>
      <c r="L17" s="47"/>
      <c r="M17" s="47"/>
      <c r="N17" s="47"/>
      <c r="O17" s="47"/>
      <c r="P17" s="47"/>
      <c r="Q17" s="47"/>
      <c r="R17" s="47"/>
      <c r="S17" s="42"/>
      <c r="T17" s="42"/>
    </row>
    <row r="18" spans="1:20" x14ac:dyDescent="0.2">
      <c r="A18" s="54">
        <v>1</v>
      </c>
      <c r="B18" s="55" t="s">
        <v>149</v>
      </c>
      <c r="C18" s="55"/>
      <c r="D18" s="56">
        <f>'B-3'!V46</f>
        <v>18573911.329999998</v>
      </c>
      <c r="E18" s="56">
        <f>'B-3'!V93</f>
        <v>224576.1639000001</v>
      </c>
      <c r="F18" s="55"/>
      <c r="G18" s="57">
        <f>D18+E18</f>
        <v>18798487.493899997</v>
      </c>
      <c r="H18" s="56">
        <v>0</v>
      </c>
      <c r="I18" s="55"/>
      <c r="J18" s="55">
        <v>0</v>
      </c>
      <c r="K18" s="55">
        <v>0</v>
      </c>
      <c r="L18" s="55"/>
      <c r="M18" s="56">
        <f>G18+H18</f>
        <v>18798487.493899997</v>
      </c>
      <c r="N18" s="55"/>
      <c r="O18" s="58"/>
      <c r="P18" s="47"/>
      <c r="Q18" s="47"/>
      <c r="R18" s="59">
        <f>SUM(M18:Q18)</f>
        <v>18798487.493899997</v>
      </c>
      <c r="S18" s="42"/>
      <c r="T18" s="42"/>
    </row>
    <row r="19" spans="1:20" x14ac:dyDescent="0.2">
      <c r="A19" s="60">
        <v>2</v>
      </c>
      <c r="B19" s="43" t="s">
        <v>150</v>
      </c>
      <c r="C19" s="43"/>
      <c r="D19" s="61">
        <v>1</v>
      </c>
      <c r="E19" s="61">
        <v>1</v>
      </c>
      <c r="F19" s="61"/>
      <c r="G19" s="61">
        <v>1</v>
      </c>
      <c r="H19" s="61">
        <v>1</v>
      </c>
      <c r="I19" s="61"/>
      <c r="J19" s="61">
        <v>1</v>
      </c>
      <c r="K19" s="61">
        <v>1</v>
      </c>
      <c r="L19" s="61"/>
      <c r="M19" s="61">
        <v>1</v>
      </c>
      <c r="N19" s="61"/>
      <c r="O19" s="62">
        <v>1</v>
      </c>
      <c r="P19" s="61">
        <v>1</v>
      </c>
      <c r="Q19" s="61"/>
      <c r="R19" s="61">
        <v>1</v>
      </c>
      <c r="S19" s="43"/>
      <c r="T19" s="42"/>
    </row>
    <row r="20" spans="1:20" x14ac:dyDescent="0.2">
      <c r="A20" s="50">
        <v>3</v>
      </c>
      <c r="B20" s="43" t="s">
        <v>151</v>
      </c>
      <c r="C20" s="43"/>
      <c r="D20" s="63">
        <f>D18*D19</f>
        <v>18573911.329999998</v>
      </c>
      <c r="E20" s="64">
        <f>E18*E19</f>
        <v>224576.1639000001</v>
      </c>
      <c r="F20" s="65"/>
      <c r="G20" s="66">
        <f>G18*G19</f>
        <v>18798487.493899997</v>
      </c>
      <c r="H20" s="65">
        <f>H18</f>
        <v>0</v>
      </c>
      <c r="I20" s="65"/>
      <c r="J20" s="63">
        <f>J18*J19</f>
        <v>0</v>
      </c>
      <c r="K20" s="63">
        <f>K18</f>
        <v>0</v>
      </c>
      <c r="L20" s="63"/>
      <c r="M20" s="63">
        <f>M18</f>
        <v>18798487.493899997</v>
      </c>
      <c r="N20" s="63"/>
      <c r="O20" s="67">
        <f>O18</f>
        <v>0</v>
      </c>
      <c r="P20" s="65">
        <f>P18</f>
        <v>0</v>
      </c>
      <c r="Q20" s="65"/>
      <c r="R20" s="63">
        <f>R18*R19</f>
        <v>18798487.493899997</v>
      </c>
      <c r="S20" s="42"/>
      <c r="T20" s="42"/>
    </row>
    <row r="21" spans="1:20" x14ac:dyDescent="0.2">
      <c r="A21" s="54">
        <v>4</v>
      </c>
      <c r="B21" s="68" t="s">
        <v>152</v>
      </c>
      <c r="C21" s="43"/>
      <c r="D21" s="69"/>
      <c r="E21" s="70"/>
      <c r="F21" s="70"/>
      <c r="G21" s="69"/>
      <c r="H21" s="70"/>
      <c r="I21" s="70"/>
      <c r="J21" s="69"/>
      <c r="K21" s="56"/>
      <c r="L21" s="56"/>
      <c r="M21" s="56"/>
      <c r="N21" s="56"/>
      <c r="O21" s="71"/>
      <c r="P21" s="59"/>
      <c r="Q21" s="59"/>
      <c r="R21" s="70"/>
      <c r="S21" s="42"/>
      <c r="T21" s="42"/>
    </row>
    <row r="22" spans="1:20" x14ac:dyDescent="0.2">
      <c r="A22" s="60">
        <v>5</v>
      </c>
      <c r="B22" s="43" t="s">
        <v>454</v>
      </c>
      <c r="C22" s="43"/>
      <c r="D22" s="69"/>
      <c r="E22" s="70"/>
      <c r="F22" s="70"/>
      <c r="G22" s="56"/>
      <c r="H22" s="70"/>
      <c r="I22" s="70"/>
      <c r="J22" s="69"/>
      <c r="K22" s="56"/>
      <c r="L22" s="56"/>
      <c r="M22" s="56">
        <f>H22+G22</f>
        <v>0</v>
      </c>
      <c r="N22" s="56"/>
      <c r="O22" s="71">
        <f>'B-2'!O40</f>
        <v>39270870.005000047</v>
      </c>
      <c r="P22" s="59"/>
      <c r="Q22" s="59"/>
      <c r="R22" s="70">
        <f t="shared" ref="R22:R30" si="0">SUM(M22:Q22)</f>
        <v>39270870.005000047</v>
      </c>
      <c r="S22" s="42"/>
      <c r="T22" s="42"/>
    </row>
    <row r="23" spans="1:20" x14ac:dyDescent="0.2">
      <c r="A23" s="50">
        <v>6</v>
      </c>
      <c r="B23" s="72" t="s">
        <v>455</v>
      </c>
      <c r="C23" s="43"/>
      <c r="D23" s="69"/>
      <c r="E23" s="70"/>
      <c r="F23" s="70"/>
      <c r="G23" s="69"/>
      <c r="H23" s="70"/>
      <c r="I23" s="70"/>
      <c r="J23" s="69"/>
      <c r="K23" s="56"/>
      <c r="L23" s="56"/>
      <c r="M23" s="56">
        <f t="shared" ref="M23:M26" si="1">H23+G23</f>
        <v>0</v>
      </c>
      <c r="N23" s="56"/>
      <c r="O23" s="71">
        <f>'B-2'!O41</f>
        <v>454003.27874357539</v>
      </c>
      <c r="P23" s="59"/>
      <c r="Q23" s="59"/>
      <c r="R23" s="70">
        <f t="shared" si="0"/>
        <v>454003.27874357539</v>
      </c>
      <c r="S23" s="42"/>
      <c r="T23" s="42"/>
    </row>
    <row r="24" spans="1:20" x14ac:dyDescent="0.2">
      <c r="A24" s="54">
        <v>7</v>
      </c>
      <c r="B24" s="43" t="s">
        <v>456</v>
      </c>
      <c r="C24" s="43"/>
      <c r="D24" s="69"/>
      <c r="E24" s="70"/>
      <c r="F24" s="70"/>
      <c r="G24" s="69"/>
      <c r="H24" s="70"/>
      <c r="I24" s="70"/>
      <c r="J24" s="69"/>
      <c r="K24" s="56"/>
      <c r="L24" s="56"/>
      <c r="M24" s="56">
        <f t="shared" si="1"/>
        <v>0</v>
      </c>
      <c r="N24" s="56"/>
      <c r="O24" s="71">
        <f>'B-2'!O42</f>
        <v>885854.59861194016</v>
      </c>
      <c r="P24" s="59"/>
      <c r="Q24" s="59"/>
      <c r="R24" s="70">
        <f t="shared" si="0"/>
        <v>885854.59861194016</v>
      </c>
      <c r="S24" s="42"/>
      <c r="T24" s="42"/>
    </row>
    <row r="25" spans="1:20" x14ac:dyDescent="0.2">
      <c r="A25" s="60">
        <v>8</v>
      </c>
      <c r="B25" s="43" t="s">
        <v>478</v>
      </c>
      <c r="C25" s="43"/>
      <c r="D25" s="69"/>
      <c r="E25" s="70"/>
      <c r="F25" s="70"/>
      <c r="G25" s="69"/>
      <c r="H25" s="70"/>
      <c r="I25" s="70"/>
      <c r="J25" s="69"/>
      <c r="K25" s="56"/>
      <c r="L25" s="56"/>
      <c r="M25" s="56">
        <f t="shared" si="1"/>
        <v>0</v>
      </c>
      <c r="N25" s="56"/>
      <c r="O25" s="71">
        <f>'B-2'!K43</f>
        <v>7838897.6305</v>
      </c>
      <c r="P25" s="59"/>
      <c r="Q25" s="59"/>
      <c r="R25" s="70">
        <f t="shared" si="0"/>
        <v>7838897.6305</v>
      </c>
      <c r="S25" s="42"/>
      <c r="T25" s="42"/>
    </row>
    <row r="26" spans="1:20" x14ac:dyDescent="0.2">
      <c r="A26" s="50">
        <v>9</v>
      </c>
      <c r="B26" s="437" t="s">
        <v>560</v>
      </c>
      <c r="C26" s="437"/>
      <c r="D26" s="438">
        <f>'B-2'!O26</f>
        <v>-1429416</v>
      </c>
      <c r="E26" s="439">
        <f>'B-2'!O33</f>
        <v>269017.92</v>
      </c>
      <c r="F26" s="439"/>
      <c r="G26" s="440">
        <f>D26+E26</f>
        <v>-1160398.08</v>
      </c>
      <c r="H26" s="70"/>
      <c r="I26" s="70"/>
      <c r="J26" s="69"/>
      <c r="K26" s="56"/>
      <c r="L26" s="56"/>
      <c r="M26" s="56">
        <f t="shared" si="1"/>
        <v>-1160398.08</v>
      </c>
      <c r="N26" s="56"/>
      <c r="O26" s="71"/>
      <c r="P26" s="59"/>
      <c r="Q26" s="59"/>
      <c r="R26" s="70">
        <f t="shared" si="0"/>
        <v>-1160398.08</v>
      </c>
      <c r="S26" s="42"/>
      <c r="T26" s="42"/>
    </row>
    <row r="27" spans="1:20" x14ac:dyDescent="0.2">
      <c r="A27" s="54">
        <v>10</v>
      </c>
      <c r="B27" s="43"/>
      <c r="C27" s="43"/>
      <c r="D27" s="69"/>
      <c r="E27" s="70"/>
      <c r="F27" s="70"/>
      <c r="G27" s="69"/>
      <c r="H27" s="70"/>
      <c r="I27" s="70"/>
      <c r="J27" s="69"/>
      <c r="K27" s="56"/>
      <c r="L27" s="56"/>
      <c r="M27" s="56"/>
      <c r="N27" s="56"/>
      <c r="O27" s="71"/>
      <c r="P27" s="59"/>
      <c r="Q27" s="59"/>
      <c r="R27" s="70">
        <f t="shared" si="0"/>
        <v>0</v>
      </c>
      <c r="S27" s="42"/>
      <c r="T27" s="42"/>
    </row>
    <row r="28" spans="1:20" x14ac:dyDescent="0.2">
      <c r="A28" s="60">
        <v>11</v>
      </c>
      <c r="B28" s="43"/>
      <c r="C28" s="43"/>
      <c r="D28" s="69"/>
      <c r="E28" s="70"/>
      <c r="F28" s="70"/>
      <c r="G28" s="56"/>
      <c r="H28" s="70"/>
      <c r="I28" s="70"/>
      <c r="J28" s="69"/>
      <c r="K28" s="56"/>
      <c r="L28" s="56"/>
      <c r="M28" s="56"/>
      <c r="N28" s="56"/>
      <c r="O28" s="71"/>
      <c r="P28" s="59"/>
      <c r="Q28" s="59"/>
      <c r="R28" s="70">
        <f t="shared" si="0"/>
        <v>0</v>
      </c>
      <c r="S28" s="42"/>
      <c r="T28" s="42"/>
    </row>
    <row r="29" spans="1:20" x14ac:dyDescent="0.2">
      <c r="A29" s="50">
        <v>12</v>
      </c>
      <c r="B29" s="43"/>
      <c r="C29" s="43"/>
      <c r="D29" s="69"/>
      <c r="E29" s="70"/>
      <c r="F29" s="70"/>
      <c r="G29" s="69"/>
      <c r="H29" s="70"/>
      <c r="I29" s="70"/>
      <c r="J29" s="69"/>
      <c r="K29" s="56"/>
      <c r="L29" s="56"/>
      <c r="M29" s="56"/>
      <c r="N29" s="56"/>
      <c r="O29" s="71"/>
      <c r="P29" s="59"/>
      <c r="Q29" s="59"/>
      <c r="R29" s="70">
        <f t="shared" si="0"/>
        <v>0</v>
      </c>
      <c r="S29" s="42"/>
      <c r="T29" s="42"/>
    </row>
    <row r="30" spans="1:20" x14ac:dyDescent="0.2">
      <c r="A30" s="54">
        <v>13</v>
      </c>
      <c r="B30" s="43"/>
      <c r="C30" s="43"/>
      <c r="D30" s="69"/>
      <c r="E30" s="70"/>
      <c r="F30" s="70"/>
      <c r="G30" s="69"/>
      <c r="H30" s="70"/>
      <c r="I30" s="70"/>
      <c r="J30" s="69"/>
      <c r="K30" s="56"/>
      <c r="L30" s="56"/>
      <c r="M30" s="56"/>
      <c r="N30" s="56"/>
      <c r="O30" s="71"/>
      <c r="P30" s="59"/>
      <c r="Q30" s="59"/>
      <c r="R30" s="70">
        <f t="shared" si="0"/>
        <v>0</v>
      </c>
      <c r="S30" s="42"/>
      <c r="T30" s="42"/>
    </row>
    <row r="31" spans="1:20" x14ac:dyDescent="0.2">
      <c r="A31" s="60">
        <v>14</v>
      </c>
      <c r="B31" s="43"/>
      <c r="C31" s="43"/>
      <c r="D31" s="69"/>
      <c r="E31" s="70"/>
      <c r="F31" s="70"/>
      <c r="G31" s="69"/>
      <c r="H31" s="70"/>
      <c r="I31" s="70"/>
      <c r="J31" s="69"/>
      <c r="K31" s="56"/>
      <c r="L31" s="56"/>
      <c r="M31" s="56"/>
      <c r="N31" s="56"/>
      <c r="O31" s="71"/>
      <c r="P31" s="59"/>
      <c r="Q31" s="59"/>
      <c r="R31" s="70"/>
      <c r="S31" s="42"/>
      <c r="T31" s="42"/>
    </row>
    <row r="32" spans="1:20" x14ac:dyDescent="0.2">
      <c r="A32" s="50">
        <v>15</v>
      </c>
      <c r="B32" s="43"/>
      <c r="C32" s="43"/>
      <c r="D32" s="69"/>
      <c r="E32" s="70"/>
      <c r="F32" s="70"/>
      <c r="G32" s="69"/>
      <c r="H32" s="70"/>
      <c r="I32" s="70"/>
      <c r="J32" s="69"/>
      <c r="K32" s="56"/>
      <c r="L32" s="56"/>
      <c r="M32" s="56"/>
      <c r="N32" s="56"/>
      <c r="O32" s="69"/>
      <c r="P32" s="59"/>
      <c r="Q32" s="59"/>
      <c r="R32" s="70"/>
      <c r="S32" s="42"/>
      <c r="T32" s="42"/>
    </row>
    <row r="33" spans="1:20" x14ac:dyDescent="0.2">
      <c r="A33" s="54">
        <v>16</v>
      </c>
      <c r="B33" s="43"/>
      <c r="C33" s="43"/>
      <c r="D33" s="69"/>
      <c r="E33" s="70"/>
      <c r="F33" s="70"/>
      <c r="G33" s="69"/>
      <c r="H33" s="70"/>
      <c r="I33" s="70"/>
      <c r="J33" s="69"/>
      <c r="K33" s="56"/>
      <c r="L33" s="56"/>
      <c r="M33" s="56"/>
      <c r="N33" s="56"/>
      <c r="O33" s="69"/>
      <c r="P33" s="59"/>
      <c r="Q33" s="59"/>
      <c r="R33" s="70"/>
      <c r="S33" s="42"/>
      <c r="T33" s="42"/>
    </row>
    <row r="34" spans="1:20" x14ac:dyDescent="0.2">
      <c r="A34" s="60">
        <v>17</v>
      </c>
      <c r="B34" s="43"/>
      <c r="C34" s="43"/>
      <c r="D34" s="69"/>
      <c r="E34" s="70"/>
      <c r="F34" s="70"/>
      <c r="G34" s="69"/>
      <c r="H34" s="70"/>
      <c r="I34" s="70"/>
      <c r="J34" s="69"/>
      <c r="K34" s="56"/>
      <c r="L34" s="56"/>
      <c r="M34" s="56"/>
      <c r="N34" s="56"/>
      <c r="O34" s="69"/>
      <c r="P34" s="59"/>
      <c r="Q34" s="59"/>
      <c r="R34" s="70"/>
      <c r="S34" s="42"/>
      <c r="T34" s="42"/>
    </row>
    <row r="35" spans="1:20" x14ac:dyDescent="0.2">
      <c r="A35" s="50">
        <v>18</v>
      </c>
      <c r="B35" s="43"/>
      <c r="C35" s="43"/>
      <c r="D35" s="69"/>
      <c r="E35" s="70"/>
      <c r="F35" s="70"/>
      <c r="G35" s="69"/>
      <c r="H35" s="70"/>
      <c r="I35" s="70"/>
      <c r="J35" s="69"/>
      <c r="K35" s="56"/>
      <c r="L35" s="56"/>
      <c r="M35" s="56"/>
      <c r="N35" s="56"/>
      <c r="O35" s="69"/>
      <c r="P35" s="59"/>
      <c r="Q35" s="59"/>
      <c r="R35" s="70"/>
      <c r="S35" s="42"/>
      <c r="T35" s="42"/>
    </row>
    <row r="36" spans="1:20" x14ac:dyDescent="0.2">
      <c r="A36" s="54">
        <v>19</v>
      </c>
      <c r="B36" s="43"/>
      <c r="C36" s="43"/>
      <c r="D36" s="69"/>
      <c r="E36" s="70"/>
      <c r="F36" s="70"/>
      <c r="G36" s="69"/>
      <c r="H36" s="70"/>
      <c r="I36" s="70"/>
      <c r="J36" s="69"/>
      <c r="K36" s="56"/>
      <c r="L36" s="56"/>
      <c r="M36" s="56"/>
      <c r="N36" s="56"/>
      <c r="O36" s="69"/>
      <c r="P36" s="59"/>
      <c r="Q36" s="59"/>
      <c r="R36" s="70"/>
      <c r="S36" s="42"/>
      <c r="T36" s="42"/>
    </row>
    <row r="37" spans="1:20" x14ac:dyDescent="0.2">
      <c r="A37" s="60">
        <v>20</v>
      </c>
      <c r="B37" s="43"/>
      <c r="C37" s="43"/>
      <c r="D37" s="69"/>
      <c r="E37" s="70"/>
      <c r="F37" s="70"/>
      <c r="G37" s="69"/>
      <c r="H37" s="70"/>
      <c r="I37" s="70"/>
      <c r="J37" s="69"/>
      <c r="K37" s="56"/>
      <c r="L37" s="56"/>
      <c r="M37" s="56"/>
      <c r="N37" s="56"/>
      <c r="O37" s="69"/>
      <c r="P37" s="59"/>
      <c r="Q37" s="59"/>
      <c r="R37" s="70"/>
      <c r="S37" s="42"/>
      <c r="T37" s="42"/>
    </row>
    <row r="38" spans="1:20" x14ac:dyDescent="0.2">
      <c r="A38" s="50">
        <v>21</v>
      </c>
      <c r="B38" s="43"/>
      <c r="C38" s="43"/>
      <c r="D38" s="69"/>
      <c r="E38" s="70"/>
      <c r="F38" s="70"/>
      <c r="G38" s="69"/>
      <c r="H38" s="70"/>
      <c r="I38" s="70"/>
      <c r="J38" s="69"/>
      <c r="K38" s="56"/>
      <c r="L38" s="56"/>
      <c r="M38" s="56"/>
      <c r="N38" s="56"/>
      <c r="O38" s="69"/>
      <c r="P38" s="59"/>
      <c r="Q38" s="59"/>
      <c r="R38" s="70"/>
      <c r="S38" s="42"/>
      <c r="T38" s="42"/>
    </row>
    <row r="39" spans="1:20" x14ac:dyDescent="0.2">
      <c r="A39" s="54">
        <v>22</v>
      </c>
      <c r="B39" s="43"/>
      <c r="C39" s="43"/>
      <c r="D39" s="69"/>
      <c r="E39" s="70"/>
      <c r="F39" s="70"/>
      <c r="G39" s="69"/>
      <c r="H39" s="70"/>
      <c r="I39" s="70"/>
      <c r="J39" s="69"/>
      <c r="K39" s="56"/>
      <c r="L39" s="56"/>
      <c r="M39" s="56"/>
      <c r="N39" s="56"/>
      <c r="O39" s="69"/>
      <c r="P39" s="59"/>
      <c r="Q39" s="59"/>
      <c r="R39" s="70"/>
      <c r="S39" s="42"/>
      <c r="T39" s="42"/>
    </row>
    <row r="40" spans="1:20" x14ac:dyDescent="0.2">
      <c r="A40" s="60">
        <v>23</v>
      </c>
      <c r="B40" s="43"/>
      <c r="C40" s="43"/>
      <c r="D40" s="69"/>
      <c r="E40" s="70"/>
      <c r="F40" s="70"/>
      <c r="G40" s="69"/>
      <c r="H40" s="70"/>
      <c r="I40" s="70"/>
      <c r="J40" s="69"/>
      <c r="K40" s="56"/>
      <c r="L40" s="56"/>
      <c r="M40" s="56"/>
      <c r="N40" s="56"/>
      <c r="O40" s="69"/>
      <c r="P40" s="59"/>
      <c r="Q40" s="59"/>
      <c r="R40" s="70"/>
      <c r="S40" s="42"/>
      <c r="T40" s="42"/>
    </row>
    <row r="41" spans="1:20" x14ac:dyDescent="0.2">
      <c r="A41" s="50">
        <v>24</v>
      </c>
      <c r="B41" s="43"/>
      <c r="C41" s="43"/>
      <c r="D41" s="69"/>
      <c r="E41" s="70"/>
      <c r="F41" s="70"/>
      <c r="G41" s="69"/>
      <c r="H41" s="70"/>
      <c r="I41" s="70"/>
      <c r="J41" s="69"/>
      <c r="K41" s="56"/>
      <c r="L41" s="56"/>
      <c r="M41" s="56"/>
      <c r="N41" s="56"/>
      <c r="O41" s="69"/>
      <c r="P41" s="59"/>
      <c r="Q41" s="59"/>
      <c r="R41" s="70"/>
      <c r="S41" s="42"/>
      <c r="T41" s="42"/>
    </row>
    <row r="42" spans="1:20" x14ac:dyDescent="0.2">
      <c r="A42" s="54">
        <v>25</v>
      </c>
      <c r="B42" s="43"/>
      <c r="C42" s="43"/>
      <c r="D42" s="69"/>
      <c r="E42" s="70"/>
      <c r="F42" s="70"/>
      <c r="G42" s="69"/>
      <c r="H42" s="70"/>
      <c r="I42" s="70"/>
      <c r="J42" s="69"/>
      <c r="K42" s="56"/>
      <c r="L42" s="56"/>
      <c r="M42" s="56"/>
      <c r="N42" s="56"/>
      <c r="O42" s="69"/>
      <c r="P42" s="59"/>
      <c r="Q42" s="59"/>
      <c r="R42" s="70"/>
      <c r="S42" s="42"/>
      <c r="T42" s="42"/>
    </row>
    <row r="43" spans="1:20" x14ac:dyDescent="0.2">
      <c r="A43" s="60">
        <v>26</v>
      </c>
      <c r="B43" s="43"/>
      <c r="C43" s="43"/>
      <c r="D43" s="69"/>
      <c r="E43" s="70"/>
      <c r="F43" s="70"/>
      <c r="G43" s="70"/>
      <c r="H43" s="70"/>
      <c r="I43" s="70"/>
      <c r="J43" s="69"/>
      <c r="K43" s="56"/>
      <c r="L43" s="56"/>
      <c r="M43" s="56"/>
      <c r="N43" s="56"/>
      <c r="O43" s="69"/>
      <c r="P43" s="59"/>
      <c r="Q43" s="59"/>
      <c r="R43" s="70"/>
      <c r="S43" s="42"/>
      <c r="T43" s="42"/>
    </row>
    <row r="44" spans="1:20" x14ac:dyDescent="0.2">
      <c r="A44" s="50">
        <v>27</v>
      </c>
      <c r="B44" s="43"/>
      <c r="C44" s="43"/>
      <c r="D44" s="73"/>
      <c r="E44" s="74"/>
      <c r="F44" s="74"/>
      <c r="G44" s="73"/>
      <c r="H44" s="74"/>
      <c r="I44" s="74"/>
      <c r="J44" s="73"/>
      <c r="K44" s="73"/>
      <c r="L44" s="73"/>
      <c r="M44" s="73"/>
      <c r="N44" s="73"/>
      <c r="O44" s="73"/>
      <c r="P44" s="74"/>
      <c r="Q44" s="74"/>
      <c r="R44" s="74"/>
      <c r="S44" s="42"/>
      <c r="T44" s="42"/>
    </row>
    <row r="45" spans="1:20" x14ac:dyDescent="0.2">
      <c r="A45" s="54">
        <v>28</v>
      </c>
      <c r="B45" s="42" t="s">
        <v>153</v>
      </c>
      <c r="C45" s="43"/>
      <c r="D45" s="69">
        <f>SUM(D22:D44)</f>
        <v>-1429416</v>
      </c>
      <c r="E45" s="69">
        <f>SUM(E22:E44)</f>
        <v>269017.92</v>
      </c>
      <c r="F45" s="69"/>
      <c r="G45" s="69">
        <f>SUM(G22:G44)</f>
        <v>-1160398.08</v>
      </c>
      <c r="H45" s="70">
        <f>SUM(H22:H44)</f>
        <v>0</v>
      </c>
      <c r="I45" s="70"/>
      <c r="J45" s="69">
        <f>SUM(J22:J44)</f>
        <v>0</v>
      </c>
      <c r="K45" s="56">
        <f>SUM(K22:K44)</f>
        <v>0</v>
      </c>
      <c r="L45" s="56"/>
      <c r="M45" s="56">
        <f>SUM(M22:M44)</f>
        <v>-1160398.08</v>
      </c>
      <c r="N45" s="56"/>
      <c r="O45" s="69">
        <f>SUM(O22:O44)</f>
        <v>48449625.51285556</v>
      </c>
      <c r="P45" s="59">
        <f>SUM(P22:P44)</f>
        <v>0</v>
      </c>
      <c r="Q45" s="59"/>
      <c r="R45" s="70">
        <f>SUM(R22:R44)</f>
        <v>47289227.432855561</v>
      </c>
      <c r="S45" s="42"/>
      <c r="T45" s="42"/>
    </row>
    <row r="46" spans="1:20" x14ac:dyDescent="0.2">
      <c r="A46" s="60">
        <v>29</v>
      </c>
      <c r="B46" s="43"/>
      <c r="C46" s="43"/>
      <c r="D46" s="69"/>
      <c r="E46" s="70"/>
      <c r="F46" s="70"/>
      <c r="G46" s="69"/>
      <c r="H46" s="70"/>
      <c r="I46" s="70"/>
      <c r="J46" s="69"/>
      <c r="K46" s="56"/>
      <c r="L46" s="56"/>
      <c r="M46" s="56"/>
      <c r="N46" s="56"/>
      <c r="O46" s="69"/>
      <c r="P46" s="59"/>
      <c r="Q46" s="59"/>
      <c r="R46" s="70"/>
      <c r="S46" s="42"/>
      <c r="T46" s="42"/>
    </row>
    <row r="47" spans="1:20" ht="15.75" thickBot="1" x14ac:dyDescent="0.25">
      <c r="A47" s="50">
        <v>30</v>
      </c>
      <c r="B47" s="42" t="s">
        <v>154</v>
      </c>
      <c r="C47" s="43"/>
      <c r="D47" s="75">
        <f>D45+D20</f>
        <v>17144495.329999998</v>
      </c>
      <c r="E47" s="75">
        <f>E45+E20</f>
        <v>493594.08390000009</v>
      </c>
      <c r="F47" s="75"/>
      <c r="G47" s="75">
        <f>G45+G20</f>
        <v>17638089.413899995</v>
      </c>
      <c r="H47" s="76">
        <f>H45+H20</f>
        <v>0</v>
      </c>
      <c r="I47" s="76"/>
      <c r="J47" s="76">
        <f>J45+J20</f>
        <v>0</v>
      </c>
      <c r="K47" s="76">
        <f>K45+K20</f>
        <v>0</v>
      </c>
      <c r="L47" s="75"/>
      <c r="M47" s="76">
        <f>M45+M20</f>
        <v>17638089.413899995</v>
      </c>
      <c r="N47" s="75"/>
      <c r="O47" s="76">
        <f>O45+O20</f>
        <v>48449625.51285556</v>
      </c>
      <c r="P47" s="76">
        <f>P45+P20</f>
        <v>0</v>
      </c>
      <c r="Q47" s="76"/>
      <c r="R47" s="76">
        <f>R20+R45</f>
        <v>66087714.926755562</v>
      </c>
      <c r="S47" s="42"/>
      <c r="T47" s="42"/>
    </row>
    <row r="48" spans="1:20" ht="16.5" thickTop="1" thickBot="1" x14ac:dyDescent="0.25">
      <c r="A48" s="42"/>
      <c r="B48" s="42"/>
      <c r="C48" s="42"/>
      <c r="D48" s="42"/>
      <c r="E48" s="42"/>
      <c r="F48" s="42"/>
      <c r="G48" s="42"/>
      <c r="H48" s="42"/>
      <c r="I48" s="42"/>
      <c r="J48" s="42"/>
      <c r="K48" s="42"/>
      <c r="L48" s="42"/>
      <c r="M48" s="42"/>
      <c r="N48" s="42"/>
      <c r="O48" s="42"/>
      <c r="P48" s="42"/>
      <c r="Q48" s="42"/>
      <c r="R48" s="70"/>
      <c r="S48" s="42"/>
      <c r="T48" s="42"/>
    </row>
    <row r="49" spans="1:20" x14ac:dyDescent="0.2">
      <c r="A49" s="77"/>
      <c r="B49" s="77"/>
      <c r="C49" s="77"/>
      <c r="D49" s="78"/>
      <c r="E49" s="78"/>
      <c r="F49" s="78"/>
      <c r="G49" s="78"/>
      <c r="H49" s="78"/>
      <c r="I49" s="78"/>
      <c r="J49" s="78"/>
      <c r="K49" s="78"/>
      <c r="L49" s="77"/>
      <c r="M49" s="77"/>
      <c r="N49" s="78"/>
      <c r="O49" s="78"/>
      <c r="P49" s="77"/>
      <c r="Q49" s="77"/>
      <c r="R49" s="79"/>
      <c r="S49" s="42"/>
      <c r="T49" s="42"/>
    </row>
    <row r="50" spans="1:20" x14ac:dyDescent="0.2">
      <c r="A50" s="42"/>
      <c r="B50" s="42"/>
      <c r="C50" s="42"/>
      <c r="D50" s="42"/>
      <c r="E50" s="42"/>
      <c r="F50" s="42"/>
      <c r="G50" s="42"/>
      <c r="H50" s="42"/>
      <c r="I50" s="42"/>
      <c r="J50" s="42"/>
      <c r="K50" s="42"/>
      <c r="L50" s="42"/>
      <c r="M50" s="42"/>
      <c r="N50" s="42"/>
      <c r="O50" s="42"/>
      <c r="P50" s="42"/>
      <c r="Q50" s="42"/>
      <c r="R50" s="70"/>
      <c r="S50" s="42"/>
      <c r="T50" s="42"/>
    </row>
    <row r="51" spans="1:20" x14ac:dyDescent="0.2">
      <c r="A51" s="44"/>
      <c r="B51" s="44"/>
      <c r="C51" s="44"/>
      <c r="D51" s="44"/>
      <c r="E51" s="44"/>
      <c r="F51" s="44"/>
      <c r="G51" s="44"/>
      <c r="H51" s="44"/>
      <c r="I51" s="44"/>
      <c r="J51" s="44"/>
      <c r="K51" s="44"/>
      <c r="L51" s="44"/>
      <c r="M51" s="44"/>
      <c r="N51" s="44"/>
      <c r="O51" s="44"/>
      <c r="P51" s="44"/>
      <c r="Q51" s="44"/>
      <c r="R51" s="44"/>
      <c r="S51" s="42"/>
      <c r="T51" s="42"/>
    </row>
    <row r="52" spans="1:20" x14ac:dyDescent="0.2">
      <c r="A52" s="42"/>
      <c r="B52" s="42"/>
      <c r="C52" s="42"/>
      <c r="D52" s="42"/>
      <c r="E52" s="42"/>
      <c r="F52" s="42"/>
      <c r="G52" s="42"/>
      <c r="H52" s="42"/>
      <c r="I52" s="42"/>
      <c r="J52" s="42"/>
      <c r="K52" s="42"/>
      <c r="L52" s="42"/>
      <c r="M52" s="42"/>
      <c r="N52" s="42"/>
      <c r="O52" s="42"/>
      <c r="P52" s="42"/>
      <c r="Q52" s="42"/>
      <c r="R52" s="42"/>
      <c r="S52" s="42"/>
      <c r="T52" s="42"/>
    </row>
    <row r="53" spans="1:20" x14ac:dyDescent="0.2">
      <c r="A53" s="42"/>
      <c r="B53" s="42"/>
      <c r="C53" s="42"/>
      <c r="D53" s="42"/>
      <c r="E53" s="42"/>
      <c r="F53" s="42"/>
      <c r="G53" s="42"/>
      <c r="H53" s="42"/>
      <c r="I53" s="42"/>
      <c r="J53" s="42"/>
      <c r="K53" s="42"/>
      <c r="L53" s="42"/>
      <c r="M53" s="42"/>
      <c r="N53" s="42"/>
      <c r="O53" s="42"/>
      <c r="P53" s="42"/>
      <c r="Q53" s="42"/>
      <c r="R53" s="42"/>
      <c r="S53" s="42"/>
      <c r="T53" s="42"/>
    </row>
    <row r="54" spans="1:20" x14ac:dyDescent="0.2">
      <c r="A54" s="42"/>
      <c r="B54" s="42"/>
      <c r="C54" s="42"/>
      <c r="D54" s="42"/>
      <c r="E54" s="42"/>
      <c r="F54" s="42"/>
      <c r="G54" s="42"/>
      <c r="H54" s="42"/>
      <c r="I54" s="42"/>
      <c r="J54" s="42"/>
      <c r="K54" s="42"/>
      <c r="L54" s="42"/>
      <c r="M54" s="42"/>
      <c r="N54" s="42"/>
      <c r="O54" s="42"/>
      <c r="P54" s="42"/>
      <c r="Q54" s="42"/>
      <c r="R54" s="42"/>
      <c r="S54" s="42"/>
      <c r="T54" s="42"/>
    </row>
    <row r="55" spans="1:20" x14ac:dyDescent="0.2">
      <c r="A55" s="42"/>
      <c r="B55" s="42"/>
      <c r="C55" s="42"/>
      <c r="D55" s="42"/>
      <c r="E55" s="42"/>
      <c r="F55" s="42"/>
      <c r="G55" s="42"/>
      <c r="H55" s="42"/>
      <c r="I55" s="42"/>
      <c r="J55" s="42"/>
      <c r="K55" s="42"/>
      <c r="L55" s="42"/>
      <c r="M55" s="42"/>
      <c r="N55" s="42"/>
      <c r="O55" s="42"/>
      <c r="P55" s="42"/>
      <c r="Q55" s="42"/>
      <c r="R55" s="42"/>
      <c r="S55" s="42"/>
      <c r="T55" s="42"/>
    </row>
    <row r="56" spans="1:20" x14ac:dyDescent="0.2">
      <c r="A56" s="42"/>
      <c r="B56" s="42"/>
      <c r="C56" s="42"/>
      <c r="D56" s="42"/>
      <c r="E56" s="42"/>
      <c r="F56" s="42"/>
      <c r="G56" s="42"/>
      <c r="H56" s="42"/>
      <c r="I56" s="42"/>
      <c r="J56" s="42"/>
      <c r="K56" s="42"/>
      <c r="L56" s="42"/>
      <c r="M56" s="42"/>
      <c r="N56" s="42"/>
      <c r="O56" s="42"/>
      <c r="P56" s="42"/>
      <c r="Q56" s="42"/>
      <c r="R56" s="42"/>
      <c r="S56" s="42"/>
      <c r="T56" s="42"/>
    </row>
    <row r="57" spans="1:20" x14ac:dyDescent="0.2">
      <c r="A57" s="42"/>
      <c r="B57" s="42"/>
      <c r="C57" s="42"/>
      <c r="D57" s="42"/>
      <c r="E57" s="42"/>
      <c r="F57" s="42"/>
      <c r="G57" s="42"/>
      <c r="H57" s="42"/>
      <c r="I57" s="42"/>
      <c r="J57" s="42"/>
      <c r="K57" s="42"/>
      <c r="L57" s="42"/>
      <c r="M57" s="42"/>
      <c r="N57" s="42"/>
      <c r="O57" s="42"/>
      <c r="P57" s="42"/>
      <c r="Q57" s="42"/>
      <c r="R57" s="42"/>
      <c r="S57" s="42"/>
      <c r="T57" s="42"/>
    </row>
  </sheetData>
  <pageMargins left="0.7" right="0.7" top="0.75" bottom="0.75" header="0.3" footer="0.3"/>
  <pageSetup scale="4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Z58"/>
  <sheetViews>
    <sheetView topLeftCell="G1" workbookViewId="0">
      <selection activeCell="P1" sqref="P1"/>
    </sheetView>
  </sheetViews>
  <sheetFormatPr defaultColWidth="9.140625" defaultRowHeight="15" x14ac:dyDescent="0.2"/>
  <cols>
    <col min="1" max="1" width="7" style="45" customWidth="1"/>
    <col min="2" max="2" width="30.42578125" style="45" customWidth="1"/>
    <col min="3" max="3" width="12.5703125" style="45" customWidth="1"/>
    <col min="4" max="4" width="5.7109375" style="45" customWidth="1"/>
    <col min="5" max="5" width="5.5703125" style="45" customWidth="1"/>
    <col min="6" max="6" width="38.140625" style="45" customWidth="1"/>
    <col min="7" max="7" width="7.85546875" style="45" customWidth="1"/>
    <col min="8" max="8" width="12.5703125" style="45" customWidth="1"/>
    <col min="9" max="9" width="11.140625" style="45" customWidth="1"/>
    <col min="10" max="10" width="11.42578125" style="45" customWidth="1"/>
    <col min="11" max="11" width="18.42578125" style="45" customWidth="1"/>
    <col min="12" max="12" width="11.140625" style="45" customWidth="1"/>
    <col min="13" max="13" width="12.5703125" style="45" customWidth="1"/>
    <col min="14" max="14" width="6.5703125" style="45" customWidth="1"/>
    <col min="15" max="15" width="17.5703125" style="45" customWidth="1"/>
    <col min="16" max="16" width="12.5703125" style="45" customWidth="1"/>
    <col min="17" max="17" width="6.42578125" style="45" customWidth="1"/>
    <col min="18" max="18" width="17.42578125" style="45" customWidth="1"/>
    <col min="19" max="26" width="12.5703125" style="45" customWidth="1"/>
    <col min="27" max="16384" width="9.140625" style="45"/>
  </cols>
  <sheetData>
    <row r="1" spans="1:26" ht="16.5" x14ac:dyDescent="0.25">
      <c r="A1" s="246" t="s">
        <v>155</v>
      </c>
      <c r="B1" s="247"/>
      <c r="C1" s="246"/>
      <c r="D1" s="246"/>
      <c r="E1" s="247"/>
      <c r="F1" s="247"/>
      <c r="G1" s="248"/>
      <c r="I1" s="247" t="s">
        <v>156</v>
      </c>
      <c r="J1" s="247"/>
      <c r="K1" s="247"/>
      <c r="L1" s="246"/>
      <c r="M1" s="246"/>
      <c r="N1" s="246"/>
      <c r="O1" s="246"/>
      <c r="P1" s="235" t="s">
        <v>566</v>
      </c>
      <c r="Q1" s="80"/>
      <c r="R1" s="80"/>
      <c r="S1" s="42"/>
      <c r="T1" s="42"/>
      <c r="U1" s="42"/>
      <c r="V1" s="42"/>
      <c r="W1" s="42"/>
      <c r="X1" s="42"/>
      <c r="Y1" s="42"/>
      <c r="Z1" s="42"/>
    </row>
    <row r="2" spans="1:26" ht="17.25" thickBot="1" x14ac:dyDescent="0.3">
      <c r="A2" s="249"/>
      <c r="B2" s="249"/>
      <c r="C2" s="249"/>
      <c r="D2" s="249"/>
      <c r="E2" s="249"/>
      <c r="F2" s="250"/>
      <c r="G2" s="245" t="s">
        <v>481</v>
      </c>
      <c r="H2" s="249"/>
      <c r="I2" s="249"/>
      <c r="J2" s="249"/>
      <c r="K2" s="249"/>
      <c r="L2" s="249"/>
      <c r="M2" s="249"/>
      <c r="N2" s="249"/>
      <c r="O2" s="249"/>
      <c r="P2" s="266" t="s">
        <v>298</v>
      </c>
      <c r="Q2" s="46"/>
      <c r="R2" s="245" t="str">
        <f>'A-1 Estimated Revenue Req.'!$E$1</f>
        <v>20190156-EI</v>
      </c>
      <c r="S2" s="42"/>
      <c r="T2" s="42"/>
      <c r="U2" s="42"/>
      <c r="V2" s="42"/>
      <c r="W2" s="42"/>
      <c r="X2" s="42"/>
      <c r="Y2" s="42"/>
      <c r="Z2" s="42"/>
    </row>
    <row r="3" spans="1:26" ht="16.5" x14ac:dyDescent="0.25">
      <c r="A3" s="83"/>
      <c r="B3" s="83"/>
      <c r="C3" s="83"/>
      <c r="D3" s="83"/>
      <c r="E3" s="83"/>
      <c r="F3" s="83"/>
      <c r="G3" s="83"/>
      <c r="H3" s="83"/>
      <c r="I3" s="83"/>
      <c r="J3" s="83"/>
      <c r="K3" s="83"/>
      <c r="L3" s="83"/>
      <c r="M3" s="83"/>
      <c r="N3" s="83"/>
      <c r="O3" s="83"/>
      <c r="P3" s="83"/>
      <c r="Q3" s="83"/>
      <c r="R3" s="83"/>
      <c r="S3" s="42"/>
      <c r="T3" s="42"/>
      <c r="U3" s="42"/>
      <c r="V3" s="42"/>
      <c r="W3" s="42"/>
      <c r="X3" s="42"/>
      <c r="Y3" s="42"/>
      <c r="Z3" s="42"/>
    </row>
    <row r="4" spans="1:26" ht="16.5" x14ac:dyDescent="0.25">
      <c r="A4" s="48" t="s">
        <v>110</v>
      </c>
      <c r="B4" s="48"/>
      <c r="C4" s="80"/>
      <c r="D4" s="80"/>
      <c r="E4" s="42"/>
      <c r="F4" s="80" t="s">
        <v>111</v>
      </c>
      <c r="G4" s="80"/>
      <c r="H4" s="81" t="s">
        <v>157</v>
      </c>
      <c r="I4" s="81"/>
      <c r="J4" s="81"/>
      <c r="K4" s="81"/>
      <c r="L4" s="80"/>
      <c r="M4" s="80"/>
      <c r="N4" s="42"/>
      <c r="O4" s="42" t="s">
        <v>113</v>
      </c>
      <c r="P4" s="80"/>
      <c r="Q4" s="80"/>
      <c r="R4" s="80"/>
      <c r="S4" s="42"/>
      <c r="T4" s="42"/>
      <c r="U4" s="42"/>
      <c r="V4" s="42"/>
      <c r="W4" s="42"/>
      <c r="X4" s="42"/>
      <c r="Y4" s="42"/>
      <c r="Z4" s="42"/>
    </row>
    <row r="5" spans="1:26" ht="16.5" x14ac:dyDescent="0.25">
      <c r="A5" s="48"/>
      <c r="B5" s="48"/>
      <c r="C5" s="80"/>
      <c r="D5" s="80"/>
      <c r="E5" s="42"/>
      <c r="F5" s="42"/>
      <c r="G5" s="81"/>
      <c r="H5" s="81" t="s">
        <v>158</v>
      </c>
      <c r="I5" s="81"/>
      <c r="J5" s="81"/>
      <c r="K5" s="81"/>
      <c r="L5" s="80"/>
      <c r="M5" s="80"/>
      <c r="N5" s="203"/>
      <c r="O5" s="158" t="str">
        <f>'B-1'!O5</f>
        <v>Projected Test Year Ended December 31, 2020</v>
      </c>
      <c r="Q5" s="80"/>
      <c r="R5" s="80"/>
      <c r="S5" s="42"/>
      <c r="T5" s="42"/>
      <c r="U5" s="42"/>
      <c r="V5" s="42"/>
      <c r="W5" s="42"/>
      <c r="X5" s="42"/>
      <c r="Y5" s="42"/>
      <c r="Z5" s="42"/>
    </row>
    <row r="6" spans="1:26" ht="16.5" x14ac:dyDescent="0.25">
      <c r="A6" s="48" t="s">
        <v>115</v>
      </c>
      <c r="B6" s="48"/>
      <c r="C6" s="80"/>
      <c r="D6" s="80"/>
      <c r="E6" s="42"/>
      <c r="F6" s="42"/>
      <c r="G6" s="81"/>
      <c r="H6" s="81" t="s">
        <v>159</v>
      </c>
      <c r="I6" s="81"/>
      <c r="J6" s="81"/>
      <c r="K6" s="81"/>
      <c r="L6" s="80"/>
      <c r="M6" s="80"/>
      <c r="N6" s="42"/>
      <c r="O6" s="42"/>
      <c r="P6" s="80"/>
      <c r="Q6" s="80"/>
      <c r="R6" s="80"/>
      <c r="S6" s="42"/>
      <c r="T6" s="42"/>
      <c r="U6" s="42"/>
      <c r="V6" s="42"/>
      <c r="W6" s="42"/>
      <c r="X6" s="42"/>
      <c r="Y6" s="42"/>
      <c r="Z6" s="42"/>
    </row>
    <row r="7" spans="1:26" ht="16.5" x14ac:dyDescent="0.25">
      <c r="A7" s="48"/>
      <c r="B7" s="48">
        <f>'B-1'!B7</f>
        <v>0</v>
      </c>
      <c r="C7" s="80"/>
      <c r="D7" s="80"/>
      <c r="E7" s="42"/>
      <c r="F7" s="42"/>
      <c r="G7" s="81"/>
      <c r="H7" s="81" t="s">
        <v>160</v>
      </c>
      <c r="I7" s="81"/>
      <c r="J7" s="81"/>
      <c r="K7" s="81"/>
      <c r="L7" s="80"/>
      <c r="M7" s="80"/>
      <c r="N7" s="42"/>
      <c r="O7" s="42"/>
      <c r="P7" s="80"/>
      <c r="Q7" s="80"/>
      <c r="R7" s="80"/>
      <c r="S7" s="42"/>
      <c r="T7" s="42"/>
      <c r="U7" s="42"/>
      <c r="V7" s="42"/>
      <c r="W7" s="42"/>
      <c r="X7" s="42"/>
      <c r="Y7" s="42"/>
      <c r="Z7" s="42"/>
    </row>
    <row r="8" spans="1:26" ht="16.5" x14ac:dyDescent="0.25">
      <c r="A8" s="48"/>
      <c r="B8" s="48"/>
      <c r="C8" s="80"/>
      <c r="D8" s="80"/>
      <c r="E8" s="42"/>
      <c r="F8" s="42"/>
      <c r="G8" s="81"/>
      <c r="H8" s="81" t="s">
        <v>161</v>
      </c>
      <c r="I8" s="81"/>
      <c r="J8" s="81"/>
      <c r="K8" s="81"/>
      <c r="L8" s="80"/>
      <c r="M8" s="80"/>
      <c r="N8" s="42"/>
      <c r="O8" s="42"/>
      <c r="P8" s="80"/>
      <c r="Q8" s="80"/>
      <c r="R8" s="80"/>
      <c r="S8" s="42"/>
      <c r="T8" s="42"/>
      <c r="U8" s="42"/>
      <c r="V8" s="42"/>
      <c r="W8" s="42"/>
      <c r="X8" s="42"/>
      <c r="Y8" s="42"/>
      <c r="Z8" s="42"/>
    </row>
    <row r="9" spans="1:26" ht="16.5" x14ac:dyDescent="0.25">
      <c r="A9" s="80"/>
      <c r="B9" s="80"/>
      <c r="C9" s="80"/>
      <c r="D9" s="80"/>
      <c r="E9" s="42"/>
      <c r="F9" s="42"/>
      <c r="G9" s="81"/>
      <c r="H9" s="80"/>
      <c r="I9" s="81"/>
      <c r="J9" s="81"/>
      <c r="K9" s="81"/>
      <c r="L9" s="80"/>
      <c r="M9" s="80"/>
      <c r="N9" s="80"/>
      <c r="O9" s="80"/>
      <c r="P9" s="80"/>
      <c r="Q9" s="80"/>
      <c r="R9" s="80"/>
      <c r="S9" s="42"/>
      <c r="T9" s="42"/>
      <c r="U9" s="42"/>
      <c r="V9" s="42"/>
      <c r="W9" s="42"/>
      <c r="X9" s="42"/>
      <c r="Y9" s="42"/>
      <c r="Z9" s="42"/>
    </row>
    <row r="10" spans="1:26" ht="16.5" x14ac:dyDescent="0.25">
      <c r="A10" s="80"/>
      <c r="B10" s="80"/>
      <c r="C10" s="80"/>
      <c r="D10" s="80"/>
      <c r="E10" s="42"/>
      <c r="F10" s="42"/>
      <c r="G10" s="80"/>
      <c r="H10" s="80"/>
      <c r="I10" s="80"/>
      <c r="J10" s="80"/>
      <c r="K10" s="80"/>
      <c r="L10" s="80"/>
      <c r="M10" s="80"/>
      <c r="N10" s="80"/>
      <c r="O10" s="80"/>
      <c r="P10" s="80"/>
      <c r="Q10" s="80"/>
      <c r="R10" s="80"/>
      <c r="S10" s="42"/>
      <c r="T10" s="42"/>
      <c r="U10" s="42"/>
      <c r="V10" s="42"/>
      <c r="W10" s="42"/>
      <c r="X10" s="42"/>
      <c r="Y10" s="42"/>
      <c r="Z10" s="42"/>
    </row>
    <row r="11" spans="1:26" ht="17.25" thickBot="1" x14ac:dyDescent="0.3">
      <c r="A11" s="82"/>
      <c r="B11" s="82"/>
      <c r="C11" s="82"/>
      <c r="D11" s="82"/>
      <c r="E11" s="82"/>
      <c r="F11" s="82"/>
      <c r="G11" s="82"/>
      <c r="H11" s="82"/>
      <c r="I11" s="82"/>
      <c r="J11" s="82"/>
      <c r="K11" s="82"/>
      <c r="L11" s="82"/>
      <c r="M11" s="82"/>
      <c r="N11" s="82"/>
      <c r="O11" s="82"/>
      <c r="P11" s="82"/>
      <c r="Q11" s="82"/>
      <c r="R11" s="82"/>
      <c r="S11" s="42"/>
      <c r="T11" s="42"/>
      <c r="U11" s="42"/>
      <c r="V11" s="42"/>
      <c r="W11" s="42"/>
      <c r="X11" s="42"/>
      <c r="Y11" s="42"/>
      <c r="Z11" s="42"/>
    </row>
    <row r="12" spans="1:26" ht="16.5" x14ac:dyDescent="0.25">
      <c r="A12" s="84"/>
      <c r="B12" s="84"/>
      <c r="C12" s="84"/>
      <c r="D12" s="84"/>
      <c r="E12" s="84"/>
      <c r="F12" s="84"/>
      <c r="G12" s="84"/>
      <c r="H12" s="84"/>
      <c r="I12" s="84"/>
      <c r="J12" s="84"/>
      <c r="K12" s="84"/>
      <c r="L12" s="84"/>
      <c r="M12" s="84"/>
      <c r="N12" s="84"/>
      <c r="O12" s="84"/>
      <c r="P12" s="84"/>
      <c r="Q12" s="84"/>
      <c r="R12" s="84"/>
      <c r="S12" s="42"/>
      <c r="T12" s="42"/>
      <c r="U12" s="42"/>
      <c r="V12" s="42"/>
      <c r="W12" s="42"/>
      <c r="X12" s="42"/>
      <c r="Y12" s="42"/>
      <c r="Z12" s="42"/>
    </row>
    <row r="13" spans="1:26" ht="16.5" x14ac:dyDescent="0.25">
      <c r="A13" s="81"/>
      <c r="B13" s="81"/>
      <c r="C13" s="81"/>
      <c r="D13" s="80"/>
      <c r="E13" s="81"/>
      <c r="F13" s="81"/>
      <c r="G13" s="81"/>
      <c r="H13" s="81"/>
      <c r="I13" s="81"/>
      <c r="J13" s="80"/>
      <c r="K13" s="85" t="s">
        <v>22</v>
      </c>
      <c r="L13" s="86" t="s">
        <v>23</v>
      </c>
      <c r="M13" s="51"/>
      <c r="N13" s="86" t="s">
        <v>24</v>
      </c>
      <c r="O13" s="51"/>
      <c r="P13" s="80"/>
      <c r="Q13" s="86"/>
      <c r="R13" s="87"/>
      <c r="S13" s="42"/>
      <c r="T13" s="42"/>
      <c r="U13" s="42"/>
      <c r="V13" s="42"/>
      <c r="W13" s="42"/>
      <c r="X13" s="42"/>
      <c r="Y13" s="42"/>
      <c r="Z13" s="42"/>
    </row>
    <row r="14" spans="1:26" ht="16.5" x14ac:dyDescent="0.25">
      <c r="A14" s="81"/>
      <c r="B14" s="81"/>
      <c r="C14" s="81"/>
      <c r="D14" s="80"/>
      <c r="E14" s="81"/>
      <c r="F14" s="81"/>
      <c r="G14" s="81"/>
      <c r="H14" s="81"/>
      <c r="I14" s="81"/>
      <c r="J14" s="80"/>
      <c r="K14" s="81"/>
      <c r="L14" s="86"/>
      <c r="M14" s="86"/>
      <c r="N14" s="442" t="s">
        <v>162</v>
      </c>
      <c r="O14" s="442"/>
      <c r="P14" s="80"/>
      <c r="Q14" s="86"/>
      <c r="R14" s="87"/>
      <c r="S14" s="42"/>
      <c r="T14" s="42"/>
      <c r="U14" s="42"/>
      <c r="V14" s="42"/>
      <c r="W14" s="42"/>
      <c r="X14" s="42"/>
      <c r="Y14" s="42"/>
      <c r="Z14" s="42"/>
    </row>
    <row r="15" spans="1:26" ht="16.5" x14ac:dyDescent="0.25">
      <c r="A15" s="81"/>
      <c r="B15" s="81"/>
      <c r="C15" s="81"/>
      <c r="D15" s="80"/>
      <c r="E15" s="81"/>
      <c r="F15" s="81"/>
      <c r="G15" s="81"/>
      <c r="H15" s="81"/>
      <c r="I15" s="81"/>
      <c r="J15" s="80"/>
      <c r="K15" s="80"/>
      <c r="L15" s="86"/>
      <c r="M15" s="86"/>
      <c r="N15" s="442" t="s">
        <v>163</v>
      </c>
      <c r="O15" s="442"/>
      <c r="P15" s="80"/>
      <c r="Q15" s="86"/>
      <c r="R15" s="87"/>
      <c r="S15" s="42"/>
      <c r="T15" s="42"/>
      <c r="U15" s="42"/>
      <c r="V15" s="42"/>
      <c r="W15" s="42"/>
      <c r="X15" s="42"/>
      <c r="Y15" s="42"/>
      <c r="Z15" s="42"/>
    </row>
    <row r="16" spans="1:26" ht="16.5" x14ac:dyDescent="0.25">
      <c r="A16" s="81"/>
      <c r="B16" s="81"/>
      <c r="C16" s="81"/>
      <c r="D16" s="80"/>
      <c r="E16" s="81"/>
      <c r="F16" s="81"/>
      <c r="G16" s="81"/>
      <c r="H16" s="81"/>
      <c r="I16" s="81"/>
      <c r="J16" s="80"/>
      <c r="K16" s="85" t="s">
        <v>164</v>
      </c>
      <c r="L16" s="86"/>
      <c r="M16" s="86"/>
      <c r="N16" s="442" t="s">
        <v>164</v>
      </c>
      <c r="O16" s="442"/>
      <c r="P16" s="80"/>
      <c r="Q16" s="87"/>
      <c r="R16" s="87"/>
      <c r="S16" s="42"/>
      <c r="T16" s="42"/>
      <c r="U16" s="42"/>
      <c r="V16" s="42"/>
      <c r="W16" s="42"/>
      <c r="X16" s="42"/>
      <c r="Y16" s="42"/>
      <c r="Z16" s="42"/>
    </row>
    <row r="17" spans="1:26" ht="16.5" x14ac:dyDescent="0.25">
      <c r="A17" s="81" t="s">
        <v>131</v>
      </c>
      <c r="B17" s="80"/>
      <c r="C17" s="81"/>
      <c r="D17" s="80"/>
      <c r="F17" s="85" t="s">
        <v>165</v>
      </c>
      <c r="G17" s="86"/>
      <c r="H17" s="86"/>
      <c r="I17" s="81"/>
      <c r="J17" s="80"/>
      <c r="K17" s="85" t="s">
        <v>166</v>
      </c>
      <c r="L17" s="442" t="s">
        <v>162</v>
      </c>
      <c r="M17" s="442"/>
      <c r="N17" s="442" t="s">
        <v>167</v>
      </c>
      <c r="O17" s="442"/>
      <c r="P17" s="80"/>
      <c r="Q17" s="86"/>
      <c r="R17" s="87"/>
      <c r="S17" s="42"/>
      <c r="T17" s="42"/>
      <c r="U17" s="42"/>
      <c r="V17" s="42"/>
      <c r="W17" s="42"/>
      <c r="X17" s="42"/>
      <c r="Y17" s="42"/>
      <c r="Z17" s="42"/>
    </row>
    <row r="18" spans="1:26" ht="16.5" x14ac:dyDescent="0.25">
      <c r="A18" s="81" t="s">
        <v>141</v>
      </c>
      <c r="B18" s="81" t="s">
        <v>168</v>
      </c>
      <c r="C18" s="81"/>
      <c r="D18" s="80"/>
      <c r="F18" s="85" t="s">
        <v>169</v>
      </c>
      <c r="G18" s="86"/>
      <c r="H18" s="86"/>
      <c r="I18" s="81"/>
      <c r="J18" s="80"/>
      <c r="K18" s="85"/>
      <c r="L18" s="442" t="s">
        <v>6</v>
      </c>
      <c r="M18" s="442"/>
      <c r="N18" s="442"/>
      <c r="O18" s="442"/>
      <c r="P18" s="80"/>
      <c r="Q18" s="86"/>
      <c r="R18" s="87"/>
      <c r="S18" s="42"/>
      <c r="T18" s="42"/>
      <c r="U18" s="42"/>
      <c r="V18" s="42"/>
      <c r="W18" s="42"/>
      <c r="X18" s="42"/>
      <c r="Y18" s="42"/>
      <c r="Z18" s="42"/>
    </row>
    <row r="19" spans="1:26" ht="17.25" thickBot="1" x14ac:dyDescent="0.3">
      <c r="A19" s="82"/>
      <c r="B19" s="82"/>
      <c r="C19" s="82"/>
      <c r="D19" s="82"/>
      <c r="E19" s="82"/>
      <c r="F19" s="82"/>
      <c r="G19" s="82"/>
      <c r="H19" s="82"/>
      <c r="I19" s="82"/>
      <c r="J19" s="82"/>
      <c r="K19" s="82"/>
      <c r="L19" s="82"/>
      <c r="M19" s="82"/>
      <c r="N19" s="82"/>
      <c r="O19" s="82"/>
      <c r="P19" s="82"/>
      <c r="Q19" s="82"/>
      <c r="R19" s="82"/>
      <c r="S19" s="42"/>
      <c r="T19" s="42"/>
      <c r="U19" s="42"/>
      <c r="V19" s="42"/>
      <c r="W19" s="42"/>
      <c r="X19" s="42"/>
      <c r="Y19" s="42"/>
      <c r="Z19" s="42"/>
    </row>
    <row r="20" spans="1:26" ht="16.5" x14ac:dyDescent="0.25">
      <c r="A20" s="88"/>
      <c r="B20" s="88"/>
      <c r="C20" s="88"/>
      <c r="D20" s="88"/>
      <c r="E20" s="88"/>
      <c r="F20" s="88"/>
      <c r="G20" s="88"/>
      <c r="H20" s="88"/>
      <c r="I20" s="88"/>
      <c r="J20" s="88"/>
      <c r="K20" s="88"/>
      <c r="L20" s="88"/>
      <c r="M20" s="88"/>
      <c r="N20" s="88"/>
      <c r="O20" s="88"/>
      <c r="P20" s="84"/>
      <c r="Q20" s="84"/>
      <c r="R20" s="84"/>
      <c r="S20" s="42"/>
      <c r="T20" s="42"/>
      <c r="U20" s="42"/>
      <c r="V20" s="42"/>
      <c r="W20" s="42"/>
      <c r="X20" s="42"/>
      <c r="Y20" s="42"/>
      <c r="Z20" s="42"/>
    </row>
    <row r="21" spans="1:26" x14ac:dyDescent="0.2">
      <c r="A21" s="50">
        <v>1</v>
      </c>
      <c r="B21" s="89" t="s">
        <v>170</v>
      </c>
      <c r="C21" s="90"/>
      <c r="D21" s="91"/>
      <c r="E21" s="91"/>
      <c r="F21" s="91"/>
      <c r="G21" s="92"/>
      <c r="H21" s="93"/>
      <c r="I21" s="91"/>
      <c r="J21" s="91"/>
      <c r="K21" s="43"/>
      <c r="L21" s="43"/>
      <c r="M21" s="43"/>
      <c r="N21" s="43"/>
      <c r="O21" s="43"/>
      <c r="P21" s="42"/>
      <c r="Q21" s="42"/>
      <c r="R21" s="42"/>
      <c r="S21" s="42"/>
      <c r="T21" s="42"/>
      <c r="U21" s="42"/>
      <c r="V21" s="42"/>
      <c r="W21" s="42"/>
      <c r="X21" s="42"/>
      <c r="Y21" s="42"/>
      <c r="Z21" s="42"/>
    </row>
    <row r="22" spans="1:26" x14ac:dyDescent="0.2">
      <c r="A22" s="50">
        <v>2</v>
      </c>
      <c r="B22" s="94" t="s">
        <v>171</v>
      </c>
      <c r="C22" s="95"/>
      <c r="D22" s="91"/>
      <c r="E22" s="91"/>
      <c r="F22" s="91"/>
      <c r="G22" s="92"/>
      <c r="H22" s="93"/>
      <c r="I22" s="91"/>
      <c r="J22" s="91"/>
      <c r="K22" s="43"/>
      <c r="L22" s="43"/>
      <c r="M22" s="43"/>
      <c r="N22" s="43"/>
      <c r="O22" s="43"/>
      <c r="P22" s="42"/>
      <c r="Q22" s="42"/>
      <c r="R22" s="42"/>
      <c r="S22" s="42"/>
      <c r="T22" s="42"/>
      <c r="U22" s="42"/>
      <c r="V22" s="42"/>
      <c r="W22" s="42"/>
      <c r="X22" s="42"/>
      <c r="Y22" s="42"/>
      <c r="Z22" s="42"/>
    </row>
    <row r="23" spans="1:26" ht="16.5" customHeight="1" x14ac:dyDescent="0.2">
      <c r="A23" s="50">
        <v>3</v>
      </c>
      <c r="B23" s="96" t="s">
        <v>432</v>
      </c>
      <c r="D23" s="91"/>
      <c r="E23" s="91"/>
      <c r="F23" s="72"/>
      <c r="G23" s="92"/>
      <c r="H23" s="93"/>
      <c r="I23" s="91"/>
      <c r="J23" s="91"/>
      <c r="K23" s="435"/>
      <c r="L23" s="323"/>
      <c r="M23" s="106"/>
      <c r="N23" s="91"/>
      <c r="O23" s="324"/>
      <c r="P23" s="42"/>
      <c r="Q23" s="42"/>
      <c r="R23" s="42"/>
      <c r="S23" s="42"/>
      <c r="T23" s="42"/>
      <c r="U23" s="42"/>
      <c r="V23" s="42"/>
      <c r="W23" s="42"/>
      <c r="X23" s="42"/>
      <c r="Y23" s="42"/>
      <c r="Z23" s="42"/>
    </row>
    <row r="24" spans="1:26" x14ac:dyDescent="0.2">
      <c r="A24" s="50">
        <v>4</v>
      </c>
      <c r="B24" s="96"/>
      <c r="D24" s="91"/>
      <c r="E24" s="91"/>
      <c r="F24" s="72"/>
      <c r="G24" s="92"/>
      <c r="H24" s="93"/>
      <c r="I24" s="91"/>
      <c r="J24" s="91"/>
      <c r="K24" s="43"/>
      <c r="L24" s="43"/>
      <c r="M24" s="43"/>
      <c r="N24" s="43"/>
      <c r="O24" s="43"/>
      <c r="P24" s="42"/>
      <c r="Q24" s="42"/>
      <c r="R24" s="42"/>
      <c r="S24" s="42"/>
      <c r="T24" s="42"/>
      <c r="U24" s="42"/>
      <c r="V24" s="42"/>
      <c r="W24" s="42"/>
      <c r="X24" s="42"/>
      <c r="Y24" s="42"/>
      <c r="Z24" s="42"/>
    </row>
    <row r="25" spans="1:26" x14ac:dyDescent="0.2">
      <c r="A25" s="50">
        <v>5</v>
      </c>
      <c r="B25" s="94" t="s">
        <v>172</v>
      </c>
      <c r="D25" s="91"/>
      <c r="E25" s="91"/>
      <c r="F25" s="72"/>
      <c r="G25" s="92"/>
      <c r="H25" s="93"/>
      <c r="I25" s="91"/>
      <c r="J25" s="91"/>
      <c r="K25" s="43"/>
      <c r="L25" s="43"/>
      <c r="M25" s="43"/>
      <c r="N25" s="43"/>
      <c r="O25" s="43"/>
      <c r="P25" s="42"/>
      <c r="Q25" s="42"/>
      <c r="R25" s="42"/>
      <c r="S25" s="42"/>
      <c r="T25" s="42"/>
      <c r="U25" s="42"/>
      <c r="V25" s="42"/>
      <c r="W25" s="42"/>
      <c r="X25" s="42"/>
      <c r="Y25" s="42"/>
      <c r="Z25" s="42"/>
    </row>
    <row r="26" spans="1:26" x14ac:dyDescent="0.2">
      <c r="A26" s="50">
        <v>6</v>
      </c>
      <c r="B26" s="96" t="s">
        <v>559</v>
      </c>
      <c r="D26" s="91"/>
      <c r="E26" s="91"/>
      <c r="F26" s="72"/>
      <c r="G26" s="92"/>
      <c r="H26" s="93"/>
      <c r="I26" s="91"/>
      <c r="J26" s="91"/>
      <c r="K26" s="435">
        <f>-1429416</f>
        <v>-1429416</v>
      </c>
      <c r="L26" s="323">
        <v>1</v>
      </c>
      <c r="M26" s="106"/>
      <c r="N26" s="91"/>
      <c r="O26" s="324">
        <f>K26*L26</f>
        <v>-1429416</v>
      </c>
      <c r="P26" s="42"/>
      <c r="Q26" s="42"/>
      <c r="R26" s="42"/>
      <c r="S26" s="42"/>
      <c r="T26" s="42"/>
      <c r="U26" s="42"/>
      <c r="V26" s="42"/>
      <c r="W26" s="42"/>
      <c r="X26" s="42"/>
      <c r="Y26" s="42"/>
      <c r="Z26" s="42"/>
    </row>
    <row r="27" spans="1:26" ht="16.5" customHeight="1" x14ac:dyDescent="0.2">
      <c r="A27" s="50">
        <v>7</v>
      </c>
      <c r="B27" s="98"/>
      <c r="D27" s="91"/>
      <c r="E27" s="91"/>
      <c r="F27" s="90"/>
      <c r="G27" s="43"/>
      <c r="H27" s="43"/>
      <c r="I27" s="43"/>
      <c r="J27" s="43"/>
      <c r="K27" s="69"/>
      <c r="L27" s="42"/>
      <c r="M27" s="97"/>
      <c r="N27" s="42"/>
      <c r="O27" s="70"/>
      <c r="P27" s="42"/>
      <c r="Q27" s="42"/>
      <c r="R27" s="42"/>
      <c r="S27" s="42"/>
      <c r="T27" s="42"/>
      <c r="U27" s="42"/>
      <c r="V27" s="42"/>
    </row>
    <row r="28" spans="1:26" ht="15.75" customHeight="1" x14ac:dyDescent="0.2">
      <c r="A28" s="50">
        <v>8</v>
      </c>
      <c r="B28" s="89" t="s">
        <v>433</v>
      </c>
      <c r="D28" s="91"/>
      <c r="E28" s="91"/>
      <c r="F28" s="90"/>
      <c r="G28" s="43"/>
      <c r="H28" s="43"/>
      <c r="I28" s="43"/>
      <c r="J28" s="43"/>
      <c r="K28" s="69"/>
      <c r="L28" s="42"/>
      <c r="M28" s="97"/>
      <c r="N28" s="42"/>
      <c r="O28" s="70"/>
      <c r="P28" s="42"/>
      <c r="Q28" s="42"/>
      <c r="R28" s="42"/>
      <c r="S28" s="42"/>
      <c r="T28" s="42"/>
      <c r="U28" s="42"/>
      <c r="V28" s="42"/>
    </row>
    <row r="29" spans="1:26" x14ac:dyDescent="0.2">
      <c r="A29" s="50">
        <v>9</v>
      </c>
      <c r="B29" s="94" t="s">
        <v>171</v>
      </c>
      <c r="D29" s="91"/>
      <c r="E29" s="91"/>
      <c r="F29" s="90"/>
      <c r="G29" s="43"/>
      <c r="H29" s="43"/>
      <c r="I29" s="43"/>
      <c r="J29" s="43"/>
      <c r="K29" s="69"/>
      <c r="L29" s="42"/>
      <c r="M29" s="97"/>
      <c r="N29" s="42"/>
      <c r="O29" s="70"/>
      <c r="P29" s="42"/>
      <c r="Q29" s="42"/>
      <c r="R29" s="42"/>
      <c r="S29" s="42"/>
      <c r="T29" s="42"/>
      <c r="U29" s="42"/>
      <c r="V29" s="42"/>
    </row>
    <row r="30" spans="1:26" x14ac:dyDescent="0.2">
      <c r="A30" s="50">
        <v>10</v>
      </c>
      <c r="B30" s="96" t="s">
        <v>432</v>
      </c>
      <c r="D30" s="91"/>
      <c r="E30" s="91"/>
      <c r="F30" s="90"/>
      <c r="G30" s="43"/>
      <c r="H30" s="43"/>
      <c r="I30" s="43"/>
      <c r="J30" s="43"/>
      <c r="K30" s="69"/>
      <c r="L30" s="42"/>
      <c r="M30" s="42"/>
      <c r="N30" s="42"/>
      <c r="O30" s="70"/>
      <c r="P30" s="42"/>
      <c r="Q30" s="42"/>
      <c r="R30" s="42"/>
      <c r="S30" s="42"/>
      <c r="T30" s="42"/>
      <c r="U30" s="42"/>
      <c r="V30" s="42"/>
    </row>
    <row r="31" spans="1:26" x14ac:dyDescent="0.2">
      <c r="A31" s="50">
        <v>11</v>
      </c>
      <c r="B31" s="96"/>
      <c r="D31" s="91"/>
      <c r="E31" s="91"/>
      <c r="F31" s="90"/>
      <c r="G31" s="43"/>
      <c r="H31" s="43"/>
      <c r="I31" s="43"/>
      <c r="J31" s="43"/>
      <c r="K31" s="69"/>
      <c r="L31" s="42"/>
      <c r="M31" s="42"/>
      <c r="N31" s="42"/>
      <c r="O31" s="70"/>
      <c r="P31" s="42"/>
      <c r="Q31" s="42"/>
      <c r="R31" s="42"/>
      <c r="S31" s="42"/>
      <c r="T31" s="42"/>
      <c r="U31" s="42"/>
      <c r="V31" s="42"/>
    </row>
    <row r="32" spans="1:26" x14ac:dyDescent="0.2">
      <c r="A32" s="50">
        <v>12</v>
      </c>
      <c r="B32" s="94" t="s">
        <v>172</v>
      </c>
      <c r="D32" s="91"/>
      <c r="E32" s="91"/>
      <c r="F32" s="90"/>
      <c r="G32" s="43"/>
      <c r="H32" s="43"/>
      <c r="I32" s="43"/>
      <c r="J32" s="43"/>
      <c r="K32" s="69"/>
      <c r="L32" s="42"/>
      <c r="M32" s="42"/>
      <c r="N32" s="42"/>
      <c r="O32" s="70"/>
      <c r="P32" s="42"/>
      <c r="Q32" s="42"/>
      <c r="R32" s="42"/>
      <c r="S32" s="42"/>
      <c r="T32" s="42"/>
      <c r="U32" s="42"/>
      <c r="V32" s="42"/>
    </row>
    <row r="33" spans="1:26" x14ac:dyDescent="0.2">
      <c r="A33" s="50">
        <v>13</v>
      </c>
      <c r="B33" s="96" t="s">
        <v>559</v>
      </c>
      <c r="D33" s="91"/>
      <c r="E33" s="91"/>
      <c r="F33" s="95"/>
      <c r="G33" s="43"/>
      <c r="H33" s="43"/>
      <c r="I33" s="43"/>
      <c r="J33" s="43"/>
      <c r="K33" s="435">
        <f>269017.92</f>
        <v>269017.92</v>
      </c>
      <c r="L33" s="323">
        <v>1</v>
      </c>
      <c r="M33" s="106"/>
      <c r="N33" s="91"/>
      <c r="O33" s="324">
        <f>K33*L33</f>
        <v>269017.92</v>
      </c>
      <c r="P33" s="42"/>
      <c r="Q33" s="42"/>
      <c r="R33" s="42"/>
      <c r="S33" s="42"/>
      <c r="T33" s="42"/>
      <c r="U33" s="42"/>
      <c r="V33" s="42"/>
    </row>
    <row r="34" spans="1:26" x14ac:dyDescent="0.2">
      <c r="A34" s="50">
        <v>14</v>
      </c>
      <c r="B34" s="96"/>
      <c r="D34" s="91"/>
      <c r="E34" s="91"/>
      <c r="F34" s="95"/>
      <c r="G34" s="43"/>
      <c r="H34" s="43"/>
      <c r="I34" s="43"/>
      <c r="J34" s="43"/>
      <c r="K34" s="69"/>
      <c r="L34" s="42"/>
      <c r="M34" s="42"/>
      <c r="N34" s="42"/>
      <c r="O34" s="70"/>
      <c r="P34" s="42"/>
      <c r="Q34" s="42"/>
      <c r="R34" s="42"/>
      <c r="S34" s="42"/>
      <c r="T34" s="42"/>
      <c r="U34" s="42"/>
      <c r="V34" s="42"/>
    </row>
    <row r="35" spans="1:26" x14ac:dyDescent="0.2">
      <c r="A35" s="50">
        <v>15</v>
      </c>
      <c r="B35" s="89" t="s">
        <v>173</v>
      </c>
      <c r="D35" s="91"/>
      <c r="E35" s="91"/>
      <c r="F35" s="101"/>
      <c r="G35" s="43"/>
      <c r="H35" s="43"/>
      <c r="I35" s="43"/>
      <c r="J35" s="43"/>
      <c r="K35" s="69"/>
      <c r="L35" s="42"/>
      <c r="M35" s="42"/>
      <c r="N35" s="42"/>
      <c r="O35" s="70"/>
      <c r="P35" s="42"/>
      <c r="Q35" s="42"/>
      <c r="R35" s="42"/>
      <c r="S35" s="42"/>
      <c r="T35" s="42"/>
      <c r="U35" s="42"/>
      <c r="V35" s="42"/>
    </row>
    <row r="36" spans="1:26" x14ac:dyDescent="0.2">
      <c r="A36" s="50">
        <v>16</v>
      </c>
      <c r="B36" s="94" t="s">
        <v>171</v>
      </c>
      <c r="C36" s="94"/>
      <c r="D36" s="94"/>
      <c r="E36" s="94"/>
      <c r="F36" s="102"/>
      <c r="G36" s="43"/>
      <c r="H36" s="43"/>
      <c r="I36" s="43"/>
      <c r="J36" s="43"/>
      <c r="K36" s="69"/>
      <c r="L36" s="42"/>
      <c r="M36" s="42"/>
      <c r="N36" s="42"/>
      <c r="O36" s="70"/>
      <c r="P36" s="42"/>
      <c r="Q36" s="42"/>
      <c r="R36" s="42"/>
      <c r="S36" s="42"/>
      <c r="T36" s="42"/>
      <c r="U36" s="42"/>
      <c r="V36" s="42"/>
    </row>
    <row r="37" spans="1:26" x14ac:dyDescent="0.2">
      <c r="A37" s="50">
        <v>17</v>
      </c>
      <c r="B37" s="96" t="s">
        <v>432</v>
      </c>
      <c r="C37" s="96"/>
      <c r="D37" s="96"/>
      <c r="E37" s="96"/>
      <c r="F37" s="103"/>
      <c r="G37" s="43"/>
      <c r="H37" s="43"/>
      <c r="I37" s="43"/>
      <c r="J37" s="43"/>
      <c r="K37" s="71"/>
      <c r="L37" s="42"/>
      <c r="M37" s="97"/>
      <c r="N37" s="42"/>
      <c r="O37" s="70"/>
      <c r="P37" s="42"/>
      <c r="Q37" s="42"/>
      <c r="R37" s="42"/>
      <c r="S37" s="42"/>
      <c r="T37" s="42"/>
      <c r="U37" s="42"/>
      <c r="V37" s="42"/>
    </row>
    <row r="38" spans="1:26" x14ac:dyDescent="0.2">
      <c r="A38" s="50">
        <v>18</v>
      </c>
      <c r="B38" s="96"/>
      <c r="C38" s="96"/>
      <c r="D38" s="96"/>
      <c r="E38" s="96"/>
      <c r="F38" s="103"/>
      <c r="G38" s="43"/>
      <c r="H38" s="43"/>
      <c r="I38" s="43"/>
      <c r="J38" s="43"/>
      <c r="K38" s="69"/>
      <c r="L38" s="42"/>
      <c r="M38" s="97"/>
      <c r="N38" s="42"/>
      <c r="O38" s="70"/>
      <c r="P38" s="42"/>
      <c r="Q38" s="42"/>
      <c r="R38" s="42"/>
      <c r="S38" s="42"/>
      <c r="T38" s="42"/>
      <c r="U38" s="42"/>
      <c r="V38" s="42"/>
    </row>
    <row r="39" spans="1:26" x14ac:dyDescent="0.2">
      <c r="A39" s="50">
        <v>19</v>
      </c>
      <c r="B39" s="94" t="s">
        <v>172</v>
      </c>
      <c r="C39" s="94"/>
      <c r="D39" s="94"/>
      <c r="E39" s="94"/>
      <c r="F39" s="72"/>
      <c r="G39" s="92"/>
      <c r="H39" s="105"/>
      <c r="I39" s="105"/>
      <c r="J39" s="105"/>
      <c r="K39" s="71"/>
      <c r="L39" s="91"/>
      <c r="M39" s="106"/>
      <c r="N39" s="91"/>
      <c r="O39" s="107"/>
      <c r="P39" s="42"/>
      <c r="Q39" s="42"/>
      <c r="R39" s="42"/>
      <c r="S39" s="42"/>
      <c r="T39" s="42"/>
      <c r="U39" s="42"/>
      <c r="V39" s="42"/>
    </row>
    <row r="40" spans="1:26" x14ac:dyDescent="0.2">
      <c r="A40" s="50">
        <v>20</v>
      </c>
      <c r="B40" s="96" t="s">
        <v>525</v>
      </c>
      <c r="C40" s="96"/>
      <c r="D40" s="96"/>
      <c r="E40" s="96"/>
      <c r="F40" s="72"/>
      <c r="G40" s="92"/>
      <c r="H40" s="43"/>
      <c r="I40" s="43"/>
      <c r="J40" s="43"/>
      <c r="K40" s="325">
        <f>'Storm Cost Detail'!E68</f>
        <v>39270870.005000047</v>
      </c>
      <c r="L40" s="323">
        <v>1</v>
      </c>
      <c r="M40" s="106"/>
      <c r="N40" s="91"/>
      <c r="O40" s="324">
        <f>K40*L40</f>
        <v>39270870.005000047</v>
      </c>
      <c r="P40" s="42"/>
      <c r="Q40" s="42"/>
      <c r="R40" s="42"/>
      <c r="S40" s="42"/>
      <c r="T40" s="42"/>
      <c r="U40" s="42"/>
      <c r="V40" s="42"/>
    </row>
    <row r="41" spans="1:26" x14ac:dyDescent="0.2">
      <c r="A41" s="50">
        <v>21</v>
      </c>
      <c r="B41" s="96" t="s">
        <v>526</v>
      </c>
      <c r="C41" s="96"/>
      <c r="D41" s="96"/>
      <c r="E41" s="96"/>
      <c r="F41" s="72"/>
      <c r="G41" s="92"/>
      <c r="H41" s="43"/>
      <c r="I41" s="43"/>
      <c r="J41" s="43"/>
      <c r="K41" s="325">
        <f>'Reg Asset Lost Customers'!P31</f>
        <v>454003.27874357539</v>
      </c>
      <c r="L41" s="323">
        <v>1</v>
      </c>
      <c r="M41" s="106"/>
      <c r="N41" s="91"/>
      <c r="O41" s="324">
        <f>K41*L41</f>
        <v>454003.27874357539</v>
      </c>
      <c r="P41" s="42"/>
      <c r="Q41" s="42"/>
      <c r="R41" s="42"/>
      <c r="S41" s="42"/>
      <c r="T41" s="42"/>
      <c r="U41" s="42"/>
      <c r="V41" s="42"/>
    </row>
    <row r="42" spans="1:26" x14ac:dyDescent="0.2">
      <c r="A42" s="50">
        <v>22</v>
      </c>
      <c r="B42" s="96" t="s">
        <v>527</v>
      </c>
      <c r="C42" s="96"/>
      <c r="D42" s="96"/>
      <c r="E42" s="96"/>
      <c r="F42" s="72"/>
      <c r="G42" s="92"/>
      <c r="H42" s="43"/>
      <c r="I42" s="43"/>
      <c r="J42" s="43"/>
      <c r="K42" s="325">
        <f>'Reg Asset Exp Not Rec in Base'!P43</f>
        <v>885854.59861194016</v>
      </c>
      <c r="L42" s="323">
        <v>1</v>
      </c>
      <c r="M42" s="106"/>
      <c r="N42" s="91"/>
      <c r="O42" s="324">
        <f>K42*L42</f>
        <v>885854.59861194016</v>
      </c>
      <c r="P42" s="42"/>
      <c r="Q42" s="42"/>
      <c r="R42" s="42"/>
      <c r="S42" s="42"/>
      <c r="T42" s="42"/>
      <c r="U42" s="42"/>
      <c r="V42" s="42"/>
    </row>
    <row r="43" spans="1:26" x14ac:dyDescent="0.2">
      <c r="A43" s="50">
        <v>23</v>
      </c>
      <c r="B43" s="96" t="s">
        <v>528</v>
      </c>
      <c r="C43" s="96"/>
      <c r="D43" s="96"/>
      <c r="E43" s="96"/>
      <c r="F43" s="72"/>
      <c r="G43" s="92"/>
      <c r="H43" s="43"/>
      <c r="I43" s="43"/>
      <c r="J43" s="43"/>
      <c r="K43" s="325">
        <f>'Regulatory Asset for AD change'!G37</f>
        <v>7838897.6305</v>
      </c>
      <c r="L43" s="323">
        <v>1</v>
      </c>
      <c r="M43" s="106"/>
      <c r="N43" s="91"/>
      <c r="O43" s="324">
        <f>K43*L43</f>
        <v>7838897.6305</v>
      </c>
      <c r="P43" s="42"/>
      <c r="Q43" s="42"/>
      <c r="R43" s="42"/>
      <c r="S43" s="42"/>
      <c r="T43" s="42"/>
      <c r="U43" s="42"/>
      <c r="V43" s="42"/>
    </row>
    <row r="44" spans="1:26" ht="15.75" thickBot="1" x14ac:dyDescent="0.25">
      <c r="A44" s="50">
        <v>24</v>
      </c>
      <c r="B44" s="72" t="s">
        <v>7</v>
      </c>
      <c r="C44" s="104"/>
      <c r="D44" s="95"/>
      <c r="E44" s="92"/>
      <c r="F44" s="103"/>
      <c r="G44" s="43"/>
      <c r="H44" s="43"/>
      <c r="I44" s="43"/>
      <c r="J44" s="43"/>
      <c r="K44" s="326">
        <f>SUM(K40:K43)</f>
        <v>48449625.51285556</v>
      </c>
      <c r="L44" s="323">
        <v>1</v>
      </c>
      <c r="M44" s="106"/>
      <c r="N44" s="91"/>
      <c r="O44" s="327">
        <f>K44*L44</f>
        <v>48449625.51285556</v>
      </c>
      <c r="P44" s="42"/>
      <c r="Q44" s="42"/>
      <c r="R44" s="42"/>
      <c r="S44" s="42"/>
      <c r="T44" s="42"/>
      <c r="U44" s="42"/>
      <c r="V44" s="42"/>
    </row>
    <row r="45" spans="1:26" ht="15.75" thickTop="1" x14ac:dyDescent="0.2">
      <c r="A45" s="50"/>
      <c r="B45" s="108"/>
      <c r="C45" s="105"/>
      <c r="D45" s="91"/>
      <c r="E45" s="91"/>
      <c r="F45" s="95"/>
      <c r="G45" s="91"/>
      <c r="H45" s="91"/>
      <c r="I45" s="91"/>
      <c r="J45" s="91"/>
      <c r="K45" s="69"/>
      <c r="L45" s="43"/>
      <c r="M45" s="43"/>
      <c r="N45" s="43"/>
      <c r="O45" s="43"/>
      <c r="P45" s="42"/>
      <c r="Q45" s="42"/>
      <c r="R45" s="42"/>
      <c r="S45" s="42"/>
      <c r="T45" s="42"/>
      <c r="U45" s="42"/>
      <c r="V45" s="42"/>
    </row>
    <row r="46" spans="1:26" x14ac:dyDescent="0.2">
      <c r="A46" s="50"/>
      <c r="B46" s="108"/>
      <c r="C46" s="105"/>
      <c r="D46" s="91"/>
      <c r="E46" s="91"/>
      <c r="F46" s="95"/>
      <c r="G46" s="91"/>
      <c r="H46" s="91"/>
      <c r="I46" s="91"/>
      <c r="J46" s="91"/>
      <c r="K46" s="69"/>
      <c r="L46" s="43"/>
      <c r="M46" s="43"/>
      <c r="N46" s="43"/>
      <c r="O46" s="43"/>
      <c r="P46" s="42"/>
      <c r="Q46" s="42"/>
      <c r="R46" s="42"/>
      <c r="S46" s="42"/>
      <c r="T46" s="42"/>
      <c r="U46" s="42"/>
      <c r="V46" s="42"/>
    </row>
    <row r="47" spans="1:26" x14ac:dyDescent="0.2">
      <c r="A47" s="50"/>
      <c r="B47" s="99"/>
      <c r="P47" s="42"/>
      <c r="Q47" s="42"/>
      <c r="R47" s="42"/>
      <c r="S47" s="42"/>
      <c r="T47" s="42"/>
      <c r="U47" s="42"/>
      <c r="V47" s="42"/>
      <c r="W47" s="42"/>
      <c r="X47" s="42"/>
      <c r="Y47" s="42"/>
      <c r="Z47" s="42"/>
    </row>
    <row r="48" spans="1:26" ht="15.75" thickBot="1" x14ac:dyDescent="0.25">
      <c r="A48" s="50"/>
      <c r="B48" s="100"/>
      <c r="P48" s="42"/>
      <c r="Q48" s="42"/>
      <c r="R48" s="42"/>
      <c r="S48" s="42"/>
      <c r="T48" s="42"/>
      <c r="U48" s="42"/>
      <c r="V48" s="42"/>
      <c r="W48" s="42"/>
      <c r="X48" s="42"/>
      <c r="Y48" s="42"/>
      <c r="Z48" s="42"/>
    </row>
    <row r="49" spans="1:26" ht="16.5" x14ac:dyDescent="0.25">
      <c r="A49" s="84"/>
      <c r="B49" s="84"/>
      <c r="C49" s="84"/>
      <c r="D49" s="88"/>
      <c r="E49" s="88"/>
      <c r="F49" s="88"/>
      <c r="G49" s="88"/>
      <c r="H49" s="88"/>
      <c r="I49" s="88"/>
      <c r="J49" s="88"/>
      <c r="K49" s="88"/>
      <c r="L49" s="84"/>
      <c r="M49" s="84"/>
      <c r="N49" s="88"/>
      <c r="O49" s="88"/>
      <c r="P49" s="84"/>
      <c r="Q49" s="84"/>
      <c r="R49" s="84"/>
      <c r="S49" s="42"/>
      <c r="T49" s="42"/>
      <c r="U49" s="42"/>
      <c r="V49" s="42"/>
      <c r="W49" s="42"/>
      <c r="X49" s="42"/>
      <c r="Y49" s="42"/>
      <c r="Z49" s="42"/>
    </row>
    <row r="50" spans="1:26" ht="16.5" x14ac:dyDescent="0.25">
      <c r="A50" s="80"/>
      <c r="B50" s="80"/>
      <c r="C50" s="80"/>
      <c r="D50" s="80"/>
      <c r="E50" s="80"/>
      <c r="F50" s="80"/>
      <c r="G50" s="80"/>
      <c r="H50" s="80"/>
      <c r="I50" s="80"/>
      <c r="J50" s="80"/>
      <c r="K50" s="80"/>
      <c r="L50" s="80"/>
      <c r="M50" s="80"/>
      <c r="N50" s="80"/>
      <c r="O50" s="80"/>
      <c r="P50" s="80"/>
      <c r="Q50" s="80"/>
      <c r="R50" s="80"/>
      <c r="S50" s="42"/>
      <c r="T50" s="42"/>
      <c r="U50" s="42"/>
      <c r="V50" s="42"/>
      <c r="W50" s="42"/>
      <c r="X50" s="42"/>
      <c r="Y50" s="42"/>
      <c r="Z50" s="42"/>
    </row>
    <row r="51" spans="1:26" x14ac:dyDescent="0.2">
      <c r="A51" s="44"/>
      <c r="B51" s="44"/>
      <c r="C51" s="44"/>
      <c r="D51" s="44"/>
      <c r="E51" s="44"/>
      <c r="F51" s="44"/>
      <c r="G51" s="44"/>
      <c r="H51" s="44"/>
      <c r="I51" s="44"/>
      <c r="J51" s="44"/>
      <c r="K51" s="44"/>
      <c r="L51" s="44"/>
      <c r="M51" s="44"/>
      <c r="N51" s="44"/>
      <c r="O51" s="44"/>
      <c r="P51" s="44"/>
      <c r="Q51" s="44"/>
      <c r="R51" s="44"/>
      <c r="S51" s="42"/>
      <c r="T51" s="42"/>
      <c r="U51" s="42"/>
      <c r="V51" s="42"/>
      <c r="W51" s="42"/>
      <c r="X51" s="42"/>
      <c r="Y51" s="42"/>
      <c r="Z51" s="42"/>
    </row>
    <row r="52" spans="1:26"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sheetData>
  <mergeCells count="7">
    <mergeCell ref="L18:M18"/>
    <mergeCell ref="N18:O18"/>
    <mergeCell ref="N14:O14"/>
    <mergeCell ref="N15:O15"/>
    <mergeCell ref="N16:O16"/>
    <mergeCell ref="L17:M17"/>
    <mergeCell ref="N17:O17"/>
  </mergeCells>
  <pageMargins left="0.7" right="0.7" top="0.75" bottom="0.75" header="0.3" footer="0.3"/>
  <pageSetup scale="4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Y126"/>
  <sheetViews>
    <sheetView zoomScaleNormal="100" workbookViewId="0">
      <pane xSplit="4" ySplit="6" topLeftCell="E67" activePane="bottomRight" state="frozen"/>
      <selection activeCell="B1" sqref="B1"/>
      <selection pane="topRight" activeCell="B1" sqref="B1"/>
      <selection pane="bottomLeft" activeCell="B1" sqref="B1"/>
      <selection pane="bottomRight" activeCell="E68" sqref="E68:E78"/>
    </sheetView>
  </sheetViews>
  <sheetFormatPr defaultRowHeight="15" x14ac:dyDescent="0.25"/>
  <cols>
    <col min="1" max="1" width="14.5703125" customWidth="1"/>
    <col min="2" max="2" width="38.7109375" customWidth="1"/>
    <col min="3" max="3" width="8.7109375" customWidth="1"/>
    <col min="4" max="4" width="9" customWidth="1"/>
    <col min="5" max="5" width="17" customWidth="1"/>
    <col min="6" max="6" width="18" customWidth="1"/>
    <col min="7" max="7" width="18.7109375" bestFit="1" customWidth="1"/>
    <col min="8" max="8" width="17.5703125" customWidth="1"/>
    <col min="9" max="9" width="18.5703125" customWidth="1"/>
    <col min="10" max="10" width="19.85546875" customWidth="1"/>
    <col min="11" max="11" width="17" customWidth="1"/>
    <col min="12" max="12" width="18" style="4" customWidth="1"/>
    <col min="13" max="13" width="38.5703125" style="4" customWidth="1"/>
    <col min="14" max="14" width="8" style="4" customWidth="1"/>
    <col min="15" max="15" width="8.42578125" style="4" customWidth="1"/>
    <col min="16" max="16" width="17.42578125" customWidth="1"/>
    <col min="17" max="17" width="18.140625" customWidth="1"/>
    <col min="18" max="18" width="16.7109375" customWidth="1"/>
    <col min="19" max="19" width="17.5703125" customWidth="1"/>
    <col min="20" max="20" width="18" customWidth="1"/>
    <col min="21" max="21" width="20.140625" customWidth="1"/>
    <col min="22" max="22" width="17.28515625" customWidth="1"/>
    <col min="23" max="23" width="14.28515625" customWidth="1"/>
  </cols>
  <sheetData>
    <row r="1" spans="1:22" s="4" customFormat="1" ht="16.5" x14ac:dyDescent="0.25">
      <c r="A1" s="246" t="s">
        <v>435</v>
      </c>
      <c r="J1" s="235" t="s">
        <v>514</v>
      </c>
      <c r="L1" s="246" t="s">
        <v>435</v>
      </c>
      <c r="P1" s="246"/>
      <c r="U1" s="235" t="str">
        <f>J1</f>
        <v xml:space="preserve">Exhibit MDN-1 </v>
      </c>
    </row>
    <row r="2" spans="1:22" ht="18" x14ac:dyDescent="0.25">
      <c r="A2" s="236" t="s">
        <v>0</v>
      </c>
      <c r="B2" s="4"/>
      <c r="C2" s="4"/>
      <c r="D2" s="4"/>
      <c r="E2" s="4"/>
      <c r="F2" s="235"/>
      <c r="G2" s="4"/>
      <c r="J2" s="267" t="s">
        <v>298</v>
      </c>
      <c r="K2" s="267" t="str">
        <f>'B-2'!R2</f>
        <v>20190156-EI</v>
      </c>
      <c r="L2" s="236" t="s">
        <v>0</v>
      </c>
      <c r="P2" s="236"/>
      <c r="U2" s="267" t="s">
        <v>298</v>
      </c>
      <c r="V2" t="str">
        <f>K2</f>
        <v>20190156-EI</v>
      </c>
    </row>
    <row r="3" spans="1:22" ht="18" x14ac:dyDescent="0.25">
      <c r="A3" s="236" t="s">
        <v>300</v>
      </c>
      <c r="B3" s="4"/>
      <c r="C3" s="4"/>
      <c r="D3" s="4"/>
      <c r="E3" s="4"/>
      <c r="F3" s="267"/>
      <c r="G3" s="268"/>
      <c r="J3" s="267" t="s">
        <v>487</v>
      </c>
      <c r="L3" s="236" t="s">
        <v>300</v>
      </c>
      <c r="P3" s="236"/>
      <c r="U3" s="267" t="s">
        <v>488</v>
      </c>
    </row>
    <row r="4" spans="1:22" ht="16.5" thickBot="1" x14ac:dyDescent="0.3">
      <c r="A4" s="245" t="s">
        <v>482</v>
      </c>
      <c r="B4" s="346"/>
      <c r="C4" s="346"/>
      <c r="D4" s="346"/>
      <c r="E4" s="346"/>
      <c r="F4" s="346"/>
      <c r="G4" s="346"/>
      <c r="H4" s="346"/>
      <c r="I4" s="346"/>
      <c r="J4" s="346"/>
      <c r="K4" s="346"/>
      <c r="L4" s="245" t="s">
        <v>482</v>
      </c>
      <c r="M4" s="346"/>
      <c r="N4" s="346"/>
      <c r="O4" s="346"/>
      <c r="P4" s="245"/>
      <c r="Q4" s="346"/>
      <c r="R4" s="346"/>
      <c r="S4" s="346"/>
      <c r="T4" s="346"/>
      <c r="U4" s="346"/>
      <c r="V4" s="346"/>
    </row>
    <row r="5" spans="1:22" x14ac:dyDescent="0.25">
      <c r="A5" s="271"/>
      <c r="B5" s="271" t="s">
        <v>305</v>
      </c>
      <c r="C5" s="271" t="s">
        <v>485</v>
      </c>
      <c r="D5" s="271" t="s">
        <v>485</v>
      </c>
      <c r="E5" s="272" t="s">
        <v>306</v>
      </c>
      <c r="F5" s="272" t="s">
        <v>307</v>
      </c>
      <c r="G5" s="272" t="s">
        <v>308</v>
      </c>
      <c r="H5" s="272" t="s">
        <v>309</v>
      </c>
      <c r="I5" s="272" t="s">
        <v>310</v>
      </c>
      <c r="J5" s="272" t="s">
        <v>2</v>
      </c>
      <c r="K5" s="272" t="s">
        <v>311</v>
      </c>
      <c r="L5" s="271"/>
      <c r="M5" s="271" t="s">
        <v>305</v>
      </c>
      <c r="N5" s="271" t="s">
        <v>485</v>
      </c>
      <c r="O5" s="271" t="s">
        <v>485</v>
      </c>
      <c r="P5" s="272" t="s">
        <v>312</v>
      </c>
      <c r="Q5" s="272" t="s">
        <v>313</v>
      </c>
      <c r="R5" s="272" t="s">
        <v>314</v>
      </c>
      <c r="S5" s="272" t="s">
        <v>315</v>
      </c>
      <c r="T5" s="272" t="s">
        <v>316</v>
      </c>
      <c r="U5" s="272" t="s">
        <v>306</v>
      </c>
      <c r="V5" s="272" t="s">
        <v>8</v>
      </c>
    </row>
    <row r="6" spans="1:22" x14ac:dyDescent="0.25">
      <c r="A6" s="271"/>
      <c r="B6" s="271"/>
      <c r="C6" s="271" t="s">
        <v>317</v>
      </c>
      <c r="D6" s="271" t="s">
        <v>317</v>
      </c>
      <c r="E6" s="273">
        <v>2019</v>
      </c>
      <c r="F6" s="273">
        <v>2020</v>
      </c>
      <c r="G6" s="273">
        <v>2020</v>
      </c>
      <c r="H6" s="273">
        <v>2020</v>
      </c>
      <c r="I6" s="273">
        <v>2020</v>
      </c>
      <c r="J6" s="273">
        <v>2020</v>
      </c>
      <c r="K6" s="273">
        <v>2020</v>
      </c>
      <c r="L6" s="271"/>
      <c r="M6" s="271"/>
      <c r="N6" s="271" t="s">
        <v>317</v>
      </c>
      <c r="O6" s="271" t="s">
        <v>317</v>
      </c>
      <c r="P6" s="273">
        <v>2020</v>
      </c>
      <c r="Q6" s="273">
        <v>2020</v>
      </c>
      <c r="R6" s="273">
        <v>2020</v>
      </c>
      <c r="S6" s="273">
        <v>2020</v>
      </c>
      <c r="T6" s="273">
        <v>2020</v>
      </c>
      <c r="U6" s="273">
        <v>2020</v>
      </c>
      <c r="V6" s="271" t="s">
        <v>9</v>
      </c>
    </row>
    <row r="7" spans="1:22" x14ac:dyDescent="0.25">
      <c r="A7" s="274" t="s">
        <v>424</v>
      </c>
      <c r="B7" s="271"/>
      <c r="C7" s="271"/>
      <c r="D7" s="271"/>
      <c r="E7" s="273"/>
      <c r="F7" s="273"/>
      <c r="G7" s="273"/>
      <c r="H7" s="273"/>
      <c r="I7" s="273"/>
      <c r="J7" s="273"/>
      <c r="K7" s="273"/>
      <c r="L7" s="274" t="s">
        <v>424</v>
      </c>
      <c r="M7" s="271"/>
      <c r="N7" s="271"/>
      <c r="O7" s="271"/>
      <c r="P7" s="273"/>
      <c r="Q7" s="273"/>
      <c r="R7" s="273"/>
      <c r="S7" s="273"/>
      <c r="T7" s="273"/>
      <c r="U7" s="273"/>
    </row>
    <row r="8" spans="1:22" x14ac:dyDescent="0.25">
      <c r="A8" s="275" t="s">
        <v>318</v>
      </c>
      <c r="B8" s="275" t="s">
        <v>319</v>
      </c>
      <c r="C8" s="275">
        <v>1010</v>
      </c>
      <c r="D8" s="275" t="s">
        <v>320</v>
      </c>
      <c r="E8" s="357">
        <v>752206.9</v>
      </c>
      <c r="F8" s="7"/>
      <c r="G8" s="7"/>
      <c r="H8" s="7"/>
      <c r="I8" s="7"/>
      <c r="J8" s="7"/>
      <c r="K8" s="7"/>
      <c r="L8" s="275" t="s">
        <v>318</v>
      </c>
      <c r="M8" s="275" t="s">
        <v>319</v>
      </c>
      <c r="N8" s="275">
        <v>1010</v>
      </c>
      <c r="O8" s="275" t="s">
        <v>320</v>
      </c>
      <c r="P8" s="7"/>
      <c r="Q8" s="7"/>
      <c r="R8" s="7"/>
      <c r="S8" s="7"/>
      <c r="T8" s="7"/>
      <c r="U8" s="7"/>
      <c r="V8" s="7"/>
    </row>
    <row r="9" spans="1:22" x14ac:dyDescent="0.25">
      <c r="A9" s="275" t="s">
        <v>321</v>
      </c>
      <c r="B9" s="275" t="s">
        <v>322</v>
      </c>
      <c r="C9" s="275">
        <v>1010</v>
      </c>
      <c r="D9" s="275" t="s">
        <v>323</v>
      </c>
      <c r="E9" s="357">
        <v>11885.12</v>
      </c>
      <c r="F9" s="7"/>
      <c r="G9" s="7"/>
      <c r="H9" s="7"/>
      <c r="I9" s="7"/>
      <c r="J9" s="7"/>
      <c r="K9" s="7"/>
      <c r="L9" s="275" t="s">
        <v>321</v>
      </c>
      <c r="M9" s="275" t="s">
        <v>322</v>
      </c>
      <c r="N9" s="275">
        <v>1010</v>
      </c>
      <c r="O9" s="275" t="s">
        <v>323</v>
      </c>
      <c r="P9" s="7"/>
      <c r="Q9" s="7"/>
      <c r="R9" s="7"/>
      <c r="S9" s="7"/>
      <c r="T9" s="7"/>
      <c r="U9" s="7"/>
      <c r="V9" s="7"/>
    </row>
    <row r="10" spans="1:22" x14ac:dyDescent="0.25">
      <c r="A10" s="275" t="s">
        <v>324</v>
      </c>
      <c r="B10" s="275" t="s">
        <v>325</v>
      </c>
      <c r="C10" s="275">
        <v>1010</v>
      </c>
      <c r="D10" s="275" t="s">
        <v>326</v>
      </c>
      <c r="E10" s="357">
        <v>8051371.2799999984</v>
      </c>
      <c r="F10" s="7"/>
      <c r="G10" s="7"/>
      <c r="H10" s="7"/>
      <c r="I10" s="7"/>
      <c r="J10" s="7"/>
      <c r="K10" s="7"/>
      <c r="L10" s="275" t="s">
        <v>324</v>
      </c>
      <c r="M10" s="275" t="s">
        <v>325</v>
      </c>
      <c r="N10" s="275">
        <v>1010</v>
      </c>
      <c r="O10" s="275" t="s">
        <v>326</v>
      </c>
      <c r="P10" s="7"/>
      <c r="Q10" s="7"/>
      <c r="R10" s="7"/>
      <c r="S10" s="7"/>
      <c r="T10" s="7"/>
      <c r="U10" s="7"/>
      <c r="V10" s="7"/>
    </row>
    <row r="11" spans="1:22" x14ac:dyDescent="0.25">
      <c r="A11" s="275" t="s">
        <v>327</v>
      </c>
      <c r="B11" s="275" t="s">
        <v>328</v>
      </c>
      <c r="C11" s="275">
        <v>1010</v>
      </c>
      <c r="D11" s="275" t="s">
        <v>329</v>
      </c>
      <c r="E11" s="357">
        <v>4656582.6499999994</v>
      </c>
      <c r="F11" s="7"/>
      <c r="G11" s="7"/>
      <c r="H11" s="7"/>
      <c r="I11" s="7"/>
      <c r="J11" s="7"/>
      <c r="K11" s="7"/>
      <c r="L11" s="275" t="s">
        <v>327</v>
      </c>
      <c r="M11" s="275" t="s">
        <v>328</v>
      </c>
      <c r="N11" s="275">
        <v>1010</v>
      </c>
      <c r="O11" s="275" t="s">
        <v>329</v>
      </c>
      <c r="P11" s="7"/>
      <c r="Q11" s="7"/>
      <c r="R11" s="7"/>
      <c r="S11" s="7"/>
      <c r="T11" s="7"/>
      <c r="U11" s="7"/>
      <c r="V11" s="7"/>
    </row>
    <row r="12" spans="1:22" x14ac:dyDescent="0.25">
      <c r="A12" s="275" t="s">
        <v>330</v>
      </c>
      <c r="B12" s="275" t="s">
        <v>331</v>
      </c>
      <c r="C12" s="275">
        <v>1010</v>
      </c>
      <c r="D12" s="275" t="s">
        <v>332</v>
      </c>
      <c r="E12" s="357">
        <v>259863.75</v>
      </c>
      <c r="F12" s="7"/>
      <c r="G12" s="7"/>
      <c r="H12" s="7"/>
      <c r="I12" s="7"/>
      <c r="J12" s="7"/>
      <c r="K12" s="7"/>
      <c r="L12" s="275" t="s">
        <v>330</v>
      </c>
      <c r="M12" s="275" t="s">
        <v>331</v>
      </c>
      <c r="N12" s="275">
        <v>1010</v>
      </c>
      <c r="O12" s="275" t="s">
        <v>332</v>
      </c>
      <c r="P12" s="7"/>
      <c r="Q12" s="7"/>
      <c r="R12" s="7"/>
      <c r="S12" s="7"/>
      <c r="T12" s="7"/>
      <c r="U12" s="7"/>
      <c r="V12" s="7"/>
    </row>
    <row r="13" spans="1:22" x14ac:dyDescent="0.25">
      <c r="A13" s="275" t="s">
        <v>333</v>
      </c>
      <c r="B13" s="275" t="s">
        <v>334</v>
      </c>
      <c r="C13" s="275">
        <v>1010</v>
      </c>
      <c r="D13" s="275" t="s">
        <v>335</v>
      </c>
      <c r="E13" s="357">
        <v>2790362.88</v>
      </c>
      <c r="F13" s="7"/>
      <c r="G13" s="7"/>
      <c r="H13" s="7"/>
      <c r="I13" s="7"/>
      <c r="J13" s="7"/>
      <c r="K13" s="7"/>
      <c r="L13" s="275" t="s">
        <v>333</v>
      </c>
      <c r="M13" s="275" t="s">
        <v>334</v>
      </c>
      <c r="N13" s="275">
        <v>1010</v>
      </c>
      <c r="O13" s="275" t="s">
        <v>335</v>
      </c>
      <c r="P13" s="7"/>
      <c r="Q13" s="7"/>
      <c r="R13" s="7"/>
      <c r="S13" s="7"/>
      <c r="T13" s="7"/>
      <c r="U13" s="7"/>
      <c r="V13" s="7"/>
    </row>
    <row r="14" spans="1:22" x14ac:dyDescent="0.25">
      <c r="A14" s="275" t="s">
        <v>336</v>
      </c>
      <c r="B14" s="275" t="s">
        <v>337</v>
      </c>
      <c r="C14" s="275">
        <v>1010</v>
      </c>
      <c r="D14" s="275" t="s">
        <v>338</v>
      </c>
      <c r="E14" s="357">
        <v>100114.55</v>
      </c>
      <c r="F14" s="7"/>
      <c r="G14" s="7"/>
      <c r="H14" s="7"/>
      <c r="I14" s="7"/>
      <c r="J14" s="7"/>
      <c r="K14" s="7"/>
      <c r="L14" s="275" t="s">
        <v>336</v>
      </c>
      <c r="M14" s="275" t="s">
        <v>337</v>
      </c>
      <c r="N14" s="275">
        <v>1010</v>
      </c>
      <c r="O14" s="275" t="s">
        <v>338</v>
      </c>
      <c r="P14" s="7"/>
      <c r="Q14" s="7"/>
      <c r="R14" s="7"/>
      <c r="S14" s="7"/>
      <c r="T14" s="7"/>
      <c r="U14" s="7"/>
      <c r="V14" s="7"/>
    </row>
    <row r="15" spans="1:22" x14ac:dyDescent="0.25">
      <c r="A15" s="275" t="s">
        <v>339</v>
      </c>
      <c r="B15" s="275" t="s">
        <v>340</v>
      </c>
      <c r="C15" s="275">
        <v>1010</v>
      </c>
      <c r="D15" s="275" t="s">
        <v>341</v>
      </c>
      <c r="E15" s="357">
        <v>2665177.4900000002</v>
      </c>
      <c r="F15" s="7"/>
      <c r="G15" s="7"/>
      <c r="H15" s="7"/>
      <c r="I15" s="7"/>
      <c r="J15" s="7"/>
      <c r="K15" s="7"/>
      <c r="L15" s="275" t="s">
        <v>339</v>
      </c>
      <c r="M15" s="275" t="s">
        <v>340</v>
      </c>
      <c r="N15" s="275">
        <v>1010</v>
      </c>
      <c r="O15" s="275" t="s">
        <v>341</v>
      </c>
      <c r="P15" s="7"/>
      <c r="Q15" s="7"/>
      <c r="R15" s="7"/>
      <c r="S15" s="7"/>
      <c r="T15" s="7"/>
      <c r="U15" s="7"/>
      <c r="V15" s="7"/>
    </row>
    <row r="16" spans="1:22" s="4" customFormat="1" x14ac:dyDescent="0.25">
      <c r="A16" s="275" t="s">
        <v>421</v>
      </c>
      <c r="B16" s="275" t="s">
        <v>431</v>
      </c>
      <c r="C16" s="275">
        <v>1010</v>
      </c>
      <c r="D16" s="275" t="s">
        <v>479</v>
      </c>
      <c r="E16" s="357">
        <v>33481.369999999995</v>
      </c>
      <c r="F16" s="7"/>
      <c r="G16" s="7"/>
      <c r="H16" s="7"/>
      <c r="I16" s="7"/>
      <c r="J16" s="7"/>
      <c r="K16" s="7"/>
      <c r="L16" s="275" t="s">
        <v>421</v>
      </c>
      <c r="M16" s="275" t="s">
        <v>431</v>
      </c>
      <c r="N16" s="275">
        <v>1010</v>
      </c>
      <c r="O16" s="275" t="s">
        <v>479</v>
      </c>
      <c r="P16" s="7"/>
      <c r="Q16" s="7"/>
      <c r="R16" s="7"/>
      <c r="S16" s="7"/>
      <c r="T16" s="7"/>
      <c r="U16" s="7"/>
      <c r="V16" s="7"/>
    </row>
    <row r="17" spans="1:22" s="4" customFormat="1" x14ac:dyDescent="0.25">
      <c r="A17" s="275" t="s">
        <v>422</v>
      </c>
      <c r="B17" s="275" t="s">
        <v>429</v>
      </c>
      <c r="C17" s="275">
        <v>1010</v>
      </c>
      <c r="D17" s="275" t="s">
        <v>430</v>
      </c>
      <c r="E17" s="357">
        <v>207803.05000000002</v>
      </c>
      <c r="F17" s="7"/>
      <c r="G17" s="7"/>
      <c r="H17" s="7"/>
      <c r="I17" s="7"/>
      <c r="J17" s="7"/>
      <c r="K17" s="7"/>
      <c r="L17" s="275" t="s">
        <v>422</v>
      </c>
      <c r="M17" s="275" t="s">
        <v>429</v>
      </c>
      <c r="N17" s="275">
        <v>1010</v>
      </c>
      <c r="O17" s="275" t="s">
        <v>430</v>
      </c>
      <c r="P17" s="7"/>
      <c r="Q17" s="7"/>
      <c r="R17" s="7"/>
      <c r="S17" s="7"/>
      <c r="T17" s="7"/>
      <c r="U17" s="7"/>
      <c r="V17" s="7"/>
    </row>
    <row r="18" spans="1:22" s="4" customFormat="1" x14ac:dyDescent="0.25">
      <c r="A18" s="275" t="s">
        <v>423</v>
      </c>
      <c r="B18" s="275" t="s">
        <v>469</v>
      </c>
      <c r="C18" s="275">
        <v>1010</v>
      </c>
      <c r="D18" s="330" t="s">
        <v>470</v>
      </c>
      <c r="E18" s="357">
        <v>474478.0199999999</v>
      </c>
      <c r="F18" s="7"/>
      <c r="G18" s="7"/>
      <c r="H18" s="7"/>
      <c r="I18" s="7"/>
      <c r="J18" s="7"/>
      <c r="K18" s="7"/>
      <c r="L18" s="275" t="s">
        <v>423</v>
      </c>
      <c r="M18" s="275" t="s">
        <v>469</v>
      </c>
      <c r="N18" s="275">
        <v>1010</v>
      </c>
      <c r="O18" s="330" t="s">
        <v>470</v>
      </c>
      <c r="P18" s="7"/>
      <c r="Q18" s="7"/>
      <c r="R18" s="7"/>
      <c r="S18" s="7"/>
      <c r="T18" s="7"/>
      <c r="U18" s="7"/>
      <c r="V18" s="6"/>
    </row>
    <row r="19" spans="1:22" x14ac:dyDescent="0.25">
      <c r="A19" s="275"/>
      <c r="B19" s="275"/>
      <c r="C19" s="275"/>
      <c r="D19" s="275"/>
      <c r="E19" s="276">
        <f>SUM(E8:E18)</f>
        <v>20003327.059999999</v>
      </c>
      <c r="F19" s="276"/>
      <c r="G19" s="276"/>
      <c r="H19" s="276"/>
      <c r="I19" s="276"/>
      <c r="J19" s="276"/>
      <c r="K19" s="276"/>
      <c r="L19" s="275"/>
      <c r="M19" s="275"/>
      <c r="N19" s="275"/>
      <c r="O19" s="275"/>
      <c r="P19" s="276"/>
      <c r="Q19" s="276"/>
      <c r="R19" s="276"/>
      <c r="S19" s="276"/>
      <c r="T19" s="276"/>
      <c r="U19" s="276"/>
      <c r="V19" s="319"/>
    </row>
    <row r="20" spans="1:22" x14ac:dyDescent="0.25">
      <c r="A20" s="4"/>
      <c r="B20" s="4"/>
      <c r="C20" s="4"/>
      <c r="D20" s="4"/>
      <c r="E20" s="4"/>
      <c r="F20" s="4"/>
      <c r="G20" s="4"/>
      <c r="H20" s="4"/>
      <c r="I20" s="4"/>
      <c r="J20" s="4"/>
      <c r="K20" s="4"/>
      <c r="P20" s="4"/>
      <c r="Q20" s="4"/>
      <c r="R20" s="4"/>
      <c r="S20" s="4"/>
      <c r="T20" s="4"/>
      <c r="U20" s="4"/>
      <c r="V20" s="4"/>
    </row>
    <row r="21" spans="1:22" x14ac:dyDescent="0.25">
      <c r="A21" s="274" t="s">
        <v>342</v>
      </c>
      <c r="B21" s="4"/>
      <c r="C21" s="4"/>
      <c r="D21" s="4"/>
      <c r="E21" s="4"/>
      <c r="F21" s="4"/>
      <c r="G21" s="4"/>
      <c r="H21" s="4"/>
      <c r="I21" s="4"/>
      <c r="J21" s="4"/>
      <c r="K21" s="4"/>
      <c r="L21" s="274" t="s">
        <v>342</v>
      </c>
      <c r="P21" s="4"/>
      <c r="Q21" s="4"/>
      <c r="R21" s="4"/>
      <c r="S21" s="4"/>
      <c r="T21" s="4"/>
      <c r="U21" s="4"/>
      <c r="V21" s="4"/>
    </row>
    <row r="22" spans="1:22" x14ac:dyDescent="0.25">
      <c r="A22" s="275" t="s">
        <v>318</v>
      </c>
      <c r="B22" s="275" t="s">
        <v>319</v>
      </c>
      <c r="C22" s="275">
        <v>1010</v>
      </c>
      <c r="D22" s="275" t="s">
        <v>320</v>
      </c>
      <c r="E22" s="7">
        <f>-43189.5</f>
        <v>-43189.5</v>
      </c>
      <c r="F22" s="7"/>
      <c r="G22" s="7"/>
      <c r="H22" s="7"/>
      <c r="I22" s="7"/>
      <c r="J22" s="7"/>
      <c r="K22" s="7"/>
      <c r="L22" s="275" t="s">
        <v>318</v>
      </c>
      <c r="M22" s="275" t="s">
        <v>319</v>
      </c>
      <c r="N22" s="275">
        <v>1010</v>
      </c>
      <c r="O22" s="275" t="s">
        <v>320</v>
      </c>
      <c r="P22" s="7"/>
      <c r="Q22" s="7"/>
      <c r="R22" s="7"/>
      <c r="S22" s="7"/>
      <c r="T22" s="7"/>
      <c r="U22" s="7"/>
      <c r="V22" s="7"/>
    </row>
    <row r="23" spans="1:22" x14ac:dyDescent="0.25">
      <c r="A23" s="275" t="s">
        <v>321</v>
      </c>
      <c r="B23" s="275" t="s">
        <v>322</v>
      </c>
      <c r="C23" s="275">
        <v>1010</v>
      </c>
      <c r="D23" s="275" t="s">
        <v>323</v>
      </c>
      <c r="E23" s="7"/>
      <c r="F23" s="7"/>
      <c r="G23" s="7"/>
      <c r="H23" s="7"/>
      <c r="I23" s="7"/>
      <c r="J23" s="7"/>
      <c r="K23" s="7"/>
      <c r="L23" s="275" t="s">
        <v>321</v>
      </c>
      <c r="M23" s="275" t="s">
        <v>322</v>
      </c>
      <c r="N23" s="275">
        <v>1010</v>
      </c>
      <c r="O23" s="275" t="s">
        <v>323</v>
      </c>
      <c r="P23" s="7"/>
      <c r="Q23" s="7"/>
      <c r="R23" s="7"/>
      <c r="S23" s="7"/>
      <c r="T23" s="7"/>
      <c r="U23" s="7"/>
      <c r="V23" s="7"/>
    </row>
    <row r="24" spans="1:22" x14ac:dyDescent="0.25">
      <c r="A24" s="275" t="s">
        <v>324</v>
      </c>
      <c r="B24" s="275" t="s">
        <v>325</v>
      </c>
      <c r="C24" s="275">
        <v>1010</v>
      </c>
      <c r="D24" s="275" t="s">
        <v>326</v>
      </c>
      <c r="E24" s="7">
        <v>-368537.51</v>
      </c>
      <c r="F24" s="7"/>
      <c r="G24" s="7"/>
      <c r="H24" s="7"/>
      <c r="I24" s="7"/>
      <c r="J24" s="7"/>
      <c r="K24" s="7"/>
      <c r="L24" s="275" t="s">
        <v>324</v>
      </c>
      <c r="M24" s="275" t="s">
        <v>325</v>
      </c>
      <c r="N24" s="275">
        <v>1010</v>
      </c>
      <c r="O24" s="275" t="s">
        <v>326</v>
      </c>
      <c r="P24" s="7"/>
      <c r="Q24" s="7"/>
      <c r="R24" s="7"/>
      <c r="S24" s="7"/>
      <c r="T24" s="7"/>
      <c r="U24" s="7"/>
      <c r="V24" s="7"/>
    </row>
    <row r="25" spans="1:22" x14ac:dyDescent="0.25">
      <c r="A25" s="275" t="s">
        <v>327</v>
      </c>
      <c r="B25" s="275" t="s">
        <v>328</v>
      </c>
      <c r="C25" s="275">
        <v>1010</v>
      </c>
      <c r="D25" s="275" t="s">
        <v>329</v>
      </c>
      <c r="E25" s="7">
        <f>-293022.89+19674</f>
        <v>-273348.89</v>
      </c>
      <c r="F25" s="7"/>
      <c r="G25" s="7"/>
      <c r="H25" s="7"/>
      <c r="I25" s="7"/>
      <c r="J25" s="7"/>
      <c r="K25" s="7"/>
      <c r="L25" s="275" t="s">
        <v>327</v>
      </c>
      <c r="M25" s="275" t="s">
        <v>328</v>
      </c>
      <c r="N25" s="275">
        <v>1010</v>
      </c>
      <c r="O25" s="275" t="s">
        <v>329</v>
      </c>
      <c r="P25" s="7"/>
      <c r="Q25" s="7"/>
      <c r="R25" s="7"/>
      <c r="S25" s="7"/>
      <c r="T25" s="7"/>
      <c r="U25" s="7"/>
      <c r="V25" s="7"/>
    </row>
    <row r="26" spans="1:22" x14ac:dyDescent="0.25">
      <c r="A26" s="275" t="s">
        <v>330</v>
      </c>
      <c r="B26" s="275" t="s">
        <v>331</v>
      </c>
      <c r="C26" s="275">
        <v>1010</v>
      </c>
      <c r="D26" s="275" t="s">
        <v>332</v>
      </c>
      <c r="E26" s="7"/>
      <c r="F26" s="7"/>
      <c r="G26" s="7"/>
      <c r="H26" s="7"/>
      <c r="I26" s="7"/>
      <c r="J26" s="7"/>
      <c r="K26" s="7"/>
      <c r="L26" s="275" t="s">
        <v>330</v>
      </c>
      <c r="M26" s="275" t="s">
        <v>331</v>
      </c>
      <c r="N26" s="275">
        <v>1010</v>
      </c>
      <c r="O26" s="275" t="s">
        <v>332</v>
      </c>
      <c r="P26" s="7"/>
      <c r="Q26" s="7"/>
      <c r="R26" s="7"/>
      <c r="S26" s="7"/>
      <c r="T26" s="7"/>
      <c r="U26" s="7"/>
      <c r="V26" s="7"/>
    </row>
    <row r="27" spans="1:22" x14ac:dyDescent="0.25">
      <c r="A27" s="275" t="s">
        <v>333</v>
      </c>
      <c r="B27" s="275" t="s">
        <v>334</v>
      </c>
      <c r="C27" s="275">
        <v>1010</v>
      </c>
      <c r="D27" s="275" t="s">
        <v>335</v>
      </c>
      <c r="E27" s="7">
        <f>-234350.44</f>
        <v>-234350.44</v>
      </c>
      <c r="F27" s="7"/>
      <c r="G27" s="7"/>
      <c r="H27" s="7"/>
      <c r="I27" s="7"/>
      <c r="J27" s="7"/>
      <c r="K27" s="7"/>
      <c r="L27" s="275" t="s">
        <v>333</v>
      </c>
      <c r="M27" s="275" t="s">
        <v>334</v>
      </c>
      <c r="N27" s="275">
        <v>1010</v>
      </c>
      <c r="O27" s="275" t="s">
        <v>335</v>
      </c>
      <c r="P27" s="7"/>
      <c r="Q27" s="7"/>
      <c r="R27" s="7"/>
      <c r="S27" s="7"/>
      <c r="T27" s="7"/>
      <c r="U27" s="7"/>
      <c r="V27" s="7"/>
    </row>
    <row r="28" spans="1:22" x14ac:dyDescent="0.25">
      <c r="A28" s="275" t="s">
        <v>336</v>
      </c>
      <c r="B28" s="275" t="s">
        <v>337</v>
      </c>
      <c r="C28" s="275">
        <v>1010</v>
      </c>
      <c r="D28" s="275" t="s">
        <v>338</v>
      </c>
      <c r="E28" s="7">
        <f>-4189.25</f>
        <v>-4189.25</v>
      </c>
      <c r="F28" s="7"/>
      <c r="G28" s="7"/>
      <c r="H28" s="7"/>
      <c r="I28" s="7"/>
      <c r="J28" s="7"/>
      <c r="K28" s="7"/>
      <c r="L28" s="275" t="s">
        <v>336</v>
      </c>
      <c r="M28" s="275" t="s">
        <v>337</v>
      </c>
      <c r="N28" s="275">
        <v>1010</v>
      </c>
      <c r="O28" s="275" t="s">
        <v>338</v>
      </c>
      <c r="P28" s="7"/>
      <c r="Q28" s="7"/>
      <c r="R28" s="7"/>
      <c r="S28" s="7"/>
      <c r="T28" s="7"/>
      <c r="U28" s="7"/>
      <c r="V28" s="7"/>
    </row>
    <row r="29" spans="1:22" x14ac:dyDescent="0.25">
      <c r="A29" s="275" t="s">
        <v>339</v>
      </c>
      <c r="B29" s="275" t="s">
        <v>340</v>
      </c>
      <c r="C29" s="275">
        <v>1010</v>
      </c>
      <c r="D29" s="275" t="s">
        <v>341</v>
      </c>
      <c r="E29" s="7"/>
      <c r="F29" s="7"/>
      <c r="G29" s="7"/>
      <c r="H29" s="7"/>
      <c r="I29" s="7"/>
      <c r="J29" s="7"/>
      <c r="K29" s="7"/>
      <c r="L29" s="275" t="s">
        <v>339</v>
      </c>
      <c r="M29" s="275" t="s">
        <v>340</v>
      </c>
      <c r="N29" s="275">
        <v>1010</v>
      </c>
      <c r="O29" s="275" t="s">
        <v>341</v>
      </c>
      <c r="P29" s="7"/>
      <c r="Q29" s="7"/>
      <c r="R29" s="7"/>
      <c r="S29" s="7"/>
      <c r="T29" s="7"/>
      <c r="U29" s="7"/>
      <c r="V29" s="7"/>
    </row>
    <row r="30" spans="1:22" s="4" customFormat="1" x14ac:dyDescent="0.25">
      <c r="A30" s="275" t="s">
        <v>421</v>
      </c>
      <c r="B30" s="275" t="s">
        <v>431</v>
      </c>
      <c r="C30" s="275">
        <v>1010</v>
      </c>
      <c r="D30" s="275" t="s">
        <v>479</v>
      </c>
      <c r="E30" s="7">
        <v>-19674</v>
      </c>
      <c r="F30" s="7"/>
      <c r="G30" s="7"/>
      <c r="H30" s="7"/>
      <c r="I30" s="7"/>
      <c r="J30" s="7"/>
      <c r="K30" s="7"/>
      <c r="L30" s="275" t="s">
        <v>421</v>
      </c>
      <c r="M30" s="275" t="s">
        <v>431</v>
      </c>
      <c r="N30" s="275">
        <v>1010</v>
      </c>
      <c r="O30" s="275" t="s">
        <v>479</v>
      </c>
      <c r="P30" s="7"/>
      <c r="Q30" s="7"/>
      <c r="R30" s="7"/>
      <c r="S30" s="7"/>
      <c r="T30" s="7"/>
      <c r="U30" s="7"/>
      <c r="V30" s="7"/>
    </row>
    <row r="31" spans="1:22" s="4" customFormat="1" x14ac:dyDescent="0.25">
      <c r="A31" s="275" t="s">
        <v>422</v>
      </c>
      <c r="B31" s="275" t="s">
        <v>429</v>
      </c>
      <c r="C31" s="275">
        <v>1010</v>
      </c>
      <c r="D31" s="275" t="s">
        <v>430</v>
      </c>
      <c r="E31" s="7">
        <f>-426579.63-44254.55</f>
        <v>-470834.18</v>
      </c>
      <c r="F31" s="7"/>
      <c r="G31" s="7"/>
      <c r="H31" s="7"/>
      <c r="I31" s="7"/>
      <c r="J31" s="7"/>
      <c r="K31" s="7"/>
      <c r="L31" s="275" t="s">
        <v>422</v>
      </c>
      <c r="M31" s="275" t="s">
        <v>429</v>
      </c>
      <c r="N31" s="275">
        <v>1010</v>
      </c>
      <c r="O31" s="275" t="s">
        <v>430</v>
      </c>
      <c r="P31" s="7"/>
      <c r="Q31" s="7"/>
      <c r="R31" s="7"/>
      <c r="S31" s="7"/>
      <c r="T31" s="7"/>
      <c r="U31" s="7"/>
      <c r="V31" s="7"/>
    </row>
    <row r="32" spans="1:22" s="4" customFormat="1" x14ac:dyDescent="0.25">
      <c r="A32" s="275" t="s">
        <v>423</v>
      </c>
      <c r="B32" s="275" t="s">
        <v>469</v>
      </c>
      <c r="C32" s="275">
        <v>1010</v>
      </c>
      <c r="D32" s="330" t="s">
        <v>470</v>
      </c>
      <c r="E32" s="7">
        <f>-15291.96</f>
        <v>-15291.96</v>
      </c>
      <c r="F32" s="7"/>
      <c r="G32" s="7"/>
      <c r="H32" s="7"/>
      <c r="I32" s="7"/>
      <c r="J32" s="7"/>
      <c r="K32" s="7"/>
      <c r="L32" s="275" t="s">
        <v>423</v>
      </c>
      <c r="M32" s="275" t="s">
        <v>469</v>
      </c>
      <c r="N32" s="275">
        <v>1010</v>
      </c>
      <c r="O32" s="330" t="s">
        <v>470</v>
      </c>
      <c r="P32" s="7"/>
      <c r="Q32" s="7"/>
      <c r="R32" s="7"/>
      <c r="S32" s="7"/>
      <c r="T32" s="7"/>
      <c r="U32" s="7"/>
      <c r="V32" s="6"/>
    </row>
    <row r="33" spans="1:22" x14ac:dyDescent="0.25">
      <c r="A33" s="4"/>
      <c r="B33" s="4"/>
      <c r="C33" s="4"/>
      <c r="D33" s="4"/>
      <c r="E33" s="279">
        <f>SUM(E22:E32)</f>
        <v>-1429415.73</v>
      </c>
      <c r="F33" s="279">
        <f t="shared" ref="F33:U33" si="0">SUM(F22:F32)</f>
        <v>0</v>
      </c>
      <c r="G33" s="279">
        <f t="shared" si="0"/>
        <v>0</v>
      </c>
      <c r="H33" s="279">
        <f t="shared" si="0"/>
        <v>0</v>
      </c>
      <c r="I33" s="279">
        <f t="shared" si="0"/>
        <v>0</v>
      </c>
      <c r="J33" s="279">
        <f t="shared" si="0"/>
        <v>0</v>
      </c>
      <c r="K33" s="279">
        <f t="shared" si="0"/>
        <v>0</v>
      </c>
      <c r="P33" s="279">
        <f t="shared" si="0"/>
        <v>0</v>
      </c>
      <c r="Q33" s="279">
        <f t="shared" si="0"/>
        <v>0</v>
      </c>
      <c r="R33" s="279">
        <f t="shared" si="0"/>
        <v>0</v>
      </c>
      <c r="S33" s="279">
        <f t="shared" si="0"/>
        <v>0</v>
      </c>
      <c r="T33" s="279">
        <f t="shared" si="0"/>
        <v>0</v>
      </c>
      <c r="U33" s="279">
        <f t="shared" si="0"/>
        <v>0</v>
      </c>
      <c r="V33" s="6"/>
    </row>
    <row r="34" spans="1:22" x14ac:dyDescent="0.25">
      <c r="A34" s="277" t="s">
        <v>343</v>
      </c>
      <c r="B34" s="4"/>
      <c r="C34" s="4"/>
      <c r="D34" s="4"/>
      <c r="E34" s="279"/>
      <c r="F34" s="279"/>
      <c r="G34" s="279"/>
      <c r="H34" s="279"/>
      <c r="I34" s="279"/>
      <c r="J34" s="279"/>
      <c r="K34" s="279"/>
      <c r="L34" s="277" t="s">
        <v>343</v>
      </c>
      <c r="P34" s="279"/>
      <c r="Q34" s="279"/>
      <c r="R34" s="279"/>
      <c r="S34" s="279"/>
      <c r="T34" s="279"/>
      <c r="U34" s="279"/>
      <c r="V34" s="6"/>
    </row>
    <row r="35" spans="1:22" x14ac:dyDescent="0.25">
      <c r="A35" s="278" t="s">
        <v>4</v>
      </c>
      <c r="B35" s="275" t="s">
        <v>319</v>
      </c>
      <c r="C35" s="275">
        <v>1010</v>
      </c>
      <c r="D35" s="275" t="s">
        <v>320</v>
      </c>
      <c r="E35" s="6">
        <f t="shared" ref="E35:E45" si="1">E8+E22</f>
        <v>709017.4</v>
      </c>
      <c r="F35" s="6">
        <f t="shared" ref="F35:U35" si="2">E35+F22+F8</f>
        <v>709017.4</v>
      </c>
      <c r="G35" s="6">
        <f t="shared" si="2"/>
        <v>709017.4</v>
      </c>
      <c r="H35" s="6">
        <f t="shared" si="2"/>
        <v>709017.4</v>
      </c>
      <c r="I35" s="6">
        <f t="shared" si="2"/>
        <v>709017.4</v>
      </c>
      <c r="J35" s="6">
        <f t="shared" si="2"/>
        <v>709017.4</v>
      </c>
      <c r="K35" s="6">
        <f t="shared" si="2"/>
        <v>709017.4</v>
      </c>
      <c r="L35" s="278" t="s">
        <v>4</v>
      </c>
      <c r="M35" s="275" t="s">
        <v>319</v>
      </c>
      <c r="N35" s="275">
        <v>1010</v>
      </c>
      <c r="O35" s="275" t="s">
        <v>320</v>
      </c>
      <c r="P35" s="6">
        <f t="shared" ref="P35:P45" si="3">K35+P22+P8</f>
        <v>709017.4</v>
      </c>
      <c r="Q35" s="6">
        <f t="shared" si="2"/>
        <v>709017.4</v>
      </c>
      <c r="R35" s="6">
        <f t="shared" si="2"/>
        <v>709017.4</v>
      </c>
      <c r="S35" s="6">
        <f t="shared" si="2"/>
        <v>709017.4</v>
      </c>
      <c r="T35" s="6">
        <f t="shared" si="2"/>
        <v>709017.4</v>
      </c>
      <c r="U35" s="6">
        <f t="shared" si="2"/>
        <v>709017.4</v>
      </c>
      <c r="V35" s="7">
        <f>(SUM(E35:K35)+SUM(P35:U35))/13</f>
        <v>709017.40000000014</v>
      </c>
    </row>
    <row r="36" spans="1:22" x14ac:dyDescent="0.25">
      <c r="A36" s="278" t="s">
        <v>4</v>
      </c>
      <c r="B36" s="275" t="s">
        <v>322</v>
      </c>
      <c r="C36" s="275">
        <v>1010</v>
      </c>
      <c r="D36" s="275" t="s">
        <v>323</v>
      </c>
      <c r="E36" s="6">
        <f t="shared" si="1"/>
        <v>11885.12</v>
      </c>
      <c r="F36" s="6">
        <f t="shared" ref="F36:U36" si="4">E36+F23+F9</f>
        <v>11885.12</v>
      </c>
      <c r="G36" s="6">
        <f t="shared" si="4"/>
        <v>11885.12</v>
      </c>
      <c r="H36" s="6">
        <f t="shared" si="4"/>
        <v>11885.12</v>
      </c>
      <c r="I36" s="6">
        <f t="shared" si="4"/>
        <v>11885.12</v>
      </c>
      <c r="J36" s="6">
        <f t="shared" si="4"/>
        <v>11885.12</v>
      </c>
      <c r="K36" s="6">
        <f t="shared" si="4"/>
        <v>11885.12</v>
      </c>
      <c r="L36" s="278" t="s">
        <v>4</v>
      </c>
      <c r="M36" s="275" t="s">
        <v>322</v>
      </c>
      <c r="N36" s="275">
        <v>1010</v>
      </c>
      <c r="O36" s="275" t="s">
        <v>323</v>
      </c>
      <c r="P36" s="6">
        <f t="shared" si="3"/>
        <v>11885.12</v>
      </c>
      <c r="Q36" s="6">
        <f t="shared" si="4"/>
        <v>11885.12</v>
      </c>
      <c r="R36" s="6">
        <f t="shared" si="4"/>
        <v>11885.12</v>
      </c>
      <c r="S36" s="6">
        <f t="shared" si="4"/>
        <v>11885.12</v>
      </c>
      <c r="T36" s="6">
        <f t="shared" si="4"/>
        <v>11885.12</v>
      </c>
      <c r="U36" s="6">
        <f t="shared" si="4"/>
        <v>11885.12</v>
      </c>
      <c r="V36" s="7">
        <f t="shared" ref="V36:V45" si="5">(SUM(E36:K36)+SUM(P36:U36))/13</f>
        <v>11885.119999999999</v>
      </c>
    </row>
    <row r="37" spans="1:22" x14ac:dyDescent="0.25">
      <c r="A37" s="278" t="s">
        <v>4</v>
      </c>
      <c r="B37" s="275" t="s">
        <v>325</v>
      </c>
      <c r="C37" s="275">
        <v>1010</v>
      </c>
      <c r="D37" s="275" t="s">
        <v>326</v>
      </c>
      <c r="E37" s="6">
        <f t="shared" si="1"/>
        <v>7682833.7699999986</v>
      </c>
      <c r="F37" s="6">
        <f t="shared" ref="F37:U37" si="6">E37+F24+F10</f>
        <v>7682833.7699999986</v>
      </c>
      <c r="G37" s="6">
        <f t="shared" si="6"/>
        <v>7682833.7699999986</v>
      </c>
      <c r="H37" s="6">
        <f t="shared" si="6"/>
        <v>7682833.7699999986</v>
      </c>
      <c r="I37" s="6">
        <f t="shared" si="6"/>
        <v>7682833.7699999986</v>
      </c>
      <c r="J37" s="6">
        <f t="shared" si="6"/>
        <v>7682833.7699999986</v>
      </c>
      <c r="K37" s="6">
        <f t="shared" si="6"/>
        <v>7682833.7699999986</v>
      </c>
      <c r="L37" s="278" t="s">
        <v>4</v>
      </c>
      <c r="M37" s="275" t="s">
        <v>325</v>
      </c>
      <c r="N37" s="275">
        <v>1010</v>
      </c>
      <c r="O37" s="275" t="s">
        <v>326</v>
      </c>
      <c r="P37" s="6">
        <f t="shared" si="3"/>
        <v>7682833.7699999986</v>
      </c>
      <c r="Q37" s="6">
        <f t="shared" si="6"/>
        <v>7682833.7699999986</v>
      </c>
      <c r="R37" s="6">
        <f t="shared" si="6"/>
        <v>7682833.7699999986</v>
      </c>
      <c r="S37" s="6">
        <f t="shared" si="6"/>
        <v>7682833.7699999986</v>
      </c>
      <c r="T37" s="6">
        <f t="shared" si="6"/>
        <v>7682833.7699999986</v>
      </c>
      <c r="U37" s="6">
        <f t="shared" si="6"/>
        <v>7682833.7699999986</v>
      </c>
      <c r="V37" s="7">
        <f t="shared" si="5"/>
        <v>7682833.7699999977</v>
      </c>
    </row>
    <row r="38" spans="1:22" x14ac:dyDescent="0.25">
      <c r="A38" s="278" t="s">
        <v>4</v>
      </c>
      <c r="B38" s="275" t="s">
        <v>328</v>
      </c>
      <c r="C38" s="275">
        <v>1010</v>
      </c>
      <c r="D38" s="275" t="s">
        <v>329</v>
      </c>
      <c r="E38" s="6">
        <f t="shared" si="1"/>
        <v>4383233.76</v>
      </c>
      <c r="F38" s="6">
        <f t="shared" ref="F38:U38" si="7">E38+F25+F11</f>
        <v>4383233.76</v>
      </c>
      <c r="G38" s="6">
        <f t="shared" si="7"/>
        <v>4383233.76</v>
      </c>
      <c r="H38" s="6">
        <f t="shared" si="7"/>
        <v>4383233.76</v>
      </c>
      <c r="I38" s="6">
        <f t="shared" si="7"/>
        <v>4383233.76</v>
      </c>
      <c r="J38" s="6">
        <f t="shared" si="7"/>
        <v>4383233.76</v>
      </c>
      <c r="K38" s="6">
        <f t="shared" si="7"/>
        <v>4383233.76</v>
      </c>
      <c r="L38" s="278" t="s">
        <v>4</v>
      </c>
      <c r="M38" s="275" t="s">
        <v>328</v>
      </c>
      <c r="N38" s="275">
        <v>1010</v>
      </c>
      <c r="O38" s="275" t="s">
        <v>329</v>
      </c>
      <c r="P38" s="6">
        <f t="shared" si="3"/>
        <v>4383233.76</v>
      </c>
      <c r="Q38" s="6">
        <f t="shared" si="7"/>
        <v>4383233.76</v>
      </c>
      <c r="R38" s="6">
        <f t="shared" si="7"/>
        <v>4383233.76</v>
      </c>
      <c r="S38" s="6">
        <f t="shared" si="7"/>
        <v>4383233.76</v>
      </c>
      <c r="T38" s="6">
        <f t="shared" si="7"/>
        <v>4383233.76</v>
      </c>
      <c r="U38" s="6">
        <f t="shared" si="7"/>
        <v>4383233.76</v>
      </c>
      <c r="V38" s="7">
        <f t="shared" si="5"/>
        <v>4383233.7599999988</v>
      </c>
    </row>
    <row r="39" spans="1:22" x14ac:dyDescent="0.25">
      <c r="A39" s="278" t="s">
        <v>4</v>
      </c>
      <c r="B39" s="275" t="s">
        <v>331</v>
      </c>
      <c r="C39" s="275">
        <v>1010</v>
      </c>
      <c r="D39" s="275" t="s">
        <v>332</v>
      </c>
      <c r="E39" s="6">
        <f t="shared" si="1"/>
        <v>259863.75</v>
      </c>
      <c r="F39" s="6">
        <f t="shared" ref="F39:U39" si="8">E39+F26+F12</f>
        <v>259863.75</v>
      </c>
      <c r="G39" s="6">
        <f t="shared" si="8"/>
        <v>259863.75</v>
      </c>
      <c r="H39" s="6">
        <f t="shared" si="8"/>
        <v>259863.75</v>
      </c>
      <c r="I39" s="6">
        <f t="shared" si="8"/>
        <v>259863.75</v>
      </c>
      <c r="J39" s="6">
        <f t="shared" si="8"/>
        <v>259863.75</v>
      </c>
      <c r="K39" s="6">
        <f t="shared" si="8"/>
        <v>259863.75</v>
      </c>
      <c r="L39" s="278" t="s">
        <v>4</v>
      </c>
      <c r="M39" s="275" t="s">
        <v>331</v>
      </c>
      <c r="N39" s="275">
        <v>1010</v>
      </c>
      <c r="O39" s="275" t="s">
        <v>332</v>
      </c>
      <c r="P39" s="6">
        <f t="shared" si="3"/>
        <v>259863.75</v>
      </c>
      <c r="Q39" s="6">
        <f t="shared" si="8"/>
        <v>259863.75</v>
      </c>
      <c r="R39" s="6">
        <f t="shared" si="8"/>
        <v>259863.75</v>
      </c>
      <c r="S39" s="6">
        <f t="shared" si="8"/>
        <v>259863.75</v>
      </c>
      <c r="T39" s="6">
        <f t="shared" si="8"/>
        <v>259863.75</v>
      </c>
      <c r="U39" s="6">
        <f t="shared" si="8"/>
        <v>259863.75</v>
      </c>
      <c r="V39" s="7">
        <f t="shared" si="5"/>
        <v>259863.75</v>
      </c>
    </row>
    <row r="40" spans="1:22" x14ac:dyDescent="0.25">
      <c r="A40" s="278" t="s">
        <v>4</v>
      </c>
      <c r="B40" s="275" t="s">
        <v>334</v>
      </c>
      <c r="C40" s="275">
        <v>1010</v>
      </c>
      <c r="D40" s="275" t="s">
        <v>335</v>
      </c>
      <c r="E40" s="6">
        <f t="shared" si="1"/>
        <v>2556012.44</v>
      </c>
      <c r="F40" s="6">
        <f t="shared" ref="F40:U40" si="9">E40+F27+F13</f>
        <v>2556012.44</v>
      </c>
      <c r="G40" s="6">
        <f t="shared" si="9"/>
        <v>2556012.44</v>
      </c>
      <c r="H40" s="6">
        <f t="shared" si="9"/>
        <v>2556012.44</v>
      </c>
      <c r="I40" s="6">
        <f t="shared" si="9"/>
        <v>2556012.44</v>
      </c>
      <c r="J40" s="6">
        <f t="shared" si="9"/>
        <v>2556012.44</v>
      </c>
      <c r="K40" s="6">
        <f t="shared" si="9"/>
        <v>2556012.44</v>
      </c>
      <c r="L40" s="278" t="s">
        <v>4</v>
      </c>
      <c r="M40" s="275" t="s">
        <v>334</v>
      </c>
      <c r="N40" s="275">
        <v>1010</v>
      </c>
      <c r="O40" s="275" t="s">
        <v>335</v>
      </c>
      <c r="P40" s="6">
        <f t="shared" si="3"/>
        <v>2556012.44</v>
      </c>
      <c r="Q40" s="6">
        <f t="shared" si="9"/>
        <v>2556012.44</v>
      </c>
      <c r="R40" s="6">
        <f t="shared" si="9"/>
        <v>2556012.44</v>
      </c>
      <c r="S40" s="6">
        <f t="shared" si="9"/>
        <v>2556012.44</v>
      </c>
      <c r="T40" s="6">
        <f t="shared" si="9"/>
        <v>2556012.44</v>
      </c>
      <c r="U40" s="6">
        <f t="shared" si="9"/>
        <v>2556012.44</v>
      </c>
      <c r="V40" s="7">
        <f t="shared" si="5"/>
        <v>2556012.44</v>
      </c>
    </row>
    <row r="41" spans="1:22" x14ac:dyDescent="0.25">
      <c r="A41" s="278" t="s">
        <v>4</v>
      </c>
      <c r="B41" s="275" t="s">
        <v>337</v>
      </c>
      <c r="C41" s="275">
        <v>1010</v>
      </c>
      <c r="D41" s="275" t="s">
        <v>338</v>
      </c>
      <c r="E41" s="6">
        <f t="shared" si="1"/>
        <v>95925.3</v>
      </c>
      <c r="F41" s="6">
        <f t="shared" ref="F41:U41" si="10">E41+F28+F14</f>
        <v>95925.3</v>
      </c>
      <c r="G41" s="6">
        <f t="shared" si="10"/>
        <v>95925.3</v>
      </c>
      <c r="H41" s="6">
        <f t="shared" si="10"/>
        <v>95925.3</v>
      </c>
      <c r="I41" s="6">
        <f t="shared" si="10"/>
        <v>95925.3</v>
      </c>
      <c r="J41" s="6">
        <f t="shared" si="10"/>
        <v>95925.3</v>
      </c>
      <c r="K41" s="6">
        <f t="shared" si="10"/>
        <v>95925.3</v>
      </c>
      <c r="L41" s="278" t="s">
        <v>4</v>
      </c>
      <c r="M41" s="275" t="s">
        <v>337</v>
      </c>
      <c r="N41" s="275">
        <v>1010</v>
      </c>
      <c r="O41" s="275" t="s">
        <v>338</v>
      </c>
      <c r="P41" s="6">
        <f t="shared" si="3"/>
        <v>95925.3</v>
      </c>
      <c r="Q41" s="6">
        <f t="shared" si="10"/>
        <v>95925.3</v>
      </c>
      <c r="R41" s="6">
        <f t="shared" si="10"/>
        <v>95925.3</v>
      </c>
      <c r="S41" s="6">
        <f t="shared" si="10"/>
        <v>95925.3</v>
      </c>
      <c r="T41" s="6">
        <f t="shared" si="10"/>
        <v>95925.3</v>
      </c>
      <c r="U41" s="6">
        <f t="shared" si="10"/>
        <v>95925.3</v>
      </c>
      <c r="V41" s="7">
        <f t="shared" si="5"/>
        <v>95925.300000000017</v>
      </c>
    </row>
    <row r="42" spans="1:22" x14ac:dyDescent="0.25">
      <c r="A42" s="278" t="s">
        <v>4</v>
      </c>
      <c r="B42" s="275" t="s">
        <v>340</v>
      </c>
      <c r="C42" s="275">
        <v>1010</v>
      </c>
      <c r="D42" s="275" t="s">
        <v>341</v>
      </c>
      <c r="E42" s="6">
        <f t="shared" si="1"/>
        <v>2665177.4900000002</v>
      </c>
      <c r="F42" s="6">
        <f t="shared" ref="F42:U42" si="11">E42+F29+F15</f>
        <v>2665177.4900000002</v>
      </c>
      <c r="G42" s="6">
        <f t="shared" si="11"/>
        <v>2665177.4900000002</v>
      </c>
      <c r="H42" s="6">
        <f t="shared" si="11"/>
        <v>2665177.4900000002</v>
      </c>
      <c r="I42" s="6">
        <f t="shared" si="11"/>
        <v>2665177.4900000002</v>
      </c>
      <c r="J42" s="6">
        <f t="shared" si="11"/>
        <v>2665177.4900000002</v>
      </c>
      <c r="K42" s="6">
        <f t="shared" si="11"/>
        <v>2665177.4900000002</v>
      </c>
      <c r="L42" s="278" t="s">
        <v>4</v>
      </c>
      <c r="M42" s="275" t="s">
        <v>340</v>
      </c>
      <c r="N42" s="275">
        <v>1010</v>
      </c>
      <c r="O42" s="275" t="s">
        <v>341</v>
      </c>
      <c r="P42" s="6">
        <f t="shared" si="3"/>
        <v>2665177.4900000002</v>
      </c>
      <c r="Q42" s="6">
        <f t="shared" si="11"/>
        <v>2665177.4900000002</v>
      </c>
      <c r="R42" s="6">
        <f t="shared" si="11"/>
        <v>2665177.4900000002</v>
      </c>
      <c r="S42" s="6">
        <f t="shared" si="11"/>
        <v>2665177.4900000002</v>
      </c>
      <c r="T42" s="6">
        <f t="shared" si="11"/>
        <v>2665177.4900000002</v>
      </c>
      <c r="U42" s="6">
        <f t="shared" si="11"/>
        <v>2665177.4900000002</v>
      </c>
      <c r="V42" s="7">
        <f t="shared" si="5"/>
        <v>2665177.4900000002</v>
      </c>
    </row>
    <row r="43" spans="1:22" s="4" customFormat="1" x14ac:dyDescent="0.25">
      <c r="A43" s="278" t="s">
        <v>4</v>
      </c>
      <c r="B43" s="275" t="s">
        <v>431</v>
      </c>
      <c r="C43" s="275">
        <v>1010</v>
      </c>
      <c r="D43" s="275" t="s">
        <v>479</v>
      </c>
      <c r="E43" s="6">
        <f t="shared" si="1"/>
        <v>13807.369999999995</v>
      </c>
      <c r="F43" s="6">
        <f t="shared" ref="F43:U43" si="12">E43+F30+F16</f>
        <v>13807.369999999995</v>
      </c>
      <c r="G43" s="6">
        <f t="shared" si="12"/>
        <v>13807.369999999995</v>
      </c>
      <c r="H43" s="6">
        <f t="shared" si="12"/>
        <v>13807.369999999995</v>
      </c>
      <c r="I43" s="6">
        <f t="shared" si="12"/>
        <v>13807.369999999995</v>
      </c>
      <c r="J43" s="6">
        <f t="shared" si="12"/>
        <v>13807.369999999995</v>
      </c>
      <c r="K43" s="6">
        <f t="shared" si="12"/>
        <v>13807.369999999995</v>
      </c>
      <c r="L43" s="278" t="s">
        <v>4</v>
      </c>
      <c r="M43" s="275" t="s">
        <v>431</v>
      </c>
      <c r="N43" s="275">
        <v>1010</v>
      </c>
      <c r="O43" s="275" t="s">
        <v>479</v>
      </c>
      <c r="P43" s="6">
        <f t="shared" si="3"/>
        <v>13807.369999999995</v>
      </c>
      <c r="Q43" s="6">
        <f t="shared" si="12"/>
        <v>13807.369999999995</v>
      </c>
      <c r="R43" s="6">
        <f t="shared" si="12"/>
        <v>13807.369999999995</v>
      </c>
      <c r="S43" s="6">
        <f t="shared" si="12"/>
        <v>13807.369999999995</v>
      </c>
      <c r="T43" s="6">
        <f t="shared" si="12"/>
        <v>13807.369999999995</v>
      </c>
      <c r="U43" s="6">
        <f t="shared" si="12"/>
        <v>13807.369999999995</v>
      </c>
      <c r="V43" s="7">
        <f t="shared" si="5"/>
        <v>13807.369999999995</v>
      </c>
    </row>
    <row r="44" spans="1:22" s="4" customFormat="1" x14ac:dyDescent="0.25">
      <c r="A44" s="278" t="s">
        <v>4</v>
      </c>
      <c r="B44" s="275" t="s">
        <v>429</v>
      </c>
      <c r="C44" s="275">
        <v>1010</v>
      </c>
      <c r="D44" s="275" t="s">
        <v>430</v>
      </c>
      <c r="E44" s="6">
        <f t="shared" si="1"/>
        <v>-263031.13</v>
      </c>
      <c r="F44" s="6">
        <f t="shared" ref="F44:U44" si="13">E44+F31+F17</f>
        <v>-263031.13</v>
      </c>
      <c r="G44" s="6">
        <f t="shared" si="13"/>
        <v>-263031.13</v>
      </c>
      <c r="H44" s="6">
        <f t="shared" si="13"/>
        <v>-263031.13</v>
      </c>
      <c r="I44" s="6">
        <f t="shared" si="13"/>
        <v>-263031.13</v>
      </c>
      <c r="J44" s="6">
        <f t="shared" si="13"/>
        <v>-263031.13</v>
      </c>
      <c r="K44" s="6">
        <f t="shared" si="13"/>
        <v>-263031.13</v>
      </c>
      <c r="L44" s="278" t="s">
        <v>4</v>
      </c>
      <c r="M44" s="275" t="s">
        <v>429</v>
      </c>
      <c r="N44" s="275">
        <v>1010</v>
      </c>
      <c r="O44" s="275" t="s">
        <v>430</v>
      </c>
      <c r="P44" s="6">
        <f t="shared" si="3"/>
        <v>-263031.13</v>
      </c>
      <c r="Q44" s="6">
        <f t="shared" si="13"/>
        <v>-263031.13</v>
      </c>
      <c r="R44" s="6">
        <f t="shared" si="13"/>
        <v>-263031.13</v>
      </c>
      <c r="S44" s="6">
        <f t="shared" si="13"/>
        <v>-263031.13</v>
      </c>
      <c r="T44" s="6">
        <f t="shared" si="13"/>
        <v>-263031.13</v>
      </c>
      <c r="U44" s="6">
        <f t="shared" si="13"/>
        <v>-263031.13</v>
      </c>
      <c r="V44" s="7">
        <f t="shared" si="5"/>
        <v>-263031.12999999995</v>
      </c>
    </row>
    <row r="45" spans="1:22" s="4" customFormat="1" x14ac:dyDescent="0.25">
      <c r="A45" s="278" t="s">
        <v>4</v>
      </c>
      <c r="B45" s="275" t="s">
        <v>469</v>
      </c>
      <c r="C45" s="275">
        <v>1010</v>
      </c>
      <c r="D45" s="330" t="s">
        <v>470</v>
      </c>
      <c r="E45" s="6">
        <f t="shared" si="1"/>
        <v>459186.05999999988</v>
      </c>
      <c r="F45" s="6">
        <f t="shared" ref="F45:U45" si="14">E45+F32+F18</f>
        <v>459186.05999999988</v>
      </c>
      <c r="G45" s="6">
        <f t="shared" si="14"/>
        <v>459186.05999999988</v>
      </c>
      <c r="H45" s="6">
        <f t="shared" si="14"/>
        <v>459186.05999999988</v>
      </c>
      <c r="I45" s="6">
        <f t="shared" si="14"/>
        <v>459186.05999999988</v>
      </c>
      <c r="J45" s="6">
        <f t="shared" si="14"/>
        <v>459186.05999999988</v>
      </c>
      <c r="K45" s="6">
        <f t="shared" si="14"/>
        <v>459186.05999999988</v>
      </c>
      <c r="L45" s="278" t="s">
        <v>4</v>
      </c>
      <c r="M45" s="275" t="s">
        <v>469</v>
      </c>
      <c r="N45" s="275">
        <v>1010</v>
      </c>
      <c r="O45" s="330" t="s">
        <v>470</v>
      </c>
      <c r="P45" s="6">
        <f t="shared" si="3"/>
        <v>459186.05999999988</v>
      </c>
      <c r="Q45" s="6">
        <f t="shared" si="14"/>
        <v>459186.05999999988</v>
      </c>
      <c r="R45" s="6">
        <f t="shared" si="14"/>
        <v>459186.05999999988</v>
      </c>
      <c r="S45" s="6">
        <f t="shared" si="14"/>
        <v>459186.05999999988</v>
      </c>
      <c r="T45" s="6">
        <f t="shared" si="14"/>
        <v>459186.05999999988</v>
      </c>
      <c r="U45" s="6">
        <f t="shared" si="14"/>
        <v>459186.05999999988</v>
      </c>
      <c r="V45" s="7">
        <f t="shared" si="5"/>
        <v>459186.05999999994</v>
      </c>
    </row>
    <row r="46" spans="1:22" ht="15.75" thickBot="1" x14ac:dyDescent="0.3">
      <c r="A46" s="1" t="s">
        <v>344</v>
      </c>
      <c r="B46" s="4"/>
      <c r="C46" s="4"/>
      <c r="D46" s="4"/>
      <c r="E46" s="20">
        <f>SUM(E35:E45)</f>
        <v>18573911.330000002</v>
      </c>
      <c r="F46" s="20">
        <f t="shared" ref="F46:V46" si="15">SUM(F35:F45)</f>
        <v>18573911.330000002</v>
      </c>
      <c r="G46" s="20">
        <f t="shared" si="15"/>
        <v>18573911.330000002</v>
      </c>
      <c r="H46" s="20">
        <f t="shared" si="15"/>
        <v>18573911.330000002</v>
      </c>
      <c r="I46" s="20">
        <f t="shared" si="15"/>
        <v>18573911.330000002</v>
      </c>
      <c r="J46" s="20">
        <f t="shared" si="15"/>
        <v>18573911.330000002</v>
      </c>
      <c r="K46" s="20">
        <f t="shared" si="15"/>
        <v>18573911.330000002</v>
      </c>
      <c r="L46" s="1" t="s">
        <v>344</v>
      </c>
      <c r="P46" s="20">
        <f t="shared" si="15"/>
        <v>18573911.330000002</v>
      </c>
      <c r="Q46" s="20">
        <f t="shared" si="15"/>
        <v>18573911.330000002</v>
      </c>
      <c r="R46" s="20">
        <f t="shared" si="15"/>
        <v>18573911.330000002</v>
      </c>
      <c r="S46" s="20">
        <f t="shared" si="15"/>
        <v>18573911.330000002</v>
      </c>
      <c r="T46" s="20">
        <f t="shared" si="15"/>
        <v>18573911.330000002</v>
      </c>
      <c r="U46" s="20">
        <f t="shared" si="15"/>
        <v>18573911.330000002</v>
      </c>
      <c r="V46" s="20">
        <f t="shared" si="15"/>
        <v>18573911.329999998</v>
      </c>
    </row>
    <row r="47" spans="1:22" ht="15.75" thickTop="1" x14ac:dyDescent="0.25">
      <c r="A47" s="275"/>
      <c r="B47" s="275"/>
      <c r="C47" s="275"/>
      <c r="D47" s="275"/>
      <c r="E47" s="4"/>
      <c r="F47" s="4"/>
      <c r="G47" s="4"/>
      <c r="H47" s="4"/>
      <c r="I47" s="4"/>
      <c r="J47" s="4"/>
      <c r="K47" s="4"/>
      <c r="L47" s="275"/>
      <c r="M47" s="275"/>
      <c r="N47" s="275"/>
      <c r="O47" s="275"/>
      <c r="P47" s="4"/>
      <c r="Q47" s="4"/>
      <c r="R47" s="4"/>
      <c r="S47" s="4"/>
      <c r="T47" s="4"/>
      <c r="U47" s="4"/>
      <c r="V47" s="4"/>
    </row>
    <row r="48" spans="1:22" s="4" customFormat="1" ht="16.5" x14ac:dyDescent="0.25">
      <c r="A48" s="246" t="s">
        <v>435</v>
      </c>
      <c r="J48" s="235" t="str">
        <f>J1</f>
        <v xml:space="preserve">Exhibit MDN-1 </v>
      </c>
      <c r="L48" s="246" t="s">
        <v>435</v>
      </c>
      <c r="P48" s="246"/>
      <c r="U48" s="235" t="str">
        <f>U1</f>
        <v xml:space="preserve">Exhibit MDN-1 </v>
      </c>
    </row>
    <row r="49" spans="1:22" s="4" customFormat="1" ht="18" x14ac:dyDescent="0.25">
      <c r="A49" s="236" t="s">
        <v>0</v>
      </c>
      <c r="F49" s="235"/>
      <c r="J49" s="267" t="s">
        <v>298</v>
      </c>
      <c r="K49" s="4" t="str">
        <f>K2</f>
        <v>20190156-EI</v>
      </c>
      <c r="L49" s="236" t="s">
        <v>0</v>
      </c>
      <c r="P49" s="236"/>
      <c r="U49" s="267" t="s">
        <v>298</v>
      </c>
      <c r="V49" s="4" t="str">
        <f>K49</f>
        <v>20190156-EI</v>
      </c>
    </row>
    <row r="50" spans="1:22" s="4" customFormat="1" ht="18" x14ac:dyDescent="0.25">
      <c r="A50" s="236" t="s">
        <v>300</v>
      </c>
      <c r="F50" s="267"/>
      <c r="G50" s="268"/>
      <c r="J50" s="267" t="s">
        <v>489</v>
      </c>
      <c r="L50" s="236" t="s">
        <v>300</v>
      </c>
      <c r="P50" s="236"/>
      <c r="U50" s="267" t="s">
        <v>490</v>
      </c>
    </row>
    <row r="51" spans="1:22" s="4" customFormat="1" ht="16.5" thickBot="1" x14ac:dyDescent="0.3">
      <c r="A51" s="245" t="s">
        <v>482</v>
      </c>
      <c r="B51" s="346"/>
      <c r="C51" s="346"/>
      <c r="D51" s="346"/>
      <c r="E51" s="346"/>
      <c r="F51" s="346"/>
      <c r="G51" s="346"/>
      <c r="H51" s="346"/>
      <c r="I51" s="346"/>
      <c r="J51" s="346"/>
      <c r="K51" s="346"/>
      <c r="L51" s="245" t="s">
        <v>482</v>
      </c>
      <c r="M51" s="346"/>
      <c r="N51" s="346"/>
      <c r="O51" s="346"/>
      <c r="P51" s="245"/>
      <c r="Q51" s="346"/>
      <c r="R51" s="346"/>
      <c r="S51" s="346"/>
      <c r="T51" s="346"/>
      <c r="U51" s="346"/>
      <c r="V51" s="346"/>
    </row>
    <row r="52" spans="1:22" s="4" customFormat="1" x14ac:dyDescent="0.25">
      <c r="A52" s="271"/>
      <c r="B52" s="271" t="s">
        <v>305</v>
      </c>
      <c r="C52" s="271" t="s">
        <v>485</v>
      </c>
      <c r="D52" s="271" t="s">
        <v>485</v>
      </c>
      <c r="E52" s="272" t="s">
        <v>306</v>
      </c>
      <c r="F52" s="272" t="s">
        <v>307</v>
      </c>
      <c r="G52" s="272" t="s">
        <v>308</v>
      </c>
      <c r="H52" s="272" t="s">
        <v>309</v>
      </c>
      <c r="I52" s="272" t="s">
        <v>310</v>
      </c>
      <c r="J52" s="272" t="s">
        <v>2</v>
      </c>
      <c r="K52" s="272" t="s">
        <v>311</v>
      </c>
      <c r="L52" s="271"/>
      <c r="M52" s="271" t="s">
        <v>305</v>
      </c>
      <c r="N52" s="271" t="s">
        <v>485</v>
      </c>
      <c r="O52" s="271" t="s">
        <v>485</v>
      </c>
      <c r="P52" s="272" t="s">
        <v>312</v>
      </c>
      <c r="Q52" s="272" t="s">
        <v>313</v>
      </c>
      <c r="R52" s="272" t="s">
        <v>314</v>
      </c>
      <c r="S52" s="272" t="s">
        <v>315</v>
      </c>
      <c r="T52" s="272" t="s">
        <v>316</v>
      </c>
      <c r="U52" s="272" t="s">
        <v>306</v>
      </c>
      <c r="V52" s="272" t="s">
        <v>8</v>
      </c>
    </row>
    <row r="53" spans="1:22" s="4" customFormat="1" x14ac:dyDescent="0.25">
      <c r="A53" s="271"/>
      <c r="B53" s="271"/>
      <c r="C53" s="271" t="s">
        <v>317</v>
      </c>
      <c r="D53" s="271" t="s">
        <v>317</v>
      </c>
      <c r="E53" s="273">
        <v>2019</v>
      </c>
      <c r="F53" s="273">
        <v>2020</v>
      </c>
      <c r="G53" s="273">
        <v>2020</v>
      </c>
      <c r="H53" s="273">
        <v>2020</v>
      </c>
      <c r="I53" s="273">
        <v>2020</v>
      </c>
      <c r="J53" s="273">
        <v>2020</v>
      </c>
      <c r="K53" s="273">
        <v>2020</v>
      </c>
      <c r="L53" s="271"/>
      <c r="M53" s="271"/>
      <c r="N53" s="271" t="s">
        <v>317</v>
      </c>
      <c r="O53" s="271" t="s">
        <v>317</v>
      </c>
      <c r="P53" s="273">
        <v>2020</v>
      </c>
      <c r="Q53" s="273">
        <v>2020</v>
      </c>
      <c r="R53" s="273">
        <v>2020</v>
      </c>
      <c r="S53" s="273">
        <v>2020</v>
      </c>
      <c r="T53" s="273">
        <v>2020</v>
      </c>
      <c r="U53" s="273">
        <v>2020</v>
      </c>
      <c r="V53" s="271" t="s">
        <v>9</v>
      </c>
    </row>
    <row r="54" spans="1:22" x14ac:dyDescent="0.25">
      <c r="A54" s="274" t="s">
        <v>354</v>
      </c>
      <c r="B54" s="275"/>
      <c r="C54" s="275"/>
      <c r="D54" s="275"/>
      <c r="E54" s="4"/>
      <c r="F54" s="4"/>
      <c r="G54" s="4"/>
      <c r="H54" s="4"/>
      <c r="I54" s="4"/>
      <c r="J54" s="4"/>
      <c r="K54" s="4"/>
      <c r="L54" s="274" t="s">
        <v>354</v>
      </c>
      <c r="M54" s="275"/>
      <c r="N54" s="275"/>
      <c r="O54" s="275"/>
      <c r="P54" s="4"/>
      <c r="Q54" s="4"/>
      <c r="R54" s="4"/>
      <c r="S54" s="4"/>
      <c r="T54" s="4"/>
      <c r="U54" s="4"/>
      <c r="V54" s="4"/>
    </row>
    <row r="55" spans="1:22" x14ac:dyDescent="0.25">
      <c r="A55" s="275"/>
      <c r="B55" s="275" t="s">
        <v>319</v>
      </c>
      <c r="C55" s="275">
        <v>1080</v>
      </c>
      <c r="D55" s="275" t="s">
        <v>320</v>
      </c>
      <c r="E55" s="7">
        <f>-E103</f>
        <v>0</v>
      </c>
      <c r="F55" s="7">
        <f t="shared" ref="F55:U55" si="16">-F103</f>
        <v>-2186.1369833333333</v>
      </c>
      <c r="G55" s="7">
        <f t="shared" si="16"/>
        <v>-2186.1369833333333</v>
      </c>
      <c r="H55" s="7">
        <f t="shared" si="16"/>
        <v>-2186.1369833333333</v>
      </c>
      <c r="I55" s="7">
        <f t="shared" si="16"/>
        <v>-2186.1369833333333</v>
      </c>
      <c r="J55" s="7">
        <f t="shared" si="16"/>
        <v>-2186.1369833333333</v>
      </c>
      <c r="K55" s="7">
        <f t="shared" si="16"/>
        <v>-2186.1369833333333</v>
      </c>
      <c r="L55" s="275"/>
      <c r="M55" s="275" t="s">
        <v>319</v>
      </c>
      <c r="N55" s="275">
        <v>1080</v>
      </c>
      <c r="O55" s="275" t="s">
        <v>320</v>
      </c>
      <c r="P55" s="7">
        <f t="shared" si="16"/>
        <v>-2186.1369833333333</v>
      </c>
      <c r="Q55" s="7">
        <f t="shared" si="16"/>
        <v>-2186.1369833333333</v>
      </c>
      <c r="R55" s="7">
        <f t="shared" si="16"/>
        <v>-2186.1369833333333</v>
      </c>
      <c r="S55" s="7">
        <f t="shared" si="16"/>
        <v>-2186.1369833333333</v>
      </c>
      <c r="T55" s="7">
        <f t="shared" si="16"/>
        <v>-2186.1369833333333</v>
      </c>
      <c r="U55" s="7">
        <f t="shared" si="16"/>
        <v>-2186.1369833333333</v>
      </c>
      <c r="V55" s="5"/>
    </row>
    <row r="56" spans="1:22" x14ac:dyDescent="0.25">
      <c r="A56" s="275"/>
      <c r="B56" s="275" t="s">
        <v>322</v>
      </c>
      <c r="C56" s="275">
        <v>1080</v>
      </c>
      <c r="D56" s="275" t="s">
        <v>323</v>
      </c>
      <c r="E56" s="7">
        <f t="shared" ref="E56:U65" si="17">-E104</f>
        <v>0</v>
      </c>
      <c r="F56" s="7">
        <f t="shared" si="17"/>
        <v>-23.770240000000001</v>
      </c>
      <c r="G56" s="7">
        <f t="shared" si="17"/>
        <v>-23.770240000000001</v>
      </c>
      <c r="H56" s="7">
        <f t="shared" si="17"/>
        <v>-23.770240000000001</v>
      </c>
      <c r="I56" s="7">
        <f t="shared" si="17"/>
        <v>-23.770240000000001</v>
      </c>
      <c r="J56" s="7">
        <f t="shared" si="17"/>
        <v>-23.770240000000001</v>
      </c>
      <c r="K56" s="7">
        <f t="shared" si="17"/>
        <v>-23.770240000000001</v>
      </c>
      <c r="L56" s="275"/>
      <c r="M56" s="275" t="s">
        <v>322</v>
      </c>
      <c r="N56" s="275">
        <v>1080</v>
      </c>
      <c r="O56" s="275" t="s">
        <v>323</v>
      </c>
      <c r="P56" s="7">
        <f t="shared" si="17"/>
        <v>-23.770240000000001</v>
      </c>
      <c r="Q56" s="7">
        <f t="shared" si="17"/>
        <v>-23.770240000000001</v>
      </c>
      <c r="R56" s="7">
        <f t="shared" si="17"/>
        <v>-23.770240000000001</v>
      </c>
      <c r="S56" s="7">
        <f t="shared" si="17"/>
        <v>-23.770240000000001</v>
      </c>
      <c r="T56" s="7">
        <f t="shared" si="17"/>
        <v>-23.770240000000001</v>
      </c>
      <c r="U56" s="7">
        <f t="shared" si="17"/>
        <v>-23.770240000000001</v>
      </c>
      <c r="V56" s="5"/>
    </row>
    <row r="57" spans="1:22" x14ac:dyDescent="0.25">
      <c r="A57" s="275"/>
      <c r="B57" s="275" t="s">
        <v>325</v>
      </c>
      <c r="C57" s="275">
        <v>1080</v>
      </c>
      <c r="D57" s="275" t="s">
        <v>326</v>
      </c>
      <c r="E57" s="7">
        <f t="shared" si="17"/>
        <v>0</v>
      </c>
      <c r="F57" s="7">
        <f t="shared" si="17"/>
        <v>-24969.209752499995</v>
      </c>
      <c r="G57" s="7">
        <f t="shared" si="17"/>
        <v>-24969.209752499995</v>
      </c>
      <c r="H57" s="7">
        <f t="shared" si="17"/>
        <v>-24969.209752499995</v>
      </c>
      <c r="I57" s="7">
        <f t="shared" si="17"/>
        <v>-24969.209752499995</v>
      </c>
      <c r="J57" s="7">
        <f t="shared" si="17"/>
        <v>-24969.209752499995</v>
      </c>
      <c r="K57" s="7">
        <f t="shared" si="17"/>
        <v>-24969.209752499995</v>
      </c>
      <c r="L57" s="275"/>
      <c r="M57" s="275" t="s">
        <v>325</v>
      </c>
      <c r="N57" s="275">
        <v>1080</v>
      </c>
      <c r="O57" s="275" t="s">
        <v>326</v>
      </c>
      <c r="P57" s="7">
        <f t="shared" si="17"/>
        <v>-24969.209752499995</v>
      </c>
      <c r="Q57" s="7">
        <f t="shared" si="17"/>
        <v>-24969.209752499995</v>
      </c>
      <c r="R57" s="7">
        <f t="shared" si="17"/>
        <v>-24969.209752499995</v>
      </c>
      <c r="S57" s="7">
        <f t="shared" si="17"/>
        <v>-24969.209752499995</v>
      </c>
      <c r="T57" s="7">
        <f t="shared" si="17"/>
        <v>-24969.209752499995</v>
      </c>
      <c r="U57" s="7">
        <f t="shared" si="17"/>
        <v>-24969.209752499995</v>
      </c>
      <c r="V57" s="5"/>
    </row>
    <row r="58" spans="1:22" x14ac:dyDescent="0.25">
      <c r="A58" s="275"/>
      <c r="B58" s="275" t="s">
        <v>328</v>
      </c>
      <c r="C58" s="275">
        <v>1080</v>
      </c>
      <c r="D58" s="275" t="s">
        <v>329</v>
      </c>
      <c r="E58" s="7">
        <f t="shared" si="17"/>
        <v>0</v>
      </c>
      <c r="F58" s="7">
        <f t="shared" si="17"/>
        <v>-12419.162320000001</v>
      </c>
      <c r="G58" s="7">
        <f t="shared" si="17"/>
        <v>-12419.162320000001</v>
      </c>
      <c r="H58" s="7">
        <f t="shared" si="17"/>
        <v>-12419.162320000001</v>
      </c>
      <c r="I58" s="7">
        <f t="shared" si="17"/>
        <v>-12419.162320000001</v>
      </c>
      <c r="J58" s="7">
        <f t="shared" si="17"/>
        <v>-12419.162320000001</v>
      </c>
      <c r="K58" s="7">
        <f t="shared" si="17"/>
        <v>-12419.162320000001</v>
      </c>
      <c r="L58" s="275"/>
      <c r="M58" s="275" t="s">
        <v>328</v>
      </c>
      <c r="N58" s="275">
        <v>1080</v>
      </c>
      <c r="O58" s="275" t="s">
        <v>329</v>
      </c>
      <c r="P58" s="7">
        <f t="shared" si="17"/>
        <v>-12419.162320000001</v>
      </c>
      <c r="Q58" s="7">
        <f t="shared" si="17"/>
        <v>-12419.162320000001</v>
      </c>
      <c r="R58" s="7">
        <f t="shared" si="17"/>
        <v>-12419.162320000001</v>
      </c>
      <c r="S58" s="7">
        <f t="shared" si="17"/>
        <v>-12419.162320000001</v>
      </c>
      <c r="T58" s="7">
        <f t="shared" si="17"/>
        <v>-12419.162320000001</v>
      </c>
      <c r="U58" s="7">
        <f t="shared" si="17"/>
        <v>-12419.162320000001</v>
      </c>
      <c r="V58" s="5"/>
    </row>
    <row r="59" spans="1:22" x14ac:dyDescent="0.25">
      <c r="A59" s="275"/>
      <c r="B59" s="275" t="s">
        <v>331</v>
      </c>
      <c r="C59" s="275">
        <v>1080</v>
      </c>
      <c r="D59" s="275" t="s">
        <v>332</v>
      </c>
      <c r="E59" s="7">
        <f t="shared" si="17"/>
        <v>0</v>
      </c>
      <c r="F59" s="7">
        <f t="shared" si="17"/>
        <v>-692.96999999999991</v>
      </c>
      <c r="G59" s="7">
        <f t="shared" si="17"/>
        <v>-692.96999999999991</v>
      </c>
      <c r="H59" s="7">
        <f t="shared" si="17"/>
        <v>-692.96999999999991</v>
      </c>
      <c r="I59" s="7">
        <f t="shared" si="17"/>
        <v>-692.96999999999991</v>
      </c>
      <c r="J59" s="7">
        <f t="shared" si="17"/>
        <v>-692.96999999999991</v>
      </c>
      <c r="K59" s="7">
        <f t="shared" si="17"/>
        <v>-692.96999999999991</v>
      </c>
      <c r="L59" s="275"/>
      <c r="M59" s="275" t="s">
        <v>331</v>
      </c>
      <c r="N59" s="275">
        <v>1080</v>
      </c>
      <c r="O59" s="275" t="s">
        <v>332</v>
      </c>
      <c r="P59" s="7">
        <f t="shared" si="17"/>
        <v>-692.96999999999991</v>
      </c>
      <c r="Q59" s="7">
        <f t="shared" si="17"/>
        <v>-692.96999999999991</v>
      </c>
      <c r="R59" s="7">
        <f t="shared" si="17"/>
        <v>-692.96999999999991</v>
      </c>
      <c r="S59" s="7">
        <f t="shared" si="17"/>
        <v>-692.96999999999991</v>
      </c>
      <c r="T59" s="7">
        <f t="shared" si="17"/>
        <v>-692.96999999999991</v>
      </c>
      <c r="U59" s="7">
        <f t="shared" si="17"/>
        <v>-692.96999999999991</v>
      </c>
      <c r="V59" s="5"/>
    </row>
    <row r="60" spans="1:22" x14ac:dyDescent="0.25">
      <c r="A60" s="275"/>
      <c r="B60" s="275" t="s">
        <v>334</v>
      </c>
      <c r="C60" s="275">
        <v>1080</v>
      </c>
      <c r="D60" s="275" t="s">
        <v>335</v>
      </c>
      <c r="E60" s="7">
        <f t="shared" si="17"/>
        <v>0</v>
      </c>
      <c r="F60" s="7">
        <f t="shared" si="17"/>
        <v>-8520.0414666666675</v>
      </c>
      <c r="G60" s="7">
        <f t="shared" si="17"/>
        <v>-8520.0414666666675</v>
      </c>
      <c r="H60" s="7">
        <f t="shared" si="17"/>
        <v>-8520.0414666666675</v>
      </c>
      <c r="I60" s="7">
        <f t="shared" si="17"/>
        <v>-8520.0414666666675</v>
      </c>
      <c r="J60" s="7">
        <f t="shared" si="17"/>
        <v>-8520.0414666666675</v>
      </c>
      <c r="K60" s="7">
        <f t="shared" si="17"/>
        <v>-8520.0414666666675</v>
      </c>
      <c r="L60" s="275"/>
      <c r="M60" s="275" t="s">
        <v>334</v>
      </c>
      <c r="N60" s="275">
        <v>1080</v>
      </c>
      <c r="O60" s="275" t="s">
        <v>335</v>
      </c>
      <c r="P60" s="7">
        <f t="shared" si="17"/>
        <v>-8520.0414666666675</v>
      </c>
      <c r="Q60" s="7">
        <f t="shared" si="17"/>
        <v>-8520.0414666666675</v>
      </c>
      <c r="R60" s="7">
        <f t="shared" si="17"/>
        <v>-8520.0414666666675</v>
      </c>
      <c r="S60" s="7">
        <f t="shared" si="17"/>
        <v>-8520.0414666666675</v>
      </c>
      <c r="T60" s="7">
        <f t="shared" si="17"/>
        <v>-8520.0414666666675</v>
      </c>
      <c r="U60" s="7">
        <f t="shared" si="17"/>
        <v>-8520.0414666666675</v>
      </c>
      <c r="V60" s="5"/>
    </row>
    <row r="61" spans="1:22" x14ac:dyDescent="0.25">
      <c r="A61" s="275"/>
      <c r="B61" s="275" t="s">
        <v>337</v>
      </c>
      <c r="C61" s="275">
        <v>1080</v>
      </c>
      <c r="D61" s="275" t="s">
        <v>338</v>
      </c>
      <c r="E61" s="7">
        <f t="shared" si="17"/>
        <v>0</v>
      </c>
      <c r="F61" s="7">
        <f t="shared" si="17"/>
        <v>-319.75100000000003</v>
      </c>
      <c r="G61" s="7">
        <f t="shared" si="17"/>
        <v>-319.75100000000003</v>
      </c>
      <c r="H61" s="7">
        <f t="shared" si="17"/>
        <v>-319.75100000000003</v>
      </c>
      <c r="I61" s="7">
        <f t="shared" si="17"/>
        <v>-319.75100000000003</v>
      </c>
      <c r="J61" s="7">
        <f t="shared" si="17"/>
        <v>-319.75100000000003</v>
      </c>
      <c r="K61" s="7">
        <f t="shared" si="17"/>
        <v>-319.75100000000003</v>
      </c>
      <c r="L61" s="275"/>
      <c r="M61" s="275" t="s">
        <v>337</v>
      </c>
      <c r="N61" s="275">
        <v>1080</v>
      </c>
      <c r="O61" s="275" t="s">
        <v>338</v>
      </c>
      <c r="P61" s="7">
        <f t="shared" si="17"/>
        <v>-319.75100000000003</v>
      </c>
      <c r="Q61" s="7">
        <f t="shared" si="17"/>
        <v>-319.75100000000003</v>
      </c>
      <c r="R61" s="7">
        <f t="shared" si="17"/>
        <v>-319.75100000000003</v>
      </c>
      <c r="S61" s="7">
        <f t="shared" si="17"/>
        <v>-319.75100000000003</v>
      </c>
      <c r="T61" s="7">
        <f t="shared" si="17"/>
        <v>-319.75100000000003</v>
      </c>
      <c r="U61" s="7">
        <f t="shared" si="17"/>
        <v>-319.75100000000003</v>
      </c>
      <c r="V61" s="5"/>
    </row>
    <row r="62" spans="1:22" x14ac:dyDescent="0.25">
      <c r="A62" s="275"/>
      <c r="B62" s="275" t="s">
        <v>340</v>
      </c>
      <c r="C62" s="275">
        <v>1080</v>
      </c>
      <c r="D62" s="275" t="s">
        <v>341</v>
      </c>
      <c r="E62" s="7">
        <f t="shared" si="17"/>
        <v>0</v>
      </c>
      <c r="F62" s="7">
        <f t="shared" si="17"/>
        <v>-7995.5324699999992</v>
      </c>
      <c r="G62" s="7">
        <f t="shared" si="17"/>
        <v>-7995.5324699999992</v>
      </c>
      <c r="H62" s="7">
        <f t="shared" si="17"/>
        <v>-7995.5324699999992</v>
      </c>
      <c r="I62" s="7">
        <f t="shared" si="17"/>
        <v>-7995.5324699999992</v>
      </c>
      <c r="J62" s="7">
        <f t="shared" si="17"/>
        <v>-7995.5324699999992</v>
      </c>
      <c r="K62" s="7">
        <f t="shared" si="17"/>
        <v>-7995.5324699999992</v>
      </c>
      <c r="L62" s="275"/>
      <c r="M62" s="275" t="s">
        <v>340</v>
      </c>
      <c r="N62" s="275">
        <v>1080</v>
      </c>
      <c r="O62" s="275" t="s">
        <v>341</v>
      </c>
      <c r="P62" s="7">
        <f t="shared" si="17"/>
        <v>-7995.5324699999992</v>
      </c>
      <c r="Q62" s="7">
        <f t="shared" si="17"/>
        <v>-7995.5324699999992</v>
      </c>
      <c r="R62" s="7">
        <f t="shared" si="17"/>
        <v>-7995.5324699999992</v>
      </c>
      <c r="S62" s="7">
        <f t="shared" si="17"/>
        <v>-7995.5324699999992</v>
      </c>
      <c r="T62" s="7">
        <f t="shared" si="17"/>
        <v>-7995.5324699999992</v>
      </c>
      <c r="U62" s="7">
        <f t="shared" si="17"/>
        <v>-7995.5324699999992</v>
      </c>
      <c r="V62" s="5"/>
    </row>
    <row r="63" spans="1:22" s="4" customFormat="1" x14ac:dyDescent="0.25">
      <c r="A63" s="275"/>
      <c r="B63" s="275" t="s">
        <v>431</v>
      </c>
      <c r="C63" s="275">
        <v>1080</v>
      </c>
      <c r="D63" s="275" t="s">
        <v>479</v>
      </c>
      <c r="E63" s="7">
        <f t="shared" si="17"/>
        <v>0</v>
      </c>
      <c r="F63" s="7">
        <f t="shared" si="17"/>
        <v>-41.422109999999982</v>
      </c>
      <c r="G63" s="7">
        <f t="shared" si="17"/>
        <v>-41.422109999999982</v>
      </c>
      <c r="H63" s="7">
        <f t="shared" si="17"/>
        <v>-41.422109999999982</v>
      </c>
      <c r="I63" s="7">
        <f t="shared" si="17"/>
        <v>-41.422109999999982</v>
      </c>
      <c r="J63" s="7">
        <f t="shared" si="17"/>
        <v>-41.422109999999982</v>
      </c>
      <c r="K63" s="7">
        <f t="shared" si="17"/>
        <v>-41.422109999999982</v>
      </c>
      <c r="L63" s="275"/>
      <c r="M63" s="275" t="s">
        <v>431</v>
      </c>
      <c r="N63" s="275">
        <v>1080</v>
      </c>
      <c r="O63" s="275" t="s">
        <v>479</v>
      </c>
      <c r="P63" s="7">
        <f t="shared" si="17"/>
        <v>-41.422109999999982</v>
      </c>
      <c r="Q63" s="7">
        <f t="shared" si="17"/>
        <v>-41.422109999999982</v>
      </c>
      <c r="R63" s="7">
        <f t="shared" si="17"/>
        <v>-41.422109999999982</v>
      </c>
      <c r="S63" s="7">
        <f t="shared" si="17"/>
        <v>-41.422109999999982</v>
      </c>
      <c r="T63" s="7">
        <f t="shared" si="17"/>
        <v>-41.422109999999982</v>
      </c>
      <c r="U63" s="7">
        <f t="shared" si="17"/>
        <v>-41.422109999999982</v>
      </c>
      <c r="V63" s="5"/>
    </row>
    <row r="64" spans="1:22" s="4" customFormat="1" x14ac:dyDescent="0.25">
      <c r="A64" s="275"/>
      <c r="B64" s="275" t="s">
        <v>429</v>
      </c>
      <c r="C64" s="275">
        <v>1080</v>
      </c>
      <c r="D64" s="275" t="s">
        <v>430</v>
      </c>
      <c r="E64" s="7">
        <f t="shared" si="17"/>
        <v>0</v>
      </c>
      <c r="F64" s="7">
        <f t="shared" si="17"/>
        <v>986.3667375</v>
      </c>
      <c r="G64" s="7">
        <f t="shared" si="17"/>
        <v>986.3667375</v>
      </c>
      <c r="H64" s="7">
        <f t="shared" si="17"/>
        <v>986.3667375</v>
      </c>
      <c r="I64" s="7">
        <f t="shared" si="17"/>
        <v>986.3667375</v>
      </c>
      <c r="J64" s="7">
        <f t="shared" si="17"/>
        <v>986.3667375</v>
      </c>
      <c r="K64" s="7">
        <f t="shared" si="17"/>
        <v>986.3667375</v>
      </c>
      <c r="L64" s="275"/>
      <c r="M64" s="275" t="s">
        <v>429</v>
      </c>
      <c r="N64" s="275">
        <v>1080</v>
      </c>
      <c r="O64" s="275" t="s">
        <v>430</v>
      </c>
      <c r="P64" s="7">
        <f t="shared" si="17"/>
        <v>986.3667375</v>
      </c>
      <c r="Q64" s="7">
        <f t="shared" si="17"/>
        <v>986.3667375</v>
      </c>
      <c r="R64" s="7">
        <f t="shared" si="17"/>
        <v>986.3667375</v>
      </c>
      <c r="S64" s="7">
        <f t="shared" si="17"/>
        <v>986.3667375</v>
      </c>
      <c r="T64" s="7">
        <f t="shared" si="17"/>
        <v>986.3667375</v>
      </c>
      <c r="U64" s="7">
        <f t="shared" si="17"/>
        <v>986.3667375</v>
      </c>
      <c r="V64" s="5"/>
    </row>
    <row r="65" spans="1:22" s="4" customFormat="1" x14ac:dyDescent="0.25">
      <c r="A65" s="275"/>
      <c r="B65" s="275" t="s">
        <v>469</v>
      </c>
      <c r="C65" s="275">
        <v>1080</v>
      </c>
      <c r="D65" s="330" t="s">
        <v>470</v>
      </c>
      <c r="E65" s="7">
        <f t="shared" si="17"/>
        <v>0</v>
      </c>
      <c r="F65" s="7">
        <f t="shared" si="17"/>
        <v>-1875.0097449999996</v>
      </c>
      <c r="G65" s="7">
        <f t="shared" si="17"/>
        <v>-1875.0097449999996</v>
      </c>
      <c r="H65" s="7">
        <f t="shared" si="17"/>
        <v>-1875.0097449999996</v>
      </c>
      <c r="I65" s="7">
        <f t="shared" si="17"/>
        <v>-1875.0097449999996</v>
      </c>
      <c r="J65" s="7">
        <f t="shared" si="17"/>
        <v>-1875.0097449999996</v>
      </c>
      <c r="K65" s="7">
        <f t="shared" si="17"/>
        <v>-1875.0097449999996</v>
      </c>
      <c r="L65" s="275"/>
      <c r="M65" s="275" t="s">
        <v>469</v>
      </c>
      <c r="N65" s="275">
        <v>1080</v>
      </c>
      <c r="O65" s="330" t="s">
        <v>470</v>
      </c>
      <c r="P65" s="7">
        <f t="shared" si="17"/>
        <v>-1875.0097449999996</v>
      </c>
      <c r="Q65" s="7">
        <f t="shared" si="17"/>
        <v>-1875.0097449999996</v>
      </c>
      <c r="R65" s="7">
        <f t="shared" si="17"/>
        <v>-1875.0097449999996</v>
      </c>
      <c r="S65" s="7">
        <f t="shared" si="17"/>
        <v>-1875.0097449999996</v>
      </c>
      <c r="T65" s="7">
        <f t="shared" si="17"/>
        <v>-1875.0097449999996</v>
      </c>
      <c r="U65" s="7">
        <f t="shared" si="17"/>
        <v>-1875.0097449999996</v>
      </c>
      <c r="V65" s="5"/>
    </row>
    <row r="66" spans="1:22" x14ac:dyDescent="0.25">
      <c r="A66" s="4"/>
      <c r="B66" s="4"/>
      <c r="C66" s="4"/>
      <c r="D66" s="4"/>
      <c r="E66" s="280">
        <f>SUM(E55:E65)</f>
        <v>0</v>
      </c>
      <c r="F66" s="280">
        <f t="shared" ref="F66:U66" si="18">SUM(F55:F65)</f>
        <v>-58056.639349999998</v>
      </c>
      <c r="G66" s="280">
        <f t="shared" si="18"/>
        <v>-58056.639349999998</v>
      </c>
      <c r="H66" s="280">
        <f t="shared" si="18"/>
        <v>-58056.639349999998</v>
      </c>
      <c r="I66" s="280">
        <f t="shared" si="18"/>
        <v>-58056.639349999998</v>
      </c>
      <c r="J66" s="280">
        <f t="shared" si="18"/>
        <v>-58056.639349999998</v>
      </c>
      <c r="K66" s="280">
        <f t="shared" si="18"/>
        <v>-58056.639349999998</v>
      </c>
      <c r="P66" s="280">
        <f t="shared" si="18"/>
        <v>-58056.639349999998</v>
      </c>
      <c r="Q66" s="280">
        <f t="shared" si="18"/>
        <v>-58056.639349999998</v>
      </c>
      <c r="R66" s="280">
        <f t="shared" si="18"/>
        <v>-58056.639349999998</v>
      </c>
      <c r="S66" s="280">
        <f t="shared" si="18"/>
        <v>-58056.639349999998</v>
      </c>
      <c r="T66" s="280">
        <f t="shared" si="18"/>
        <v>-58056.639349999998</v>
      </c>
      <c r="U66" s="280">
        <f t="shared" si="18"/>
        <v>-58056.639349999998</v>
      </c>
      <c r="V66" s="6"/>
    </row>
    <row r="67" spans="1:22" s="4" customFormat="1" x14ac:dyDescent="0.25">
      <c r="A67" s="443" t="s">
        <v>512</v>
      </c>
      <c r="B67" s="443"/>
      <c r="E67" s="6"/>
      <c r="F67" s="6"/>
      <c r="G67" s="6"/>
      <c r="H67" s="6"/>
      <c r="I67" s="6"/>
      <c r="J67" s="6"/>
      <c r="K67" s="6"/>
      <c r="L67" s="443" t="s">
        <v>511</v>
      </c>
      <c r="M67" s="443"/>
      <c r="P67" s="6"/>
      <c r="Q67" s="6"/>
      <c r="R67" s="6"/>
      <c r="S67" s="6"/>
      <c r="T67" s="6"/>
      <c r="U67" s="6"/>
      <c r="V67" s="6"/>
    </row>
    <row r="68" spans="1:22" s="4" customFormat="1" x14ac:dyDescent="0.25">
      <c r="B68" s="275" t="s">
        <v>319</v>
      </c>
      <c r="C68" s="275">
        <v>1080</v>
      </c>
      <c r="D68" s="275" t="s">
        <v>320</v>
      </c>
      <c r="E68" s="290">
        <v>25533</v>
      </c>
      <c r="F68" s="6"/>
      <c r="G68" s="6"/>
      <c r="H68" s="6"/>
      <c r="I68" s="6"/>
      <c r="J68" s="6"/>
      <c r="K68" s="6"/>
      <c r="M68" s="275" t="s">
        <v>319</v>
      </c>
      <c r="N68" s="275">
        <v>1080</v>
      </c>
      <c r="O68" s="275" t="s">
        <v>320</v>
      </c>
      <c r="P68" s="6"/>
      <c r="Q68" s="6"/>
      <c r="R68" s="6"/>
      <c r="S68" s="6"/>
      <c r="T68" s="6"/>
      <c r="U68" s="6"/>
      <c r="V68" s="6"/>
    </row>
    <row r="69" spans="1:22" s="4" customFormat="1" x14ac:dyDescent="0.25">
      <c r="B69" s="275" t="s">
        <v>322</v>
      </c>
      <c r="C69" s="275">
        <v>1080</v>
      </c>
      <c r="D69" s="275" t="s">
        <v>323</v>
      </c>
      <c r="E69" s="290"/>
      <c r="F69" s="6"/>
      <c r="G69" s="6"/>
      <c r="H69" s="6"/>
      <c r="I69" s="6"/>
      <c r="J69" s="6"/>
      <c r="K69" s="6"/>
      <c r="M69" s="275" t="s">
        <v>322</v>
      </c>
      <c r="N69" s="275">
        <v>1080</v>
      </c>
      <c r="O69" s="275" t="s">
        <v>323</v>
      </c>
      <c r="P69" s="6"/>
      <c r="Q69" s="6"/>
      <c r="R69" s="6"/>
      <c r="S69" s="6"/>
      <c r="T69" s="6"/>
      <c r="U69" s="6"/>
      <c r="V69" s="6"/>
    </row>
    <row r="70" spans="1:22" s="4" customFormat="1" x14ac:dyDescent="0.25">
      <c r="B70" s="275" t="s">
        <v>325</v>
      </c>
      <c r="C70" s="275">
        <v>1080</v>
      </c>
      <c r="D70" s="275" t="s">
        <v>326</v>
      </c>
      <c r="E70" s="290">
        <v>57013</v>
      </c>
      <c r="F70" s="6"/>
      <c r="G70" s="6"/>
      <c r="H70" s="6"/>
      <c r="I70" s="6"/>
      <c r="J70" s="6"/>
      <c r="K70" s="6"/>
      <c r="M70" s="275" t="s">
        <v>325</v>
      </c>
      <c r="N70" s="275">
        <v>1080</v>
      </c>
      <c r="O70" s="275" t="s">
        <v>326</v>
      </c>
      <c r="P70" s="6"/>
      <c r="Q70" s="6"/>
      <c r="R70" s="6"/>
      <c r="S70" s="6"/>
      <c r="T70" s="6"/>
      <c r="U70" s="6"/>
      <c r="V70" s="6"/>
    </row>
    <row r="71" spans="1:22" s="4" customFormat="1" x14ac:dyDescent="0.25">
      <c r="B71" s="275" t="s">
        <v>328</v>
      </c>
      <c r="C71" s="275">
        <v>1080</v>
      </c>
      <c r="D71" s="275" t="s">
        <v>329</v>
      </c>
      <c r="E71" s="290">
        <v>113959</v>
      </c>
      <c r="F71" s="6"/>
      <c r="G71" s="6"/>
      <c r="H71" s="6"/>
      <c r="I71" s="6"/>
      <c r="J71" s="6"/>
      <c r="K71" s="6"/>
      <c r="M71" s="275" t="s">
        <v>328</v>
      </c>
      <c r="N71" s="275">
        <v>1080</v>
      </c>
      <c r="O71" s="275" t="s">
        <v>329</v>
      </c>
      <c r="P71" s="6"/>
      <c r="Q71" s="6"/>
      <c r="R71" s="6"/>
      <c r="S71" s="6"/>
      <c r="T71" s="6"/>
      <c r="U71" s="6"/>
      <c r="V71" s="6"/>
    </row>
    <row r="72" spans="1:22" s="4" customFormat="1" x14ac:dyDescent="0.25">
      <c r="B72" s="275" t="s">
        <v>331</v>
      </c>
      <c r="C72" s="275">
        <v>1080</v>
      </c>
      <c r="D72" s="275" t="s">
        <v>332</v>
      </c>
      <c r="E72" s="290"/>
      <c r="F72" s="6"/>
      <c r="G72" s="6"/>
      <c r="H72" s="6"/>
      <c r="I72" s="6"/>
      <c r="J72" s="6"/>
      <c r="K72" s="6"/>
      <c r="M72" s="275" t="s">
        <v>331</v>
      </c>
      <c r="N72" s="275">
        <v>1080</v>
      </c>
      <c r="O72" s="275" t="s">
        <v>332</v>
      </c>
      <c r="P72" s="6"/>
      <c r="Q72" s="6"/>
      <c r="R72" s="6"/>
      <c r="S72" s="6"/>
      <c r="T72" s="6"/>
      <c r="U72" s="6"/>
      <c r="V72" s="6"/>
    </row>
    <row r="73" spans="1:22" s="4" customFormat="1" x14ac:dyDescent="0.25">
      <c r="B73" s="275" t="s">
        <v>334</v>
      </c>
      <c r="C73" s="275">
        <v>1080</v>
      </c>
      <c r="D73" s="275" t="s">
        <v>335</v>
      </c>
      <c r="E73" s="290">
        <v>152856</v>
      </c>
      <c r="F73" s="6"/>
      <c r="G73" s="6"/>
      <c r="H73" s="6"/>
      <c r="I73" s="6"/>
      <c r="J73" s="6"/>
      <c r="K73" s="6"/>
      <c r="M73" s="275" t="s">
        <v>334</v>
      </c>
      <c r="N73" s="275">
        <v>1080</v>
      </c>
      <c r="O73" s="275" t="s">
        <v>335</v>
      </c>
      <c r="P73" s="6"/>
      <c r="Q73" s="6"/>
      <c r="R73" s="6"/>
      <c r="S73" s="6"/>
      <c r="T73" s="6"/>
      <c r="U73" s="6"/>
      <c r="V73" s="6"/>
    </row>
    <row r="74" spans="1:22" s="4" customFormat="1" x14ac:dyDescent="0.25">
      <c r="B74" s="275" t="s">
        <v>337</v>
      </c>
      <c r="C74" s="275">
        <v>1080</v>
      </c>
      <c r="D74" s="275" t="s">
        <v>338</v>
      </c>
      <c r="E74" s="290"/>
      <c r="F74" s="6"/>
      <c r="G74" s="6"/>
      <c r="H74" s="6"/>
      <c r="I74" s="6"/>
      <c r="J74" s="6"/>
      <c r="K74" s="6"/>
      <c r="M74" s="275" t="s">
        <v>337</v>
      </c>
      <c r="N74" s="275">
        <v>1080</v>
      </c>
      <c r="O74" s="275" t="s">
        <v>338</v>
      </c>
      <c r="P74" s="6"/>
      <c r="Q74" s="6"/>
      <c r="R74" s="6"/>
      <c r="S74" s="6"/>
      <c r="T74" s="6"/>
      <c r="U74" s="6"/>
      <c r="V74" s="6"/>
    </row>
    <row r="75" spans="1:22" s="4" customFormat="1" x14ac:dyDescent="0.25">
      <c r="B75" s="275" t="s">
        <v>340</v>
      </c>
      <c r="C75" s="275">
        <v>1080</v>
      </c>
      <c r="D75" s="275" t="s">
        <v>341</v>
      </c>
      <c r="E75" s="290">
        <v>10592</v>
      </c>
      <c r="F75" s="6"/>
      <c r="G75" s="6"/>
      <c r="H75" s="6"/>
      <c r="I75" s="6"/>
      <c r="J75" s="6"/>
      <c r="K75" s="6"/>
      <c r="M75" s="275" t="s">
        <v>340</v>
      </c>
      <c r="N75" s="275">
        <v>1080</v>
      </c>
      <c r="O75" s="275" t="s">
        <v>341</v>
      </c>
      <c r="P75" s="6"/>
      <c r="Q75" s="6"/>
      <c r="R75" s="6"/>
      <c r="S75" s="6"/>
      <c r="T75" s="6"/>
      <c r="U75" s="6"/>
      <c r="V75" s="6"/>
    </row>
    <row r="76" spans="1:22" s="4" customFormat="1" x14ac:dyDescent="0.25">
      <c r="B76" s="275" t="s">
        <v>431</v>
      </c>
      <c r="C76" s="275">
        <v>1080</v>
      </c>
      <c r="D76" s="275" t="s">
        <v>479</v>
      </c>
      <c r="E76" s="290"/>
      <c r="F76" s="6"/>
      <c r="G76" s="6"/>
      <c r="H76" s="6"/>
      <c r="I76" s="6"/>
      <c r="J76" s="6"/>
      <c r="K76" s="6"/>
      <c r="M76" s="275" t="s">
        <v>431</v>
      </c>
      <c r="N76" s="275">
        <v>1080</v>
      </c>
      <c r="O76" s="275" t="s">
        <v>479</v>
      </c>
      <c r="P76" s="6"/>
      <c r="Q76" s="6"/>
      <c r="R76" s="6"/>
      <c r="S76" s="6"/>
      <c r="T76" s="6"/>
      <c r="U76" s="6"/>
      <c r="V76" s="6"/>
    </row>
    <row r="77" spans="1:22" s="4" customFormat="1" x14ac:dyDescent="0.25">
      <c r="B77" s="275" t="s">
        <v>429</v>
      </c>
      <c r="C77" s="275">
        <v>1080</v>
      </c>
      <c r="D77" s="275" t="s">
        <v>430</v>
      </c>
      <c r="E77" s="290">
        <v>205048</v>
      </c>
      <c r="F77" s="6"/>
      <c r="G77" s="6"/>
      <c r="H77" s="6"/>
      <c r="I77" s="6"/>
      <c r="J77" s="6"/>
      <c r="K77" s="6"/>
      <c r="M77" s="275" t="s">
        <v>429</v>
      </c>
      <c r="N77" s="275">
        <v>1080</v>
      </c>
      <c r="O77" s="275" t="s">
        <v>430</v>
      </c>
      <c r="P77" s="6"/>
      <c r="Q77" s="6"/>
      <c r="R77" s="6"/>
      <c r="S77" s="6"/>
      <c r="T77" s="6"/>
      <c r="U77" s="6"/>
      <c r="V77" s="6"/>
    </row>
    <row r="78" spans="1:22" s="4" customFormat="1" x14ac:dyDescent="0.25">
      <c r="B78" s="275" t="s">
        <v>469</v>
      </c>
      <c r="C78" s="275">
        <v>1080</v>
      </c>
      <c r="D78" s="330" t="s">
        <v>470</v>
      </c>
      <c r="E78" s="290">
        <v>7915</v>
      </c>
      <c r="F78" s="6"/>
      <c r="G78" s="6"/>
      <c r="H78" s="6"/>
      <c r="I78" s="6"/>
      <c r="J78" s="6"/>
      <c r="K78" s="6"/>
      <c r="M78" s="275" t="s">
        <v>469</v>
      </c>
      <c r="N78" s="275">
        <v>1080</v>
      </c>
      <c r="O78" s="330" t="s">
        <v>470</v>
      </c>
      <c r="P78" s="6"/>
      <c r="Q78" s="6"/>
      <c r="R78" s="6"/>
      <c r="S78" s="6"/>
      <c r="T78" s="6"/>
      <c r="U78" s="6"/>
      <c r="V78" s="6"/>
    </row>
    <row r="79" spans="1:22" s="4" customFormat="1" x14ac:dyDescent="0.25">
      <c r="E79" s="280">
        <f>SUM(E68:E78)</f>
        <v>572916</v>
      </c>
      <c r="F79" s="280">
        <f t="shared" ref="F79:U79" si="19">SUM(F68:F78)</f>
        <v>0</v>
      </c>
      <c r="G79" s="280">
        <f t="shared" si="19"/>
        <v>0</v>
      </c>
      <c r="H79" s="280">
        <f t="shared" si="19"/>
        <v>0</v>
      </c>
      <c r="I79" s="280">
        <f t="shared" si="19"/>
        <v>0</v>
      </c>
      <c r="J79" s="280">
        <f t="shared" si="19"/>
        <v>0</v>
      </c>
      <c r="K79" s="280">
        <f t="shared" si="19"/>
        <v>0</v>
      </c>
      <c r="P79" s="280">
        <f t="shared" si="19"/>
        <v>0</v>
      </c>
      <c r="Q79" s="280">
        <f t="shared" si="19"/>
        <v>0</v>
      </c>
      <c r="R79" s="280">
        <f t="shared" si="19"/>
        <v>0</v>
      </c>
      <c r="S79" s="280">
        <f t="shared" si="19"/>
        <v>0</v>
      </c>
      <c r="T79" s="280">
        <f t="shared" si="19"/>
        <v>0</v>
      </c>
      <c r="U79" s="280">
        <f t="shared" si="19"/>
        <v>0</v>
      </c>
      <c r="V79" s="6"/>
    </row>
    <row r="80" spans="1:22" s="4" customFormat="1" x14ac:dyDescent="0.25">
      <c r="E80" s="6"/>
      <c r="F80" s="6"/>
      <c r="G80" s="6"/>
      <c r="H80" s="6"/>
      <c r="I80" s="6"/>
      <c r="J80" s="6"/>
      <c r="K80" s="6"/>
      <c r="P80" s="6"/>
      <c r="Q80" s="6"/>
      <c r="R80" s="6"/>
      <c r="S80" s="6"/>
      <c r="T80" s="6"/>
      <c r="U80" s="6"/>
      <c r="V80" s="6"/>
    </row>
    <row r="81" spans="1:22" x14ac:dyDescent="0.25">
      <c r="A81" s="2" t="s">
        <v>434</v>
      </c>
      <c r="B81" s="281"/>
      <c r="C81" s="281"/>
      <c r="D81" s="281"/>
      <c r="E81" s="320"/>
      <c r="F81" s="320"/>
      <c r="G81" s="320"/>
      <c r="H81" s="320"/>
      <c r="I81" s="320"/>
      <c r="J81" s="320"/>
      <c r="K81" s="320"/>
      <c r="L81" s="2" t="s">
        <v>434</v>
      </c>
      <c r="M81" s="281"/>
      <c r="N81" s="281"/>
      <c r="O81" s="281"/>
      <c r="P81" s="320"/>
      <c r="Q81" s="320"/>
      <c r="R81" s="320"/>
      <c r="S81" s="320"/>
      <c r="T81" s="320"/>
      <c r="U81" s="320"/>
      <c r="V81" s="320"/>
    </row>
    <row r="82" spans="1:22" s="4" customFormat="1" x14ac:dyDescent="0.25">
      <c r="A82" s="2"/>
      <c r="B82" s="1" t="s">
        <v>319</v>
      </c>
      <c r="C82" s="1">
        <v>1080</v>
      </c>
      <c r="D82" s="1" t="s">
        <v>320</v>
      </c>
      <c r="E82" s="320">
        <f>E55+E68</f>
        <v>25533</v>
      </c>
      <c r="F82" s="320">
        <f t="shared" ref="F82:K82" si="20">E82+F55+F68</f>
        <v>23346.863016666666</v>
      </c>
      <c r="G82" s="320">
        <f t="shared" si="20"/>
        <v>21160.726033333332</v>
      </c>
      <c r="H82" s="320">
        <f t="shared" si="20"/>
        <v>18974.589049999999</v>
      </c>
      <c r="I82" s="320">
        <f t="shared" si="20"/>
        <v>16788.452066666665</v>
      </c>
      <c r="J82" s="320">
        <f t="shared" si="20"/>
        <v>14602.315083333331</v>
      </c>
      <c r="K82" s="320">
        <f t="shared" si="20"/>
        <v>12416.178099999997</v>
      </c>
      <c r="L82" s="2"/>
      <c r="M82" s="1" t="s">
        <v>319</v>
      </c>
      <c r="N82" s="1">
        <v>1080</v>
      </c>
      <c r="O82" s="1" t="s">
        <v>320</v>
      </c>
      <c r="P82" s="320">
        <f>K82+P55+P68</f>
        <v>10230.041116666664</v>
      </c>
      <c r="Q82" s="320">
        <f>P82+Q55+Q68</f>
        <v>8043.9041333333298</v>
      </c>
      <c r="R82" s="320">
        <f>Q82+R55+R68</f>
        <v>5857.767149999996</v>
      </c>
      <c r="S82" s="320">
        <f>R82+S55+S68</f>
        <v>3671.6301666666627</v>
      </c>
      <c r="T82" s="320">
        <f>S82+T55+T68</f>
        <v>1485.4931833333294</v>
      </c>
      <c r="U82" s="320">
        <f>T82+U55+U68</f>
        <v>-700.64380000000392</v>
      </c>
      <c r="V82" s="322">
        <f t="shared" ref="V82:V92" si="21">(SUM(E82:K82)+SUM(P82:U82))/13</f>
        <v>12416.178099999999</v>
      </c>
    </row>
    <row r="83" spans="1:22" s="4" customFormat="1" x14ac:dyDescent="0.25">
      <c r="A83" s="2"/>
      <c r="B83" s="1" t="s">
        <v>322</v>
      </c>
      <c r="C83" s="1">
        <v>1080</v>
      </c>
      <c r="D83" s="1" t="s">
        <v>323</v>
      </c>
      <c r="E83" s="320">
        <f t="shared" ref="E83:E92" si="22">E56+E69</f>
        <v>0</v>
      </c>
      <c r="F83" s="320">
        <f t="shared" ref="F83:K92" si="23">E83+F56+F69</f>
        <v>-23.770240000000001</v>
      </c>
      <c r="G83" s="320">
        <f t="shared" si="23"/>
        <v>-47.540480000000002</v>
      </c>
      <c r="H83" s="320">
        <f t="shared" si="23"/>
        <v>-71.310720000000003</v>
      </c>
      <c r="I83" s="320">
        <f t="shared" si="23"/>
        <v>-95.080960000000005</v>
      </c>
      <c r="J83" s="320">
        <f t="shared" si="23"/>
        <v>-118.85120000000001</v>
      </c>
      <c r="K83" s="320">
        <f t="shared" si="23"/>
        <v>-142.62144000000001</v>
      </c>
      <c r="L83" s="2"/>
      <c r="M83" s="1" t="s">
        <v>322</v>
      </c>
      <c r="N83" s="1">
        <v>1080</v>
      </c>
      <c r="O83" s="1" t="s">
        <v>323</v>
      </c>
      <c r="P83" s="320">
        <f t="shared" ref="P83:P92" si="24">K83+P56+P69</f>
        <v>-166.39168000000001</v>
      </c>
      <c r="Q83" s="320">
        <f t="shared" ref="Q83:U92" si="25">P83+Q56+Q69</f>
        <v>-190.16192000000001</v>
      </c>
      <c r="R83" s="320">
        <f t="shared" si="25"/>
        <v>-213.93216000000001</v>
      </c>
      <c r="S83" s="320">
        <f t="shared" si="25"/>
        <v>-237.70240000000001</v>
      </c>
      <c r="T83" s="320">
        <f t="shared" si="25"/>
        <v>-261.47264000000001</v>
      </c>
      <c r="U83" s="320">
        <f t="shared" si="25"/>
        <v>-285.24288000000001</v>
      </c>
      <c r="V83" s="322">
        <f t="shared" si="21"/>
        <v>-142.62144000000001</v>
      </c>
    </row>
    <row r="84" spans="1:22" s="4" customFormat="1" x14ac:dyDescent="0.25">
      <c r="A84" s="2"/>
      <c r="B84" s="1" t="s">
        <v>325</v>
      </c>
      <c r="C84" s="1">
        <v>1080</v>
      </c>
      <c r="D84" s="1" t="s">
        <v>326</v>
      </c>
      <c r="E84" s="320">
        <f t="shared" si="22"/>
        <v>57013</v>
      </c>
      <c r="F84" s="320">
        <f t="shared" si="23"/>
        <v>32043.790247500005</v>
      </c>
      <c r="G84" s="320">
        <f t="shared" si="23"/>
        <v>7074.5804950000093</v>
      </c>
      <c r="H84" s="320">
        <f t="shared" si="23"/>
        <v>-17894.629257499986</v>
      </c>
      <c r="I84" s="320">
        <f t="shared" si="23"/>
        <v>-42863.839009999981</v>
      </c>
      <c r="J84" s="320">
        <f t="shared" si="23"/>
        <v>-67833.048762499981</v>
      </c>
      <c r="K84" s="320">
        <f t="shared" si="23"/>
        <v>-92802.25851499998</v>
      </c>
      <c r="L84" s="2"/>
      <c r="M84" s="1" t="s">
        <v>325</v>
      </c>
      <c r="N84" s="1">
        <v>1080</v>
      </c>
      <c r="O84" s="1" t="s">
        <v>326</v>
      </c>
      <c r="P84" s="320">
        <f t="shared" si="24"/>
        <v>-117771.46826749998</v>
      </c>
      <c r="Q84" s="320">
        <f t="shared" si="25"/>
        <v>-142740.67801999996</v>
      </c>
      <c r="R84" s="320">
        <f t="shared" si="25"/>
        <v>-167709.88777249996</v>
      </c>
      <c r="S84" s="320">
        <f t="shared" si="25"/>
        <v>-192679.09752499996</v>
      </c>
      <c r="T84" s="320">
        <f t="shared" si="25"/>
        <v>-217648.30727749996</v>
      </c>
      <c r="U84" s="320">
        <f t="shared" si="25"/>
        <v>-242617.51702999996</v>
      </c>
      <c r="V84" s="322">
        <f t="shared" si="21"/>
        <v>-92802.25851499998</v>
      </c>
    </row>
    <row r="85" spans="1:22" s="4" customFormat="1" x14ac:dyDescent="0.25">
      <c r="A85" s="2"/>
      <c r="B85" s="1" t="s">
        <v>328</v>
      </c>
      <c r="C85" s="1">
        <v>1080</v>
      </c>
      <c r="D85" s="1" t="s">
        <v>329</v>
      </c>
      <c r="E85" s="320">
        <f t="shared" si="22"/>
        <v>113959</v>
      </c>
      <c r="F85" s="320">
        <f t="shared" si="23"/>
        <v>101539.83768</v>
      </c>
      <c r="G85" s="320">
        <f t="shared" si="23"/>
        <v>89120.675359999994</v>
      </c>
      <c r="H85" s="320">
        <f t="shared" si="23"/>
        <v>76701.513039999991</v>
      </c>
      <c r="I85" s="320">
        <f t="shared" si="23"/>
        <v>64282.350719999988</v>
      </c>
      <c r="J85" s="320">
        <f t="shared" si="23"/>
        <v>51863.188399999985</v>
      </c>
      <c r="K85" s="320">
        <f t="shared" si="23"/>
        <v>39444.026079999981</v>
      </c>
      <c r="L85" s="2"/>
      <c r="M85" s="1" t="s">
        <v>328</v>
      </c>
      <c r="N85" s="1">
        <v>1080</v>
      </c>
      <c r="O85" s="1" t="s">
        <v>329</v>
      </c>
      <c r="P85" s="320">
        <f t="shared" si="24"/>
        <v>27024.863759999978</v>
      </c>
      <c r="Q85" s="320">
        <f t="shared" si="25"/>
        <v>14605.701439999977</v>
      </c>
      <c r="R85" s="320">
        <f t="shared" si="25"/>
        <v>2186.5391199999758</v>
      </c>
      <c r="S85" s="320">
        <f t="shared" si="25"/>
        <v>-10232.623200000025</v>
      </c>
      <c r="T85" s="320">
        <f t="shared" si="25"/>
        <v>-22651.785520000027</v>
      </c>
      <c r="U85" s="320">
        <f t="shared" si="25"/>
        <v>-35070.94784000003</v>
      </c>
      <c r="V85" s="322">
        <f t="shared" si="21"/>
        <v>39444.026079999981</v>
      </c>
    </row>
    <row r="86" spans="1:22" s="4" customFormat="1" x14ac:dyDescent="0.25">
      <c r="A86" s="2"/>
      <c r="B86" s="1" t="s">
        <v>331</v>
      </c>
      <c r="C86" s="1">
        <v>1080</v>
      </c>
      <c r="D86" s="1" t="s">
        <v>332</v>
      </c>
      <c r="E86" s="320">
        <f t="shared" si="22"/>
        <v>0</v>
      </c>
      <c r="F86" s="320">
        <f t="shared" si="23"/>
        <v>-692.96999999999991</v>
      </c>
      <c r="G86" s="320">
        <f t="shared" si="23"/>
        <v>-1385.9399999999998</v>
      </c>
      <c r="H86" s="320">
        <f t="shared" si="23"/>
        <v>-2078.91</v>
      </c>
      <c r="I86" s="320">
        <f t="shared" si="23"/>
        <v>-2771.8799999999997</v>
      </c>
      <c r="J86" s="320">
        <f t="shared" si="23"/>
        <v>-3464.8499999999995</v>
      </c>
      <c r="K86" s="320">
        <f t="shared" si="23"/>
        <v>-4157.82</v>
      </c>
      <c r="L86" s="2"/>
      <c r="M86" s="1" t="s">
        <v>331</v>
      </c>
      <c r="N86" s="1">
        <v>1080</v>
      </c>
      <c r="O86" s="1" t="s">
        <v>332</v>
      </c>
      <c r="P86" s="320">
        <f t="shared" si="24"/>
        <v>-4850.79</v>
      </c>
      <c r="Q86" s="320">
        <f t="shared" si="25"/>
        <v>-5543.76</v>
      </c>
      <c r="R86" s="320">
        <f t="shared" si="25"/>
        <v>-6236.7300000000005</v>
      </c>
      <c r="S86" s="320">
        <f t="shared" si="25"/>
        <v>-6929.7000000000007</v>
      </c>
      <c r="T86" s="320">
        <f t="shared" si="25"/>
        <v>-7622.670000000001</v>
      </c>
      <c r="U86" s="320">
        <f t="shared" si="25"/>
        <v>-8315.6400000000012</v>
      </c>
      <c r="V86" s="322">
        <f t="shared" si="21"/>
        <v>-4157.8200000000006</v>
      </c>
    </row>
    <row r="87" spans="1:22" s="4" customFormat="1" x14ac:dyDescent="0.25">
      <c r="A87" s="2"/>
      <c r="B87" s="1" t="s">
        <v>334</v>
      </c>
      <c r="C87" s="1">
        <v>1080</v>
      </c>
      <c r="D87" s="1" t="s">
        <v>335</v>
      </c>
      <c r="E87" s="320">
        <f t="shared" si="22"/>
        <v>152856</v>
      </c>
      <c r="F87" s="320">
        <f t="shared" si="23"/>
        <v>144335.95853333332</v>
      </c>
      <c r="G87" s="320">
        <f t="shared" si="23"/>
        <v>135815.91706666665</v>
      </c>
      <c r="H87" s="320">
        <f t="shared" si="23"/>
        <v>127295.87559999998</v>
      </c>
      <c r="I87" s="320">
        <f t="shared" si="23"/>
        <v>118775.83413333332</v>
      </c>
      <c r="J87" s="320">
        <f t="shared" si="23"/>
        <v>110255.79266666666</v>
      </c>
      <c r="K87" s="320">
        <f t="shared" si="23"/>
        <v>101735.7512</v>
      </c>
      <c r="L87" s="2"/>
      <c r="M87" s="1" t="s">
        <v>334</v>
      </c>
      <c r="N87" s="1">
        <v>1080</v>
      </c>
      <c r="O87" s="1" t="s">
        <v>335</v>
      </c>
      <c r="P87" s="320">
        <f t="shared" si="24"/>
        <v>93215.709733333337</v>
      </c>
      <c r="Q87" s="320">
        <f t="shared" si="25"/>
        <v>84695.668266666675</v>
      </c>
      <c r="R87" s="320">
        <f t="shared" si="25"/>
        <v>76175.626800000013</v>
      </c>
      <c r="S87" s="320">
        <f t="shared" si="25"/>
        <v>67655.585333333351</v>
      </c>
      <c r="T87" s="320">
        <f t="shared" si="25"/>
        <v>59135.543866666681</v>
      </c>
      <c r="U87" s="320">
        <f t="shared" si="25"/>
        <v>50615.502400000012</v>
      </c>
      <c r="V87" s="322">
        <f t="shared" si="21"/>
        <v>101735.7512</v>
      </c>
    </row>
    <row r="88" spans="1:22" s="4" customFormat="1" x14ac:dyDescent="0.25">
      <c r="A88" s="2"/>
      <c r="B88" s="1" t="s">
        <v>337</v>
      </c>
      <c r="C88" s="1">
        <v>1080</v>
      </c>
      <c r="D88" s="1" t="s">
        <v>338</v>
      </c>
      <c r="E88" s="320">
        <f t="shared" si="22"/>
        <v>0</v>
      </c>
      <c r="F88" s="320">
        <f t="shared" si="23"/>
        <v>-319.75100000000003</v>
      </c>
      <c r="G88" s="320">
        <f t="shared" si="23"/>
        <v>-639.50200000000007</v>
      </c>
      <c r="H88" s="320">
        <f t="shared" si="23"/>
        <v>-959.25300000000016</v>
      </c>
      <c r="I88" s="320">
        <f t="shared" si="23"/>
        <v>-1279.0040000000001</v>
      </c>
      <c r="J88" s="320">
        <f t="shared" si="23"/>
        <v>-1598.7550000000001</v>
      </c>
      <c r="K88" s="320">
        <f t="shared" si="23"/>
        <v>-1918.5060000000001</v>
      </c>
      <c r="L88" s="2"/>
      <c r="M88" s="1" t="s">
        <v>337</v>
      </c>
      <c r="N88" s="1">
        <v>1080</v>
      </c>
      <c r="O88" s="1" t="s">
        <v>338</v>
      </c>
      <c r="P88" s="320">
        <f t="shared" si="24"/>
        <v>-2238.2570000000001</v>
      </c>
      <c r="Q88" s="320">
        <f t="shared" si="25"/>
        <v>-2558.0080000000003</v>
      </c>
      <c r="R88" s="320">
        <f t="shared" si="25"/>
        <v>-2877.7590000000005</v>
      </c>
      <c r="S88" s="320">
        <f t="shared" si="25"/>
        <v>-3197.5100000000007</v>
      </c>
      <c r="T88" s="320">
        <f t="shared" si="25"/>
        <v>-3517.2610000000009</v>
      </c>
      <c r="U88" s="320">
        <f t="shared" si="25"/>
        <v>-3837.0120000000011</v>
      </c>
      <c r="V88" s="322">
        <f t="shared" si="21"/>
        <v>-1918.5060000000003</v>
      </c>
    </row>
    <row r="89" spans="1:22" s="4" customFormat="1" x14ac:dyDescent="0.25">
      <c r="A89" s="2"/>
      <c r="B89" s="1" t="s">
        <v>340</v>
      </c>
      <c r="C89" s="1">
        <v>1080</v>
      </c>
      <c r="D89" s="1" t="s">
        <v>341</v>
      </c>
      <c r="E89" s="320">
        <f t="shared" si="22"/>
        <v>10592</v>
      </c>
      <c r="F89" s="320">
        <f t="shared" si="23"/>
        <v>2596.4675300000008</v>
      </c>
      <c r="G89" s="320">
        <f t="shared" si="23"/>
        <v>-5399.0649399999984</v>
      </c>
      <c r="H89" s="320">
        <f t="shared" si="23"/>
        <v>-13394.597409999998</v>
      </c>
      <c r="I89" s="320">
        <f t="shared" si="23"/>
        <v>-21390.129879999997</v>
      </c>
      <c r="J89" s="320">
        <f t="shared" si="23"/>
        <v>-29385.662349999995</v>
      </c>
      <c r="K89" s="320">
        <f t="shared" si="23"/>
        <v>-37381.194819999997</v>
      </c>
      <c r="L89" s="2"/>
      <c r="M89" s="1" t="s">
        <v>340</v>
      </c>
      <c r="N89" s="1">
        <v>1080</v>
      </c>
      <c r="O89" s="1" t="s">
        <v>341</v>
      </c>
      <c r="P89" s="320">
        <f t="shared" si="24"/>
        <v>-45376.727289999995</v>
      </c>
      <c r="Q89" s="320">
        <f t="shared" si="25"/>
        <v>-53372.259759999994</v>
      </c>
      <c r="R89" s="320">
        <f t="shared" si="25"/>
        <v>-61367.792229999992</v>
      </c>
      <c r="S89" s="320">
        <f t="shared" si="25"/>
        <v>-69363.324699999997</v>
      </c>
      <c r="T89" s="320">
        <f t="shared" si="25"/>
        <v>-77358.857170000003</v>
      </c>
      <c r="U89" s="320">
        <f t="shared" si="25"/>
        <v>-85354.389640000009</v>
      </c>
      <c r="V89" s="322">
        <f t="shared" si="21"/>
        <v>-37381.194819999997</v>
      </c>
    </row>
    <row r="90" spans="1:22" s="4" customFormat="1" x14ac:dyDescent="0.25">
      <c r="A90" s="2"/>
      <c r="B90" s="1" t="s">
        <v>431</v>
      </c>
      <c r="C90" s="1">
        <v>1080</v>
      </c>
      <c r="D90" s="1" t="s">
        <v>479</v>
      </c>
      <c r="E90" s="320">
        <f t="shared" si="22"/>
        <v>0</v>
      </c>
      <c r="F90" s="320">
        <f t="shared" si="23"/>
        <v>-41.422109999999982</v>
      </c>
      <c r="G90" s="320">
        <f t="shared" si="23"/>
        <v>-82.844219999999964</v>
      </c>
      <c r="H90" s="320">
        <f t="shared" si="23"/>
        <v>-124.26632999999995</v>
      </c>
      <c r="I90" s="320">
        <f t="shared" si="23"/>
        <v>-165.68843999999993</v>
      </c>
      <c r="J90" s="320">
        <f t="shared" si="23"/>
        <v>-207.1105499999999</v>
      </c>
      <c r="K90" s="320">
        <f t="shared" si="23"/>
        <v>-248.53265999999988</v>
      </c>
      <c r="L90" s="2"/>
      <c r="M90" s="1" t="s">
        <v>431</v>
      </c>
      <c r="N90" s="1">
        <v>1080</v>
      </c>
      <c r="O90" s="1" t="s">
        <v>479</v>
      </c>
      <c r="P90" s="320">
        <f t="shared" si="24"/>
        <v>-289.95476999999988</v>
      </c>
      <c r="Q90" s="320">
        <f t="shared" si="25"/>
        <v>-331.37687999999986</v>
      </c>
      <c r="R90" s="320">
        <f t="shared" si="25"/>
        <v>-372.79898999999983</v>
      </c>
      <c r="S90" s="320">
        <f t="shared" si="25"/>
        <v>-414.22109999999981</v>
      </c>
      <c r="T90" s="320">
        <f t="shared" si="25"/>
        <v>-455.64320999999978</v>
      </c>
      <c r="U90" s="320">
        <f t="shared" si="25"/>
        <v>-497.06531999999976</v>
      </c>
      <c r="V90" s="322">
        <f t="shared" si="21"/>
        <v>-248.53265999999988</v>
      </c>
    </row>
    <row r="91" spans="1:22" s="4" customFormat="1" x14ac:dyDescent="0.25">
      <c r="A91" s="2"/>
      <c r="B91" s="1" t="s">
        <v>429</v>
      </c>
      <c r="C91" s="1">
        <v>1080</v>
      </c>
      <c r="D91" s="1" t="s">
        <v>430</v>
      </c>
      <c r="E91" s="320">
        <f t="shared" si="22"/>
        <v>205048</v>
      </c>
      <c r="F91" s="320">
        <f t="shared" si="23"/>
        <v>206034.36673750001</v>
      </c>
      <c r="G91" s="320">
        <f t="shared" si="23"/>
        <v>207020.73347500002</v>
      </c>
      <c r="H91" s="320">
        <f t="shared" si="23"/>
        <v>208007.10021250002</v>
      </c>
      <c r="I91" s="320">
        <f t="shared" si="23"/>
        <v>208993.46695000003</v>
      </c>
      <c r="J91" s="320">
        <f t="shared" si="23"/>
        <v>209979.83368750004</v>
      </c>
      <c r="K91" s="320">
        <f t="shared" si="23"/>
        <v>210966.20042500005</v>
      </c>
      <c r="L91" s="2"/>
      <c r="M91" s="1" t="s">
        <v>429</v>
      </c>
      <c r="N91" s="1">
        <v>1080</v>
      </c>
      <c r="O91" s="1" t="s">
        <v>430</v>
      </c>
      <c r="P91" s="320">
        <f t="shared" si="24"/>
        <v>211952.56716250005</v>
      </c>
      <c r="Q91" s="320">
        <f t="shared" si="25"/>
        <v>212938.93390000006</v>
      </c>
      <c r="R91" s="320">
        <f t="shared" si="25"/>
        <v>213925.30063750007</v>
      </c>
      <c r="S91" s="320">
        <f t="shared" si="25"/>
        <v>214911.66737500008</v>
      </c>
      <c r="T91" s="320">
        <f t="shared" si="25"/>
        <v>215898.03411250009</v>
      </c>
      <c r="U91" s="320">
        <f t="shared" si="25"/>
        <v>216884.40085000009</v>
      </c>
      <c r="V91" s="322">
        <f t="shared" si="21"/>
        <v>210966.20042500008</v>
      </c>
    </row>
    <row r="92" spans="1:22" s="4" customFormat="1" x14ac:dyDescent="0.25">
      <c r="A92" s="2"/>
      <c r="B92" s="275" t="s">
        <v>469</v>
      </c>
      <c r="C92" s="1">
        <v>1080</v>
      </c>
      <c r="D92" s="1" t="s">
        <v>470</v>
      </c>
      <c r="E92" s="320">
        <f t="shared" si="22"/>
        <v>7915</v>
      </c>
      <c r="F92" s="320">
        <f t="shared" si="23"/>
        <v>6039.9902550000006</v>
      </c>
      <c r="G92" s="320">
        <f t="shared" si="23"/>
        <v>4164.9805100000012</v>
      </c>
      <c r="H92" s="320">
        <f t="shared" si="23"/>
        <v>2289.9707650000018</v>
      </c>
      <c r="I92" s="320">
        <f t="shared" si="23"/>
        <v>414.96102000000224</v>
      </c>
      <c r="J92" s="320">
        <f t="shared" si="23"/>
        <v>-1460.0487249999974</v>
      </c>
      <c r="K92" s="320">
        <f t="shared" si="23"/>
        <v>-3335.0584699999972</v>
      </c>
      <c r="L92" s="2"/>
      <c r="M92" s="275" t="s">
        <v>469</v>
      </c>
      <c r="N92" s="1">
        <v>1080</v>
      </c>
      <c r="O92" s="1" t="s">
        <v>470</v>
      </c>
      <c r="P92" s="320">
        <f t="shared" si="24"/>
        <v>-5210.0682149999966</v>
      </c>
      <c r="Q92" s="320">
        <f t="shared" si="25"/>
        <v>-7085.077959999996</v>
      </c>
      <c r="R92" s="320">
        <f t="shared" si="25"/>
        <v>-8960.0877049999963</v>
      </c>
      <c r="S92" s="320">
        <f t="shared" si="25"/>
        <v>-10835.097449999996</v>
      </c>
      <c r="T92" s="320">
        <f t="shared" si="25"/>
        <v>-12710.107194999995</v>
      </c>
      <c r="U92" s="320">
        <f t="shared" si="25"/>
        <v>-14585.116939999994</v>
      </c>
      <c r="V92" s="322">
        <f t="shared" si="21"/>
        <v>-3335.0584699999968</v>
      </c>
    </row>
    <row r="93" spans="1:22" x14ac:dyDescent="0.25">
      <c r="A93" s="2" t="s">
        <v>355</v>
      </c>
      <c r="B93" s="281"/>
      <c r="C93" s="281"/>
      <c r="D93" s="281"/>
      <c r="E93" s="321">
        <f>SUM(E82:E92)</f>
        <v>572916</v>
      </c>
      <c r="F93" s="321">
        <f t="shared" ref="F93:V93" si="26">SUM(F82:F92)</f>
        <v>514859.36065000005</v>
      </c>
      <c r="G93" s="321">
        <f t="shared" si="26"/>
        <v>456802.72129999998</v>
      </c>
      <c r="H93" s="321">
        <f t="shared" si="26"/>
        <v>398746.08195000002</v>
      </c>
      <c r="I93" s="321">
        <f t="shared" si="26"/>
        <v>340689.44260000001</v>
      </c>
      <c r="J93" s="321">
        <f t="shared" si="26"/>
        <v>282632.80325</v>
      </c>
      <c r="K93" s="321">
        <f t="shared" si="26"/>
        <v>224576.16390000007</v>
      </c>
      <c r="L93" s="2" t="s">
        <v>355</v>
      </c>
      <c r="M93" s="281"/>
      <c r="N93" s="281"/>
      <c r="O93" s="281"/>
      <c r="P93" s="321">
        <f t="shared" si="26"/>
        <v>166519.52455000006</v>
      </c>
      <c r="Q93" s="321">
        <f t="shared" si="26"/>
        <v>108462.88520000008</v>
      </c>
      <c r="R93" s="321">
        <f t="shared" si="26"/>
        <v>50406.245850000079</v>
      </c>
      <c r="S93" s="321">
        <f t="shared" si="26"/>
        <v>-7650.3934999999128</v>
      </c>
      <c r="T93" s="321">
        <f t="shared" si="26"/>
        <v>-65707.03284999996</v>
      </c>
      <c r="U93" s="321">
        <f t="shared" si="26"/>
        <v>-123763.67219999987</v>
      </c>
      <c r="V93" s="321">
        <f t="shared" si="26"/>
        <v>224576.1639000001</v>
      </c>
    </row>
    <row r="94" spans="1:22" ht="15.75" thickBot="1" x14ac:dyDescent="0.3">
      <c r="A94" s="281" t="s">
        <v>356</v>
      </c>
      <c r="B94" s="281"/>
      <c r="C94" s="281"/>
      <c r="D94" s="281"/>
      <c r="E94" s="291">
        <f t="shared" ref="E94:K94" si="27">E46+E93</f>
        <v>19146827.330000002</v>
      </c>
      <c r="F94" s="291">
        <f t="shared" si="27"/>
        <v>19088770.690650001</v>
      </c>
      <c r="G94" s="291">
        <f t="shared" si="27"/>
        <v>19030714.0513</v>
      </c>
      <c r="H94" s="291">
        <f t="shared" si="27"/>
        <v>18972657.411950003</v>
      </c>
      <c r="I94" s="291">
        <f t="shared" si="27"/>
        <v>18914600.772600003</v>
      </c>
      <c r="J94" s="291">
        <f t="shared" si="27"/>
        <v>18856544.133250002</v>
      </c>
      <c r="K94" s="291">
        <f t="shared" si="27"/>
        <v>18798487.493900001</v>
      </c>
      <c r="L94" s="281" t="s">
        <v>356</v>
      </c>
      <c r="M94" s="281"/>
      <c r="N94" s="281"/>
      <c r="O94" s="281"/>
      <c r="P94" s="291">
        <f t="shared" ref="P94:V94" si="28">P46+P93</f>
        <v>18740430.85455</v>
      </c>
      <c r="Q94" s="291">
        <f t="shared" si="28"/>
        <v>18682374.215200003</v>
      </c>
      <c r="R94" s="291">
        <f t="shared" si="28"/>
        <v>18624317.575850002</v>
      </c>
      <c r="S94" s="291">
        <f t="shared" si="28"/>
        <v>18566260.936500002</v>
      </c>
      <c r="T94" s="291">
        <f t="shared" si="28"/>
        <v>18508204.297150001</v>
      </c>
      <c r="U94" s="291">
        <f t="shared" si="28"/>
        <v>18450147.657800004</v>
      </c>
      <c r="V94" s="291">
        <f t="shared" si="28"/>
        <v>18798487.493899997</v>
      </c>
    </row>
    <row r="95" spans="1:22" ht="15.75" thickTop="1" x14ac:dyDescent="0.25">
      <c r="A95" s="282"/>
      <c r="B95" s="4"/>
      <c r="C95" s="4"/>
      <c r="D95" s="4"/>
      <c r="E95" s="8"/>
      <c r="F95" s="8"/>
      <c r="G95" s="8"/>
      <c r="H95" s="8"/>
      <c r="I95" s="8"/>
      <c r="J95" s="8"/>
      <c r="K95" s="8"/>
      <c r="L95" s="282"/>
      <c r="P95" s="8"/>
      <c r="Q95" s="8"/>
      <c r="R95" s="8"/>
      <c r="S95" s="8"/>
      <c r="T95" s="8"/>
      <c r="U95" s="8"/>
      <c r="V95" s="285"/>
    </row>
    <row r="96" spans="1:22" s="4" customFormat="1" ht="16.5" x14ac:dyDescent="0.25">
      <c r="A96" s="246" t="s">
        <v>435</v>
      </c>
      <c r="J96" s="235" t="str">
        <f>J1</f>
        <v xml:space="preserve">Exhibit MDN-1 </v>
      </c>
      <c r="L96" s="246" t="s">
        <v>435</v>
      </c>
      <c r="P96" s="246"/>
      <c r="U96" s="235" t="str">
        <f>U1</f>
        <v xml:space="preserve">Exhibit MDN-1 </v>
      </c>
    </row>
    <row r="97" spans="1:22" s="4" customFormat="1" ht="18" x14ac:dyDescent="0.25">
      <c r="A97" s="236" t="s">
        <v>0</v>
      </c>
      <c r="F97" s="235"/>
      <c r="J97" s="267" t="s">
        <v>298</v>
      </c>
      <c r="K97" s="4" t="str">
        <f>K2</f>
        <v>20190156-EI</v>
      </c>
      <c r="L97" s="236" t="s">
        <v>0</v>
      </c>
      <c r="P97" s="236"/>
      <c r="U97" s="267" t="s">
        <v>298</v>
      </c>
      <c r="V97" s="4" t="str">
        <f>K97</f>
        <v>20190156-EI</v>
      </c>
    </row>
    <row r="98" spans="1:22" s="4" customFormat="1" ht="18" x14ac:dyDescent="0.25">
      <c r="A98" s="236" t="s">
        <v>300</v>
      </c>
      <c r="F98" s="267"/>
      <c r="G98" s="268"/>
      <c r="J98" s="267" t="s">
        <v>486</v>
      </c>
      <c r="L98" s="236" t="s">
        <v>300</v>
      </c>
      <c r="P98" s="236"/>
      <c r="U98" s="267" t="s">
        <v>492</v>
      </c>
    </row>
    <row r="99" spans="1:22" s="4" customFormat="1" ht="16.5" thickBot="1" x14ac:dyDescent="0.3">
      <c r="A99" s="245" t="s">
        <v>482</v>
      </c>
      <c r="B99" s="346"/>
      <c r="C99" s="346"/>
      <c r="D99" s="346"/>
      <c r="E99" s="346"/>
      <c r="F99" s="346"/>
      <c r="G99" s="346"/>
      <c r="H99" s="346"/>
      <c r="I99" s="346"/>
      <c r="J99" s="346"/>
      <c r="K99" s="346"/>
      <c r="L99" s="245" t="s">
        <v>482</v>
      </c>
      <c r="M99" s="346"/>
      <c r="N99" s="346"/>
      <c r="O99" s="346"/>
      <c r="P99" s="245"/>
      <c r="Q99" s="346"/>
      <c r="R99" s="346"/>
      <c r="S99" s="346"/>
      <c r="T99" s="346"/>
      <c r="U99" s="346"/>
      <c r="V99" s="346"/>
    </row>
    <row r="100" spans="1:22" s="4" customFormat="1" x14ac:dyDescent="0.25">
      <c r="A100" s="271"/>
      <c r="B100" s="271" t="s">
        <v>305</v>
      </c>
      <c r="C100" s="271" t="s">
        <v>485</v>
      </c>
      <c r="D100" s="271" t="s">
        <v>485</v>
      </c>
      <c r="E100" s="272" t="s">
        <v>306</v>
      </c>
      <c r="F100" s="272" t="s">
        <v>307</v>
      </c>
      <c r="G100" s="272" t="s">
        <v>308</v>
      </c>
      <c r="H100" s="272" t="s">
        <v>309</v>
      </c>
      <c r="I100" s="272" t="s">
        <v>310</v>
      </c>
      <c r="J100" s="272" t="s">
        <v>2</v>
      </c>
      <c r="K100" s="272" t="s">
        <v>311</v>
      </c>
      <c r="L100" s="271"/>
      <c r="M100" s="271" t="s">
        <v>305</v>
      </c>
      <c r="N100" s="271" t="s">
        <v>485</v>
      </c>
      <c r="O100" s="271" t="s">
        <v>485</v>
      </c>
      <c r="P100" s="272" t="s">
        <v>312</v>
      </c>
      <c r="Q100" s="272" t="s">
        <v>313</v>
      </c>
      <c r="R100" s="272" t="s">
        <v>314</v>
      </c>
      <c r="S100" s="272" t="s">
        <v>315</v>
      </c>
      <c r="T100" s="272" t="s">
        <v>316</v>
      </c>
      <c r="U100" s="272" t="s">
        <v>306</v>
      </c>
      <c r="V100" s="272" t="s">
        <v>491</v>
      </c>
    </row>
    <row r="101" spans="1:22" s="4" customFormat="1" x14ac:dyDescent="0.25">
      <c r="A101" s="271"/>
      <c r="B101" s="271"/>
      <c r="C101" s="271" t="s">
        <v>317</v>
      </c>
      <c r="D101" s="271" t="s">
        <v>317</v>
      </c>
      <c r="E101" s="273">
        <v>2019</v>
      </c>
      <c r="F101" s="273">
        <v>2020</v>
      </c>
      <c r="G101" s="273">
        <v>2020</v>
      </c>
      <c r="H101" s="273">
        <v>2020</v>
      </c>
      <c r="I101" s="273">
        <v>2020</v>
      </c>
      <c r="J101" s="273">
        <v>2020</v>
      </c>
      <c r="K101" s="273">
        <v>2020</v>
      </c>
      <c r="L101" s="271"/>
      <c r="M101" s="271"/>
      <c r="N101" s="271" t="s">
        <v>317</v>
      </c>
      <c r="O101" s="271" t="s">
        <v>317</v>
      </c>
      <c r="P101" s="273">
        <v>2020</v>
      </c>
      <c r="Q101" s="273">
        <v>2020</v>
      </c>
      <c r="R101" s="273">
        <v>2020</v>
      </c>
      <c r="S101" s="273">
        <v>2020</v>
      </c>
      <c r="T101" s="273">
        <v>2020</v>
      </c>
      <c r="U101" s="273">
        <v>2020</v>
      </c>
      <c r="V101" s="271"/>
    </row>
    <row r="102" spans="1:22" x14ac:dyDescent="0.25">
      <c r="A102" s="281" t="s">
        <v>357</v>
      </c>
      <c r="B102" s="4"/>
      <c r="C102" s="271" t="s">
        <v>249</v>
      </c>
      <c r="D102" s="4"/>
      <c r="E102" s="4"/>
      <c r="F102" s="4"/>
      <c r="G102" s="4"/>
      <c r="H102" s="4"/>
      <c r="I102" s="4"/>
      <c r="J102" s="4"/>
      <c r="K102" s="4"/>
      <c r="L102" s="281" t="s">
        <v>357</v>
      </c>
      <c r="N102" s="271" t="s">
        <v>249</v>
      </c>
      <c r="P102" s="4"/>
      <c r="Q102" s="4"/>
      <c r="R102" s="4"/>
      <c r="S102" s="4"/>
      <c r="T102" s="4"/>
      <c r="U102" s="4"/>
      <c r="V102" s="287"/>
    </row>
    <row r="103" spans="1:22" x14ac:dyDescent="0.25">
      <c r="A103" s="275" t="s">
        <v>320</v>
      </c>
      <c r="B103" s="275" t="s">
        <v>319</v>
      </c>
      <c r="C103" s="283">
        <v>3.6999999999999998E-2</v>
      </c>
      <c r="D103" s="4"/>
      <c r="E103" s="5"/>
      <c r="F103" s="7">
        <f t="shared" ref="F103:K113" si="29">((F35+E35)/2)*$C103/12</f>
        <v>2186.1369833333333</v>
      </c>
      <c r="G103" s="7">
        <f t="shared" si="29"/>
        <v>2186.1369833333333</v>
      </c>
      <c r="H103" s="7">
        <f t="shared" si="29"/>
        <v>2186.1369833333333</v>
      </c>
      <c r="I103" s="7">
        <f t="shared" si="29"/>
        <v>2186.1369833333333</v>
      </c>
      <c r="J103" s="7">
        <f t="shared" si="29"/>
        <v>2186.1369833333333</v>
      </c>
      <c r="K103" s="7">
        <f t="shared" si="29"/>
        <v>2186.1369833333333</v>
      </c>
      <c r="L103" s="275" t="s">
        <v>320</v>
      </c>
      <c r="M103" s="275" t="s">
        <v>319</v>
      </c>
      <c r="N103" s="283">
        <v>3.6999999999999998E-2</v>
      </c>
      <c r="P103" s="7">
        <f t="shared" ref="P103:P113" si="30">((P35+K35)/2)*$C103/12</f>
        <v>2186.1369833333333</v>
      </c>
      <c r="Q103" s="7">
        <f t="shared" ref="Q103:U113" si="31">((Q35+P35)/2)*$C103/12</f>
        <v>2186.1369833333333</v>
      </c>
      <c r="R103" s="7">
        <f t="shared" si="31"/>
        <v>2186.1369833333333</v>
      </c>
      <c r="S103" s="7">
        <f t="shared" si="31"/>
        <v>2186.1369833333333</v>
      </c>
      <c r="T103" s="7">
        <f t="shared" si="31"/>
        <v>2186.1369833333333</v>
      </c>
      <c r="U103" s="7">
        <f t="shared" si="31"/>
        <v>2186.1369833333333</v>
      </c>
      <c r="V103" s="7">
        <f>SUM(F103:K103)+SUM(P103:U103)</f>
        <v>26233.643800000002</v>
      </c>
    </row>
    <row r="104" spans="1:22" x14ac:dyDescent="0.25">
      <c r="A104" s="275" t="s">
        <v>323</v>
      </c>
      <c r="B104" s="275" t="s">
        <v>322</v>
      </c>
      <c r="C104" s="283">
        <v>2.4E-2</v>
      </c>
      <c r="D104" s="4"/>
      <c r="E104" s="5"/>
      <c r="F104" s="7">
        <f t="shared" si="29"/>
        <v>23.770240000000001</v>
      </c>
      <c r="G104" s="7">
        <f t="shared" si="29"/>
        <v>23.770240000000001</v>
      </c>
      <c r="H104" s="7">
        <f t="shared" si="29"/>
        <v>23.770240000000001</v>
      </c>
      <c r="I104" s="7">
        <f t="shared" si="29"/>
        <v>23.770240000000001</v>
      </c>
      <c r="J104" s="7">
        <f t="shared" si="29"/>
        <v>23.770240000000001</v>
      </c>
      <c r="K104" s="7">
        <f t="shared" si="29"/>
        <v>23.770240000000001</v>
      </c>
      <c r="L104" s="275" t="s">
        <v>323</v>
      </c>
      <c r="M104" s="275" t="s">
        <v>322</v>
      </c>
      <c r="N104" s="283">
        <v>2.4E-2</v>
      </c>
      <c r="P104" s="7">
        <f t="shared" si="30"/>
        <v>23.770240000000001</v>
      </c>
      <c r="Q104" s="7">
        <f t="shared" si="31"/>
        <v>23.770240000000001</v>
      </c>
      <c r="R104" s="7">
        <f t="shared" si="31"/>
        <v>23.770240000000001</v>
      </c>
      <c r="S104" s="7">
        <f t="shared" si="31"/>
        <v>23.770240000000001</v>
      </c>
      <c r="T104" s="7">
        <f t="shared" si="31"/>
        <v>23.770240000000001</v>
      </c>
      <c r="U104" s="7">
        <f t="shared" si="31"/>
        <v>23.770240000000001</v>
      </c>
      <c r="V104" s="7">
        <f t="shared" ref="V104:V113" si="32">SUM(F104:K104)+SUM(P104:U104)</f>
        <v>285.24288000000001</v>
      </c>
    </row>
    <row r="105" spans="1:22" x14ac:dyDescent="0.25">
      <c r="A105" s="275" t="s">
        <v>326</v>
      </c>
      <c r="B105" s="275" t="s">
        <v>325</v>
      </c>
      <c r="C105" s="283">
        <v>3.9E-2</v>
      </c>
      <c r="D105" s="4"/>
      <c r="E105" s="5"/>
      <c r="F105" s="7">
        <f t="shared" si="29"/>
        <v>24969.209752499995</v>
      </c>
      <c r="G105" s="7">
        <f t="shared" si="29"/>
        <v>24969.209752499995</v>
      </c>
      <c r="H105" s="7">
        <f t="shared" si="29"/>
        <v>24969.209752499995</v>
      </c>
      <c r="I105" s="7">
        <f t="shared" si="29"/>
        <v>24969.209752499995</v>
      </c>
      <c r="J105" s="7">
        <f t="shared" si="29"/>
        <v>24969.209752499995</v>
      </c>
      <c r="K105" s="7">
        <f t="shared" si="29"/>
        <v>24969.209752499995</v>
      </c>
      <c r="L105" s="275" t="s">
        <v>326</v>
      </c>
      <c r="M105" s="275" t="s">
        <v>325</v>
      </c>
      <c r="N105" s="283">
        <v>3.9E-2</v>
      </c>
      <c r="P105" s="7">
        <f t="shared" si="30"/>
        <v>24969.209752499995</v>
      </c>
      <c r="Q105" s="7">
        <f t="shared" si="31"/>
        <v>24969.209752499995</v>
      </c>
      <c r="R105" s="7">
        <f t="shared" si="31"/>
        <v>24969.209752499995</v>
      </c>
      <c r="S105" s="7">
        <f t="shared" si="31"/>
        <v>24969.209752499995</v>
      </c>
      <c r="T105" s="7">
        <f t="shared" si="31"/>
        <v>24969.209752499995</v>
      </c>
      <c r="U105" s="7">
        <f t="shared" si="31"/>
        <v>24969.209752499995</v>
      </c>
      <c r="V105" s="7">
        <f t="shared" si="32"/>
        <v>299630.51702999993</v>
      </c>
    </row>
    <row r="106" spans="1:22" x14ac:dyDescent="0.25">
      <c r="A106" s="275" t="s">
        <v>329</v>
      </c>
      <c r="B106" s="275" t="s">
        <v>328</v>
      </c>
      <c r="C106" s="283">
        <v>3.4000000000000002E-2</v>
      </c>
      <c r="D106" s="4"/>
      <c r="E106" s="5"/>
      <c r="F106" s="7">
        <f t="shared" si="29"/>
        <v>12419.162320000001</v>
      </c>
      <c r="G106" s="7">
        <f t="shared" si="29"/>
        <v>12419.162320000001</v>
      </c>
      <c r="H106" s="7">
        <f t="shared" si="29"/>
        <v>12419.162320000001</v>
      </c>
      <c r="I106" s="7">
        <f t="shared" si="29"/>
        <v>12419.162320000001</v>
      </c>
      <c r="J106" s="7">
        <f t="shared" si="29"/>
        <v>12419.162320000001</v>
      </c>
      <c r="K106" s="7">
        <f t="shared" si="29"/>
        <v>12419.162320000001</v>
      </c>
      <c r="L106" s="275" t="s">
        <v>329</v>
      </c>
      <c r="M106" s="275" t="s">
        <v>328</v>
      </c>
      <c r="N106" s="283">
        <v>3.4000000000000002E-2</v>
      </c>
      <c r="P106" s="7">
        <f t="shared" si="30"/>
        <v>12419.162320000001</v>
      </c>
      <c r="Q106" s="7">
        <f t="shared" si="31"/>
        <v>12419.162320000001</v>
      </c>
      <c r="R106" s="7">
        <f t="shared" si="31"/>
        <v>12419.162320000001</v>
      </c>
      <c r="S106" s="7">
        <f t="shared" si="31"/>
        <v>12419.162320000001</v>
      </c>
      <c r="T106" s="7">
        <f t="shared" si="31"/>
        <v>12419.162320000001</v>
      </c>
      <c r="U106" s="7">
        <f t="shared" si="31"/>
        <v>12419.162320000001</v>
      </c>
      <c r="V106" s="7">
        <f t="shared" si="32"/>
        <v>149029.94784000001</v>
      </c>
    </row>
    <row r="107" spans="1:22" x14ac:dyDescent="0.25">
      <c r="A107" s="275" t="s">
        <v>332</v>
      </c>
      <c r="B107" s="275" t="s">
        <v>331</v>
      </c>
      <c r="C107" s="283">
        <v>3.2000000000000001E-2</v>
      </c>
      <c r="D107" s="4"/>
      <c r="E107" s="5"/>
      <c r="F107" s="7">
        <f t="shared" si="29"/>
        <v>692.96999999999991</v>
      </c>
      <c r="G107" s="7">
        <f t="shared" si="29"/>
        <v>692.96999999999991</v>
      </c>
      <c r="H107" s="7">
        <f t="shared" si="29"/>
        <v>692.96999999999991</v>
      </c>
      <c r="I107" s="7">
        <f t="shared" si="29"/>
        <v>692.96999999999991</v>
      </c>
      <c r="J107" s="7">
        <f t="shared" si="29"/>
        <v>692.96999999999991</v>
      </c>
      <c r="K107" s="7">
        <f t="shared" si="29"/>
        <v>692.96999999999991</v>
      </c>
      <c r="L107" s="275" t="s">
        <v>332</v>
      </c>
      <c r="M107" s="275" t="s">
        <v>331</v>
      </c>
      <c r="N107" s="283">
        <v>3.2000000000000001E-2</v>
      </c>
      <c r="P107" s="7">
        <f t="shared" si="30"/>
        <v>692.96999999999991</v>
      </c>
      <c r="Q107" s="7">
        <f t="shared" si="31"/>
        <v>692.96999999999991</v>
      </c>
      <c r="R107" s="7">
        <f t="shared" si="31"/>
        <v>692.96999999999991</v>
      </c>
      <c r="S107" s="7">
        <f t="shared" si="31"/>
        <v>692.96999999999991</v>
      </c>
      <c r="T107" s="7">
        <f t="shared" si="31"/>
        <v>692.96999999999991</v>
      </c>
      <c r="U107" s="7">
        <f t="shared" si="31"/>
        <v>692.96999999999991</v>
      </c>
      <c r="V107" s="7">
        <f t="shared" si="32"/>
        <v>8315.64</v>
      </c>
    </row>
    <row r="108" spans="1:22" x14ac:dyDescent="0.25">
      <c r="A108" s="275" t="s">
        <v>335</v>
      </c>
      <c r="B108" s="275" t="s">
        <v>334</v>
      </c>
      <c r="C108" s="283">
        <v>0.04</v>
      </c>
      <c r="D108" s="4"/>
      <c r="E108" s="5"/>
      <c r="F108" s="7">
        <f t="shared" si="29"/>
        <v>8520.0414666666675</v>
      </c>
      <c r="G108" s="7">
        <f t="shared" si="29"/>
        <v>8520.0414666666675</v>
      </c>
      <c r="H108" s="7">
        <f t="shared" si="29"/>
        <v>8520.0414666666675</v>
      </c>
      <c r="I108" s="7">
        <f t="shared" si="29"/>
        <v>8520.0414666666675</v>
      </c>
      <c r="J108" s="7">
        <f t="shared" si="29"/>
        <v>8520.0414666666675</v>
      </c>
      <c r="K108" s="7">
        <f t="shared" si="29"/>
        <v>8520.0414666666675</v>
      </c>
      <c r="L108" s="275" t="s">
        <v>335</v>
      </c>
      <c r="M108" s="275" t="s">
        <v>334</v>
      </c>
      <c r="N108" s="283">
        <v>0.04</v>
      </c>
      <c r="P108" s="7">
        <f t="shared" si="30"/>
        <v>8520.0414666666675</v>
      </c>
      <c r="Q108" s="7">
        <f t="shared" si="31"/>
        <v>8520.0414666666675</v>
      </c>
      <c r="R108" s="7">
        <f t="shared" si="31"/>
        <v>8520.0414666666675</v>
      </c>
      <c r="S108" s="7">
        <f t="shared" si="31"/>
        <v>8520.0414666666675</v>
      </c>
      <c r="T108" s="7">
        <f t="shared" si="31"/>
        <v>8520.0414666666675</v>
      </c>
      <c r="U108" s="7">
        <f t="shared" si="31"/>
        <v>8520.0414666666675</v>
      </c>
      <c r="V108" s="7">
        <f t="shared" si="32"/>
        <v>102240.49760000002</v>
      </c>
    </row>
    <row r="109" spans="1:22" x14ac:dyDescent="0.25">
      <c r="A109" s="275" t="s">
        <v>338</v>
      </c>
      <c r="B109" s="275" t="s">
        <v>337</v>
      </c>
      <c r="C109" s="283">
        <v>0.04</v>
      </c>
      <c r="D109" s="4"/>
      <c r="E109" s="5"/>
      <c r="F109" s="7">
        <f t="shared" si="29"/>
        <v>319.75100000000003</v>
      </c>
      <c r="G109" s="7">
        <f t="shared" si="29"/>
        <v>319.75100000000003</v>
      </c>
      <c r="H109" s="7">
        <f t="shared" si="29"/>
        <v>319.75100000000003</v>
      </c>
      <c r="I109" s="7">
        <f t="shared" si="29"/>
        <v>319.75100000000003</v>
      </c>
      <c r="J109" s="7">
        <f t="shared" si="29"/>
        <v>319.75100000000003</v>
      </c>
      <c r="K109" s="7">
        <f t="shared" si="29"/>
        <v>319.75100000000003</v>
      </c>
      <c r="L109" s="275" t="s">
        <v>338</v>
      </c>
      <c r="M109" s="275" t="s">
        <v>337</v>
      </c>
      <c r="N109" s="283">
        <v>0.04</v>
      </c>
      <c r="P109" s="7">
        <f t="shared" si="30"/>
        <v>319.75100000000003</v>
      </c>
      <c r="Q109" s="7">
        <f t="shared" si="31"/>
        <v>319.75100000000003</v>
      </c>
      <c r="R109" s="7">
        <f t="shared" si="31"/>
        <v>319.75100000000003</v>
      </c>
      <c r="S109" s="7">
        <f t="shared" si="31"/>
        <v>319.75100000000003</v>
      </c>
      <c r="T109" s="7">
        <f t="shared" si="31"/>
        <v>319.75100000000003</v>
      </c>
      <c r="U109" s="7">
        <f t="shared" si="31"/>
        <v>319.75100000000003</v>
      </c>
      <c r="V109" s="7">
        <f t="shared" si="32"/>
        <v>3837.0120000000002</v>
      </c>
    </row>
    <row r="110" spans="1:22" x14ac:dyDescent="0.25">
      <c r="A110" s="275" t="s">
        <v>341</v>
      </c>
      <c r="B110" s="275" t="s">
        <v>340</v>
      </c>
      <c r="C110" s="283">
        <v>3.5999999999999997E-2</v>
      </c>
      <c r="D110" s="4"/>
      <c r="E110" s="5"/>
      <c r="F110" s="7">
        <f t="shared" si="29"/>
        <v>7995.5324699999992</v>
      </c>
      <c r="G110" s="7">
        <f t="shared" si="29"/>
        <v>7995.5324699999992</v>
      </c>
      <c r="H110" s="7">
        <f t="shared" si="29"/>
        <v>7995.5324699999992</v>
      </c>
      <c r="I110" s="7">
        <f t="shared" si="29"/>
        <v>7995.5324699999992</v>
      </c>
      <c r="J110" s="7">
        <f t="shared" si="29"/>
        <v>7995.5324699999992</v>
      </c>
      <c r="K110" s="7">
        <f t="shared" si="29"/>
        <v>7995.5324699999992</v>
      </c>
      <c r="L110" s="275" t="s">
        <v>341</v>
      </c>
      <c r="M110" s="275" t="s">
        <v>340</v>
      </c>
      <c r="N110" s="283">
        <v>3.5999999999999997E-2</v>
      </c>
      <c r="P110" s="7">
        <f t="shared" si="30"/>
        <v>7995.5324699999992</v>
      </c>
      <c r="Q110" s="7">
        <f t="shared" si="31"/>
        <v>7995.5324699999992</v>
      </c>
      <c r="R110" s="7">
        <f t="shared" si="31"/>
        <v>7995.5324699999992</v>
      </c>
      <c r="S110" s="7">
        <f t="shared" si="31"/>
        <v>7995.5324699999992</v>
      </c>
      <c r="T110" s="7">
        <f t="shared" si="31"/>
        <v>7995.5324699999992</v>
      </c>
      <c r="U110" s="7">
        <f t="shared" si="31"/>
        <v>7995.5324699999992</v>
      </c>
      <c r="V110" s="7">
        <f t="shared" si="32"/>
        <v>95946.389639999994</v>
      </c>
    </row>
    <row r="111" spans="1:22" s="4" customFormat="1" x14ac:dyDescent="0.25">
      <c r="A111" s="275" t="s">
        <v>479</v>
      </c>
      <c r="B111" s="275" t="s">
        <v>431</v>
      </c>
      <c r="C111" s="283">
        <v>3.5999999999999997E-2</v>
      </c>
      <c r="E111" s="5"/>
      <c r="F111" s="7">
        <f t="shared" si="29"/>
        <v>41.422109999999982</v>
      </c>
      <c r="G111" s="7">
        <f t="shared" si="29"/>
        <v>41.422109999999982</v>
      </c>
      <c r="H111" s="7">
        <f t="shared" si="29"/>
        <v>41.422109999999982</v>
      </c>
      <c r="I111" s="7">
        <f t="shared" si="29"/>
        <v>41.422109999999982</v>
      </c>
      <c r="J111" s="7">
        <f t="shared" si="29"/>
        <v>41.422109999999982</v>
      </c>
      <c r="K111" s="7">
        <f t="shared" si="29"/>
        <v>41.422109999999982</v>
      </c>
      <c r="L111" s="275" t="s">
        <v>479</v>
      </c>
      <c r="M111" s="275" t="s">
        <v>431</v>
      </c>
      <c r="N111" s="283">
        <v>3.5999999999999997E-2</v>
      </c>
      <c r="P111" s="7">
        <f t="shared" si="30"/>
        <v>41.422109999999982</v>
      </c>
      <c r="Q111" s="7">
        <f t="shared" si="31"/>
        <v>41.422109999999982</v>
      </c>
      <c r="R111" s="7">
        <f t="shared" si="31"/>
        <v>41.422109999999982</v>
      </c>
      <c r="S111" s="7">
        <f t="shared" si="31"/>
        <v>41.422109999999982</v>
      </c>
      <c r="T111" s="7">
        <f t="shared" si="31"/>
        <v>41.422109999999982</v>
      </c>
      <c r="U111" s="7">
        <f t="shared" si="31"/>
        <v>41.422109999999982</v>
      </c>
      <c r="V111" s="7">
        <f t="shared" si="32"/>
        <v>497.06531999999976</v>
      </c>
    </row>
    <row r="112" spans="1:22" s="4" customFormat="1" x14ac:dyDescent="0.25">
      <c r="A112" s="275" t="s">
        <v>430</v>
      </c>
      <c r="B112" s="275" t="s">
        <v>429</v>
      </c>
      <c r="C112" s="283">
        <v>4.4999999999999998E-2</v>
      </c>
      <c r="E112" s="5"/>
      <c r="F112" s="7">
        <f t="shared" si="29"/>
        <v>-986.3667375</v>
      </c>
      <c r="G112" s="7">
        <f t="shared" si="29"/>
        <v>-986.3667375</v>
      </c>
      <c r="H112" s="7">
        <f t="shared" si="29"/>
        <v>-986.3667375</v>
      </c>
      <c r="I112" s="7">
        <f t="shared" si="29"/>
        <v>-986.3667375</v>
      </c>
      <c r="J112" s="7">
        <f t="shared" si="29"/>
        <v>-986.3667375</v>
      </c>
      <c r="K112" s="7">
        <f t="shared" si="29"/>
        <v>-986.3667375</v>
      </c>
      <c r="L112" s="275" t="s">
        <v>430</v>
      </c>
      <c r="M112" s="275" t="s">
        <v>429</v>
      </c>
      <c r="N112" s="283">
        <v>4.4999999999999998E-2</v>
      </c>
      <c r="P112" s="7">
        <f t="shared" si="30"/>
        <v>-986.3667375</v>
      </c>
      <c r="Q112" s="7">
        <f t="shared" si="31"/>
        <v>-986.3667375</v>
      </c>
      <c r="R112" s="7">
        <f t="shared" si="31"/>
        <v>-986.3667375</v>
      </c>
      <c r="S112" s="7">
        <f t="shared" si="31"/>
        <v>-986.3667375</v>
      </c>
      <c r="T112" s="7">
        <f t="shared" si="31"/>
        <v>-986.3667375</v>
      </c>
      <c r="U112" s="7">
        <f t="shared" si="31"/>
        <v>-986.3667375</v>
      </c>
      <c r="V112" s="7">
        <f t="shared" si="32"/>
        <v>-11836.400850000002</v>
      </c>
    </row>
    <row r="113" spans="1:25" s="4" customFormat="1" x14ac:dyDescent="0.25">
      <c r="A113" s="275" t="s">
        <v>470</v>
      </c>
      <c r="B113" s="275" t="s">
        <v>469</v>
      </c>
      <c r="C113" s="283">
        <v>4.9000000000000002E-2</v>
      </c>
      <c r="E113" s="5"/>
      <c r="F113" s="7">
        <f t="shared" si="29"/>
        <v>1875.0097449999996</v>
      </c>
      <c r="G113" s="7">
        <f t="shared" si="29"/>
        <v>1875.0097449999996</v>
      </c>
      <c r="H113" s="7">
        <f t="shared" si="29"/>
        <v>1875.0097449999996</v>
      </c>
      <c r="I113" s="7">
        <f t="shared" si="29"/>
        <v>1875.0097449999996</v>
      </c>
      <c r="J113" s="7">
        <f t="shared" si="29"/>
        <v>1875.0097449999996</v>
      </c>
      <c r="K113" s="7">
        <f t="shared" si="29"/>
        <v>1875.0097449999996</v>
      </c>
      <c r="L113" s="275" t="s">
        <v>470</v>
      </c>
      <c r="M113" s="275" t="s">
        <v>469</v>
      </c>
      <c r="N113" s="283">
        <v>4.9000000000000002E-2</v>
      </c>
      <c r="P113" s="7">
        <f t="shared" si="30"/>
        <v>1875.0097449999996</v>
      </c>
      <c r="Q113" s="7">
        <f t="shared" si="31"/>
        <v>1875.0097449999996</v>
      </c>
      <c r="R113" s="7">
        <f t="shared" si="31"/>
        <v>1875.0097449999996</v>
      </c>
      <c r="S113" s="7">
        <f t="shared" si="31"/>
        <v>1875.0097449999996</v>
      </c>
      <c r="T113" s="7">
        <f t="shared" si="31"/>
        <v>1875.0097449999996</v>
      </c>
      <c r="U113" s="7">
        <f t="shared" si="31"/>
        <v>1875.0097449999996</v>
      </c>
      <c r="V113" s="7">
        <f t="shared" si="32"/>
        <v>22500.116939999996</v>
      </c>
    </row>
    <row r="114" spans="1:25" x14ac:dyDescent="0.25">
      <c r="A114" s="1" t="s">
        <v>358</v>
      </c>
      <c r="B114" s="4"/>
      <c r="C114" s="4"/>
      <c r="D114" s="4"/>
      <c r="E114" s="286"/>
      <c r="F114" s="280">
        <f>SUM(F103:F113)</f>
        <v>58056.639349999998</v>
      </c>
      <c r="G114" s="280">
        <f t="shared" ref="G114:V114" si="33">SUM(G103:G113)</f>
        <v>58056.639349999998</v>
      </c>
      <c r="H114" s="280">
        <f t="shared" si="33"/>
        <v>58056.639349999998</v>
      </c>
      <c r="I114" s="280">
        <f t="shared" si="33"/>
        <v>58056.639349999998</v>
      </c>
      <c r="J114" s="280">
        <f t="shared" si="33"/>
        <v>58056.639349999998</v>
      </c>
      <c r="K114" s="280">
        <f t="shared" si="33"/>
        <v>58056.639349999998</v>
      </c>
      <c r="L114" s="1" t="s">
        <v>358</v>
      </c>
      <c r="P114" s="280">
        <f t="shared" si="33"/>
        <v>58056.639349999998</v>
      </c>
      <c r="Q114" s="280">
        <f t="shared" si="33"/>
        <v>58056.639349999998</v>
      </c>
      <c r="R114" s="280">
        <f t="shared" si="33"/>
        <v>58056.639349999998</v>
      </c>
      <c r="S114" s="280">
        <f t="shared" si="33"/>
        <v>58056.639349999998</v>
      </c>
      <c r="T114" s="280">
        <f t="shared" si="33"/>
        <v>58056.639349999998</v>
      </c>
      <c r="U114" s="280">
        <f t="shared" si="33"/>
        <v>58056.639349999998</v>
      </c>
      <c r="V114" s="280">
        <f t="shared" si="33"/>
        <v>696679.67219999991</v>
      </c>
    </row>
    <row r="115" spans="1:25" x14ac:dyDescent="0.25">
      <c r="A115" s="4"/>
      <c r="B115" s="4"/>
      <c r="C115" s="4"/>
      <c r="D115" s="4"/>
      <c r="E115" s="5"/>
      <c r="F115" s="4"/>
      <c r="G115" s="4"/>
      <c r="H115" s="4"/>
      <c r="I115" s="4"/>
      <c r="J115" s="4"/>
      <c r="K115" s="4"/>
      <c r="P115" s="4"/>
      <c r="Q115" s="4"/>
      <c r="R115" s="4"/>
      <c r="S115" s="4"/>
      <c r="T115" s="4"/>
      <c r="U115" s="4"/>
      <c r="V115" s="4"/>
    </row>
    <row r="116" spans="1:25" x14ac:dyDescent="0.25">
      <c r="A116" s="275" t="s">
        <v>359</v>
      </c>
      <c r="B116" s="4"/>
      <c r="C116" s="333">
        <v>408</v>
      </c>
      <c r="D116" s="4"/>
      <c r="E116" s="285"/>
      <c r="F116" s="8">
        <f>(E46)*(0.02/12)</f>
        <v>30956.518883333338</v>
      </c>
      <c r="G116" s="8">
        <f>F116</f>
        <v>30956.518883333338</v>
      </c>
      <c r="H116" s="8">
        <f t="shared" ref="H116:U116" si="34">G116</f>
        <v>30956.518883333338</v>
      </c>
      <c r="I116" s="8">
        <f t="shared" si="34"/>
        <v>30956.518883333338</v>
      </c>
      <c r="J116" s="8">
        <f t="shared" si="34"/>
        <v>30956.518883333338</v>
      </c>
      <c r="K116" s="8">
        <f t="shared" si="34"/>
        <v>30956.518883333338</v>
      </c>
      <c r="L116" s="275" t="s">
        <v>359</v>
      </c>
      <c r="N116" s="333">
        <v>408</v>
      </c>
      <c r="P116" s="8">
        <f>K116</f>
        <v>30956.518883333338</v>
      </c>
      <c r="Q116" s="8">
        <f t="shared" si="34"/>
        <v>30956.518883333338</v>
      </c>
      <c r="R116" s="8">
        <f t="shared" si="34"/>
        <v>30956.518883333338</v>
      </c>
      <c r="S116" s="8">
        <f t="shared" si="34"/>
        <v>30956.518883333338</v>
      </c>
      <c r="T116" s="8">
        <f t="shared" si="34"/>
        <v>30956.518883333338</v>
      </c>
      <c r="U116" s="8">
        <f t="shared" si="34"/>
        <v>30956.518883333338</v>
      </c>
      <c r="V116" s="7">
        <f>SUM(F116:K116)+SUM(P116:U116)</f>
        <v>371478.22660000005</v>
      </c>
    </row>
    <row r="117" spans="1:25" s="4" customFormat="1" x14ac:dyDescent="0.25">
      <c r="A117" s="275" t="s">
        <v>420</v>
      </c>
      <c r="C117" s="4" t="s">
        <v>472</v>
      </c>
      <c r="E117" s="5"/>
      <c r="F117" s="7">
        <v>0</v>
      </c>
      <c r="G117" s="7">
        <v>0</v>
      </c>
      <c r="H117" s="7">
        <v>0</v>
      </c>
      <c r="I117" s="7">
        <v>0</v>
      </c>
      <c r="J117" s="7">
        <v>0</v>
      </c>
      <c r="K117" s="7">
        <v>0</v>
      </c>
      <c r="L117" s="275" t="s">
        <v>420</v>
      </c>
      <c r="N117" s="4" t="s">
        <v>472</v>
      </c>
      <c r="P117" s="7">
        <v>0</v>
      </c>
      <c r="Q117" s="7">
        <v>0</v>
      </c>
      <c r="R117" s="7">
        <v>0</v>
      </c>
      <c r="S117" s="7">
        <v>0</v>
      </c>
      <c r="T117" s="7">
        <v>0</v>
      </c>
      <c r="U117" s="7">
        <v>0</v>
      </c>
      <c r="V117" s="7">
        <f>SUM(F117:K117)+SUM(P117:U117)</f>
        <v>0</v>
      </c>
      <c r="W117" s="7"/>
      <c r="X117" s="7"/>
      <c r="Y117" s="7"/>
    </row>
    <row r="118" spans="1:25" x14ac:dyDescent="0.25">
      <c r="A118" s="275" t="s">
        <v>463</v>
      </c>
      <c r="B118" s="4"/>
      <c r="C118" s="275">
        <v>408</v>
      </c>
      <c r="D118" s="4"/>
      <c r="E118" s="5"/>
      <c r="F118" s="357">
        <f>F121-(F121*1.00072)</f>
        <v>20.110319999999774</v>
      </c>
      <c r="G118" s="7">
        <f t="shared" ref="G118:U118" si="35">G121-(G121*1.00072)</f>
        <v>20.110319999999774</v>
      </c>
      <c r="H118" s="7">
        <f t="shared" si="35"/>
        <v>20.110319999999774</v>
      </c>
      <c r="I118" s="7">
        <f t="shared" si="35"/>
        <v>20.110319999999774</v>
      </c>
      <c r="J118" s="7">
        <f t="shared" si="35"/>
        <v>20.110319999999774</v>
      </c>
      <c r="K118" s="7">
        <f t="shared" si="35"/>
        <v>20.110319999999774</v>
      </c>
      <c r="L118" s="275" t="s">
        <v>463</v>
      </c>
      <c r="N118" s="275">
        <v>408</v>
      </c>
      <c r="P118" s="7">
        <f t="shared" si="35"/>
        <v>20.110319999999774</v>
      </c>
      <c r="Q118" s="7">
        <f t="shared" si="35"/>
        <v>20.110319999999774</v>
      </c>
      <c r="R118" s="7">
        <f t="shared" si="35"/>
        <v>20.110319999999774</v>
      </c>
      <c r="S118" s="7">
        <f t="shared" si="35"/>
        <v>20.110319999999774</v>
      </c>
      <c r="T118" s="7">
        <f t="shared" si="35"/>
        <v>20.110319999999774</v>
      </c>
      <c r="U118" s="7">
        <f t="shared" si="35"/>
        <v>20.110319999999774</v>
      </c>
      <c r="V118" s="7">
        <f>SUM(F118:K118)+SUM(P118:U118)</f>
        <v>241.32383999999729</v>
      </c>
      <c r="W118" s="7"/>
      <c r="X118" s="7"/>
      <c r="Y118" s="7"/>
    </row>
    <row r="119" spans="1:25" ht="15.75" thickBot="1" x14ac:dyDescent="0.3">
      <c r="A119" s="275" t="s">
        <v>3</v>
      </c>
      <c r="B119" s="4"/>
      <c r="C119" s="4"/>
      <c r="D119" s="4"/>
      <c r="E119" s="285"/>
      <c r="F119" s="284">
        <f t="shared" ref="F119:K119" si="36">SUM(F114:F118)</f>
        <v>89033.268553333328</v>
      </c>
      <c r="G119" s="284">
        <f t="shared" si="36"/>
        <v>89033.268553333328</v>
      </c>
      <c r="H119" s="284">
        <f t="shared" si="36"/>
        <v>89033.268553333328</v>
      </c>
      <c r="I119" s="284">
        <f t="shared" si="36"/>
        <v>89033.268553333328</v>
      </c>
      <c r="J119" s="284">
        <f t="shared" si="36"/>
        <v>89033.268553333328</v>
      </c>
      <c r="K119" s="284">
        <f t="shared" si="36"/>
        <v>89033.268553333328</v>
      </c>
      <c r="L119" s="275" t="s">
        <v>3</v>
      </c>
      <c r="P119" s="284">
        <f t="shared" ref="P119:V119" si="37">SUM(P114:P118)</f>
        <v>89033.268553333328</v>
      </c>
      <c r="Q119" s="284">
        <f t="shared" si="37"/>
        <v>89033.268553333328</v>
      </c>
      <c r="R119" s="284">
        <f t="shared" si="37"/>
        <v>89033.268553333328</v>
      </c>
      <c r="S119" s="284">
        <f t="shared" si="37"/>
        <v>89033.268553333328</v>
      </c>
      <c r="T119" s="284">
        <f t="shared" si="37"/>
        <v>89033.268553333328</v>
      </c>
      <c r="U119" s="284">
        <f t="shared" si="37"/>
        <v>89033.268553333328</v>
      </c>
      <c r="V119" s="284">
        <f t="shared" si="37"/>
        <v>1068399.2226400001</v>
      </c>
    </row>
    <row r="120" spans="1:25" ht="15.75" thickTop="1" x14ac:dyDescent="0.25">
      <c r="A120" s="4"/>
      <c r="B120" s="4"/>
      <c r="C120" s="4"/>
      <c r="D120" s="4"/>
      <c r="E120" s="5"/>
      <c r="F120" s="4"/>
      <c r="G120" s="4"/>
      <c r="H120" s="4"/>
      <c r="I120" s="4"/>
      <c r="J120" s="4"/>
      <c r="K120" s="4"/>
      <c r="P120" s="4"/>
      <c r="Q120" s="4"/>
      <c r="R120" s="4"/>
      <c r="S120" s="4"/>
      <c r="T120" s="4"/>
      <c r="U120" s="4"/>
      <c r="V120" s="4"/>
    </row>
    <row r="121" spans="1:25" x14ac:dyDescent="0.25">
      <c r="A121" s="275" t="s">
        <v>457</v>
      </c>
      <c r="B121" s="4"/>
      <c r="C121" s="4"/>
      <c r="D121" s="4"/>
      <c r="E121" s="5"/>
      <c r="F121" s="395">
        <v>-27931</v>
      </c>
      <c r="G121" s="8">
        <f>F121</f>
        <v>-27931</v>
      </c>
      <c r="H121" s="8">
        <f>G121</f>
        <v>-27931</v>
      </c>
      <c r="I121" s="8">
        <f>H121</f>
        <v>-27931</v>
      </c>
      <c r="J121" s="8">
        <f>I121</f>
        <v>-27931</v>
      </c>
      <c r="K121" s="8">
        <f>J121</f>
        <v>-27931</v>
      </c>
      <c r="L121" s="275" t="s">
        <v>457</v>
      </c>
      <c r="P121" s="8">
        <f>K121</f>
        <v>-27931</v>
      </c>
      <c r="Q121" s="8">
        <f>P121</f>
        <v>-27931</v>
      </c>
      <c r="R121" s="8">
        <f>Q121</f>
        <v>-27931</v>
      </c>
      <c r="S121" s="8">
        <f>R121</f>
        <v>-27931</v>
      </c>
      <c r="T121" s="8">
        <f>S121</f>
        <v>-27931</v>
      </c>
      <c r="U121" s="8">
        <f>T121</f>
        <v>-27931</v>
      </c>
      <c r="V121" s="7">
        <f>SUM(F121:K121)+SUM(P121:U121)</f>
        <v>-335172</v>
      </c>
    </row>
    <row r="122" spans="1:25" x14ac:dyDescent="0.25">
      <c r="A122" s="4"/>
      <c r="B122" s="4"/>
      <c r="C122" s="4"/>
      <c r="D122" s="4"/>
      <c r="E122" s="5"/>
      <c r="F122" s="4"/>
      <c r="G122" s="4"/>
      <c r="H122" s="4"/>
      <c r="I122" s="4"/>
      <c r="J122" s="4"/>
      <c r="K122" s="4"/>
      <c r="P122" s="4"/>
      <c r="Q122" s="4"/>
      <c r="R122" s="4"/>
      <c r="S122" s="4"/>
      <c r="T122" s="4"/>
      <c r="U122" s="4"/>
    </row>
    <row r="123" spans="1:25" x14ac:dyDescent="0.25">
      <c r="A123" s="4"/>
      <c r="B123" s="4"/>
      <c r="C123" s="4"/>
      <c r="D123" s="4"/>
      <c r="E123" s="5"/>
      <c r="F123" s="4"/>
      <c r="G123" s="4"/>
      <c r="H123" s="4"/>
      <c r="I123" s="4"/>
      <c r="J123" s="4"/>
      <c r="K123" s="4"/>
      <c r="P123" s="4"/>
      <c r="Q123" s="4"/>
      <c r="R123" s="4"/>
      <c r="S123" s="4"/>
      <c r="T123" s="4"/>
      <c r="U123" s="4"/>
    </row>
    <row r="124" spans="1:25" x14ac:dyDescent="0.25">
      <c r="A124" s="4"/>
      <c r="B124" s="4"/>
      <c r="C124" s="4"/>
      <c r="D124" s="4"/>
      <c r="E124" s="5"/>
      <c r="F124" s="4"/>
      <c r="G124" s="4"/>
      <c r="H124" s="4"/>
      <c r="I124" s="4"/>
      <c r="J124" s="4"/>
      <c r="K124" s="4"/>
      <c r="P124" s="4"/>
      <c r="Q124" s="4"/>
      <c r="R124" s="4"/>
      <c r="S124" s="4"/>
      <c r="T124" s="4"/>
      <c r="U124" s="4"/>
    </row>
    <row r="125" spans="1:25" x14ac:dyDescent="0.25">
      <c r="A125" s="4"/>
      <c r="B125" s="4"/>
      <c r="C125" s="4"/>
      <c r="D125" s="4"/>
      <c r="E125" s="5"/>
      <c r="F125" s="4"/>
      <c r="G125" s="4"/>
      <c r="H125" s="4"/>
      <c r="I125" s="4"/>
      <c r="J125" s="4"/>
      <c r="K125" s="4"/>
      <c r="P125" s="4"/>
      <c r="Q125" s="4"/>
      <c r="R125" s="4"/>
      <c r="S125" s="4"/>
      <c r="T125" s="4"/>
      <c r="U125" s="4"/>
    </row>
    <row r="126" spans="1:25" x14ac:dyDescent="0.25">
      <c r="A126" s="4"/>
      <c r="B126" s="4"/>
      <c r="C126" s="4"/>
      <c r="D126" s="4"/>
      <c r="E126" s="4"/>
      <c r="F126" s="4"/>
      <c r="G126" s="4"/>
      <c r="H126" s="4"/>
      <c r="I126" s="4"/>
      <c r="J126" s="4"/>
      <c r="K126" s="4"/>
      <c r="P126" s="4"/>
      <c r="Q126" s="4"/>
      <c r="R126" s="4"/>
      <c r="S126" s="4"/>
      <c r="T126" s="4"/>
      <c r="U126" s="4"/>
    </row>
  </sheetData>
  <mergeCells count="2">
    <mergeCell ref="A67:B67"/>
    <mergeCell ref="L67:M67"/>
  </mergeCells>
  <pageMargins left="0.7" right="0.7" top="0.75" bottom="0.75" header="0.3" footer="0.3"/>
  <pageSetup scale="60" orientation="landscape" r:id="rId1"/>
  <rowBreaks count="2" manualBreakCount="2">
    <brk id="46" max="16383" man="1"/>
    <brk id="95" max="16383" man="1"/>
  </rowBreaks>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T64"/>
  <sheetViews>
    <sheetView topLeftCell="E1" workbookViewId="0">
      <selection activeCell="Q2" sqref="Q2"/>
    </sheetView>
  </sheetViews>
  <sheetFormatPr defaultColWidth="12.5703125" defaultRowHeight="15" x14ac:dyDescent="0.2"/>
  <cols>
    <col min="1" max="1" width="8.42578125" style="111" customWidth="1"/>
    <col min="2" max="2" width="14.42578125" style="111" customWidth="1"/>
    <col min="3" max="3" width="25.140625" style="111" customWidth="1"/>
    <col min="4" max="4" width="4.42578125" style="111" customWidth="1"/>
    <col min="5" max="5" width="17.7109375" style="111" customWidth="1"/>
    <col min="6" max="6" width="6.140625" style="111" customWidth="1"/>
    <col min="7" max="7" width="12.5703125" style="111" customWidth="1"/>
    <col min="8" max="8" width="5.5703125" style="111" customWidth="1"/>
    <col min="9" max="9" width="16.42578125" style="111" customWidth="1"/>
    <col min="10" max="10" width="5.85546875" style="111" customWidth="1"/>
    <col min="11" max="11" width="15.140625" style="111" customWidth="1"/>
    <col min="12" max="12" width="6" style="111" customWidth="1"/>
    <col min="13" max="13" width="18.28515625" style="111" customWidth="1"/>
    <col min="14" max="14" width="7" style="111" customWidth="1"/>
    <col min="15" max="15" width="17.7109375" style="111" customWidth="1"/>
    <col min="16" max="16" width="6.140625" style="111" customWidth="1"/>
    <col min="17" max="17" width="17.7109375" style="111" customWidth="1"/>
    <col min="18" max="18" width="7" style="111" customWidth="1"/>
    <col min="19" max="19" width="20.140625" style="111" customWidth="1"/>
    <col min="20" max="256" width="12.5703125" style="111"/>
    <col min="257" max="257" width="8.42578125" style="111" customWidth="1"/>
    <col min="258" max="258" width="14.42578125" style="111" customWidth="1"/>
    <col min="259" max="259" width="25.140625" style="111" customWidth="1"/>
    <col min="260" max="260" width="10" style="111" customWidth="1"/>
    <col min="261" max="261" width="17.7109375" style="111" customWidth="1"/>
    <col min="262" max="262" width="8.7109375" style="111" customWidth="1"/>
    <col min="263" max="263" width="12.5703125" style="111" customWidth="1"/>
    <col min="264" max="264" width="8.7109375" style="111" customWidth="1"/>
    <col min="265" max="265" width="16.42578125" style="111" customWidth="1"/>
    <col min="266" max="266" width="8.7109375" style="111" customWidth="1"/>
    <col min="267" max="267" width="15.140625" style="111" customWidth="1"/>
    <col min="268" max="268" width="8.7109375" style="111" customWidth="1"/>
    <col min="269" max="269" width="18.28515625" style="111" customWidth="1"/>
    <col min="270" max="270" width="8.7109375" style="111" customWidth="1"/>
    <col min="271" max="271" width="17.7109375" style="111" customWidth="1"/>
    <col min="272" max="272" width="8.7109375" style="111" customWidth="1"/>
    <col min="273" max="273" width="17.7109375" style="111" customWidth="1"/>
    <col min="274" max="274" width="8.7109375" style="111" customWidth="1"/>
    <col min="275" max="275" width="16.42578125" style="111" customWidth="1"/>
    <col min="276" max="512" width="12.5703125" style="111"/>
    <col min="513" max="513" width="8.42578125" style="111" customWidth="1"/>
    <col min="514" max="514" width="14.42578125" style="111" customWidth="1"/>
    <col min="515" max="515" width="25.140625" style="111" customWidth="1"/>
    <col min="516" max="516" width="10" style="111" customWidth="1"/>
    <col min="517" max="517" width="17.7109375" style="111" customWidth="1"/>
    <col min="518" max="518" width="8.7109375" style="111" customWidth="1"/>
    <col min="519" max="519" width="12.5703125" style="111" customWidth="1"/>
    <col min="520" max="520" width="8.7109375" style="111" customWidth="1"/>
    <col min="521" max="521" width="16.42578125" style="111" customWidth="1"/>
    <col min="522" max="522" width="8.7109375" style="111" customWidth="1"/>
    <col min="523" max="523" width="15.140625" style="111" customWidth="1"/>
    <col min="524" max="524" width="8.7109375" style="111" customWidth="1"/>
    <col min="525" max="525" width="18.28515625" style="111" customWidth="1"/>
    <col min="526" max="526" width="8.7109375" style="111" customWidth="1"/>
    <col min="527" max="527" width="17.7109375" style="111" customWidth="1"/>
    <col min="528" max="528" width="8.7109375" style="111" customWidth="1"/>
    <col min="529" max="529" width="17.7109375" style="111" customWidth="1"/>
    <col min="530" max="530" width="8.7109375" style="111" customWidth="1"/>
    <col min="531" max="531" width="16.42578125" style="111" customWidth="1"/>
    <col min="532" max="768" width="12.5703125" style="111"/>
    <col min="769" max="769" width="8.42578125" style="111" customWidth="1"/>
    <col min="770" max="770" width="14.42578125" style="111" customWidth="1"/>
    <col min="771" max="771" width="25.140625" style="111" customWidth="1"/>
    <col min="772" max="772" width="10" style="111" customWidth="1"/>
    <col min="773" max="773" width="17.7109375" style="111" customWidth="1"/>
    <col min="774" max="774" width="8.7109375" style="111" customWidth="1"/>
    <col min="775" max="775" width="12.5703125" style="111" customWidth="1"/>
    <col min="776" max="776" width="8.7109375" style="111" customWidth="1"/>
    <col min="777" max="777" width="16.42578125" style="111" customWidth="1"/>
    <col min="778" max="778" width="8.7109375" style="111" customWidth="1"/>
    <col min="779" max="779" width="15.140625" style="111" customWidth="1"/>
    <col min="780" max="780" width="8.7109375" style="111" customWidth="1"/>
    <col min="781" max="781" width="18.28515625" style="111" customWidth="1"/>
    <col min="782" max="782" width="8.7109375" style="111" customWidth="1"/>
    <col min="783" max="783" width="17.7109375" style="111" customWidth="1"/>
    <col min="784" max="784" width="8.7109375" style="111" customWidth="1"/>
    <col min="785" max="785" width="17.7109375" style="111" customWidth="1"/>
    <col min="786" max="786" width="8.7109375" style="111" customWidth="1"/>
    <col min="787" max="787" width="16.42578125" style="111" customWidth="1"/>
    <col min="788" max="1024" width="12.5703125" style="111"/>
    <col min="1025" max="1025" width="8.42578125" style="111" customWidth="1"/>
    <col min="1026" max="1026" width="14.42578125" style="111" customWidth="1"/>
    <col min="1027" max="1027" width="25.140625" style="111" customWidth="1"/>
    <col min="1028" max="1028" width="10" style="111" customWidth="1"/>
    <col min="1029" max="1029" width="17.7109375" style="111" customWidth="1"/>
    <col min="1030" max="1030" width="8.7109375" style="111" customWidth="1"/>
    <col min="1031" max="1031" width="12.5703125" style="111" customWidth="1"/>
    <col min="1032" max="1032" width="8.7109375" style="111" customWidth="1"/>
    <col min="1033" max="1033" width="16.42578125" style="111" customWidth="1"/>
    <col min="1034" max="1034" width="8.7109375" style="111" customWidth="1"/>
    <col min="1035" max="1035" width="15.140625" style="111" customWidth="1"/>
    <col min="1036" max="1036" width="8.7109375" style="111" customWidth="1"/>
    <col min="1037" max="1037" width="18.28515625" style="111" customWidth="1"/>
    <col min="1038" max="1038" width="8.7109375" style="111" customWidth="1"/>
    <col min="1039" max="1039" width="17.7109375" style="111" customWidth="1"/>
    <col min="1040" max="1040" width="8.7109375" style="111" customWidth="1"/>
    <col min="1041" max="1041" width="17.7109375" style="111" customWidth="1"/>
    <col min="1042" max="1042" width="8.7109375" style="111" customWidth="1"/>
    <col min="1043" max="1043" width="16.42578125" style="111" customWidth="1"/>
    <col min="1044" max="1280" width="12.5703125" style="111"/>
    <col min="1281" max="1281" width="8.42578125" style="111" customWidth="1"/>
    <col min="1282" max="1282" width="14.42578125" style="111" customWidth="1"/>
    <col min="1283" max="1283" width="25.140625" style="111" customWidth="1"/>
    <col min="1284" max="1284" width="10" style="111" customWidth="1"/>
    <col min="1285" max="1285" width="17.7109375" style="111" customWidth="1"/>
    <col min="1286" max="1286" width="8.7109375" style="111" customWidth="1"/>
    <col min="1287" max="1287" width="12.5703125" style="111" customWidth="1"/>
    <col min="1288" max="1288" width="8.7109375" style="111" customWidth="1"/>
    <col min="1289" max="1289" width="16.42578125" style="111" customWidth="1"/>
    <col min="1290" max="1290" width="8.7109375" style="111" customWidth="1"/>
    <col min="1291" max="1291" width="15.140625" style="111" customWidth="1"/>
    <col min="1292" max="1292" width="8.7109375" style="111" customWidth="1"/>
    <col min="1293" max="1293" width="18.28515625" style="111" customWidth="1"/>
    <col min="1294" max="1294" width="8.7109375" style="111" customWidth="1"/>
    <col min="1295" max="1295" width="17.7109375" style="111" customWidth="1"/>
    <col min="1296" max="1296" width="8.7109375" style="111" customWidth="1"/>
    <col min="1297" max="1297" width="17.7109375" style="111" customWidth="1"/>
    <col min="1298" max="1298" width="8.7109375" style="111" customWidth="1"/>
    <col min="1299" max="1299" width="16.42578125" style="111" customWidth="1"/>
    <col min="1300" max="1536" width="12.5703125" style="111"/>
    <col min="1537" max="1537" width="8.42578125" style="111" customWidth="1"/>
    <col min="1538" max="1538" width="14.42578125" style="111" customWidth="1"/>
    <col min="1539" max="1539" width="25.140625" style="111" customWidth="1"/>
    <col min="1540" max="1540" width="10" style="111" customWidth="1"/>
    <col min="1541" max="1541" width="17.7109375" style="111" customWidth="1"/>
    <col min="1542" max="1542" width="8.7109375" style="111" customWidth="1"/>
    <col min="1543" max="1543" width="12.5703125" style="111" customWidth="1"/>
    <col min="1544" max="1544" width="8.7109375" style="111" customWidth="1"/>
    <col min="1545" max="1545" width="16.42578125" style="111" customWidth="1"/>
    <col min="1546" max="1546" width="8.7109375" style="111" customWidth="1"/>
    <col min="1547" max="1547" width="15.140625" style="111" customWidth="1"/>
    <col min="1548" max="1548" width="8.7109375" style="111" customWidth="1"/>
    <col min="1549" max="1549" width="18.28515625" style="111" customWidth="1"/>
    <col min="1550" max="1550" width="8.7109375" style="111" customWidth="1"/>
    <col min="1551" max="1551" width="17.7109375" style="111" customWidth="1"/>
    <col min="1552" max="1552" width="8.7109375" style="111" customWidth="1"/>
    <col min="1553" max="1553" width="17.7109375" style="111" customWidth="1"/>
    <col min="1554" max="1554" width="8.7109375" style="111" customWidth="1"/>
    <col min="1555" max="1555" width="16.42578125" style="111" customWidth="1"/>
    <col min="1556" max="1792" width="12.5703125" style="111"/>
    <col min="1793" max="1793" width="8.42578125" style="111" customWidth="1"/>
    <col min="1794" max="1794" width="14.42578125" style="111" customWidth="1"/>
    <col min="1795" max="1795" width="25.140625" style="111" customWidth="1"/>
    <col min="1796" max="1796" width="10" style="111" customWidth="1"/>
    <col min="1797" max="1797" width="17.7109375" style="111" customWidth="1"/>
    <col min="1798" max="1798" width="8.7109375" style="111" customWidth="1"/>
    <col min="1799" max="1799" width="12.5703125" style="111" customWidth="1"/>
    <col min="1800" max="1800" width="8.7109375" style="111" customWidth="1"/>
    <col min="1801" max="1801" width="16.42578125" style="111" customWidth="1"/>
    <col min="1802" max="1802" width="8.7109375" style="111" customWidth="1"/>
    <col min="1803" max="1803" width="15.140625" style="111" customWidth="1"/>
    <col min="1804" max="1804" width="8.7109375" style="111" customWidth="1"/>
    <col min="1805" max="1805" width="18.28515625" style="111" customWidth="1"/>
    <col min="1806" max="1806" width="8.7109375" style="111" customWidth="1"/>
    <col min="1807" max="1807" width="17.7109375" style="111" customWidth="1"/>
    <col min="1808" max="1808" width="8.7109375" style="111" customWidth="1"/>
    <col min="1809" max="1809" width="17.7109375" style="111" customWidth="1"/>
    <col min="1810" max="1810" width="8.7109375" style="111" customWidth="1"/>
    <col min="1811" max="1811" width="16.42578125" style="111" customWidth="1"/>
    <col min="1812" max="2048" width="12.5703125" style="111"/>
    <col min="2049" max="2049" width="8.42578125" style="111" customWidth="1"/>
    <col min="2050" max="2050" width="14.42578125" style="111" customWidth="1"/>
    <col min="2051" max="2051" width="25.140625" style="111" customWidth="1"/>
    <col min="2052" max="2052" width="10" style="111" customWidth="1"/>
    <col min="2053" max="2053" width="17.7109375" style="111" customWidth="1"/>
    <col min="2054" max="2054" width="8.7109375" style="111" customWidth="1"/>
    <col min="2055" max="2055" width="12.5703125" style="111" customWidth="1"/>
    <col min="2056" max="2056" width="8.7109375" style="111" customWidth="1"/>
    <col min="2057" max="2057" width="16.42578125" style="111" customWidth="1"/>
    <col min="2058" max="2058" width="8.7109375" style="111" customWidth="1"/>
    <col min="2059" max="2059" width="15.140625" style="111" customWidth="1"/>
    <col min="2060" max="2060" width="8.7109375" style="111" customWidth="1"/>
    <col min="2061" max="2061" width="18.28515625" style="111" customWidth="1"/>
    <col min="2062" max="2062" width="8.7109375" style="111" customWidth="1"/>
    <col min="2063" max="2063" width="17.7109375" style="111" customWidth="1"/>
    <col min="2064" max="2064" width="8.7109375" style="111" customWidth="1"/>
    <col min="2065" max="2065" width="17.7109375" style="111" customWidth="1"/>
    <col min="2066" max="2066" width="8.7109375" style="111" customWidth="1"/>
    <col min="2067" max="2067" width="16.42578125" style="111" customWidth="1"/>
    <col min="2068" max="2304" width="12.5703125" style="111"/>
    <col min="2305" max="2305" width="8.42578125" style="111" customWidth="1"/>
    <col min="2306" max="2306" width="14.42578125" style="111" customWidth="1"/>
    <col min="2307" max="2307" width="25.140625" style="111" customWidth="1"/>
    <col min="2308" max="2308" width="10" style="111" customWidth="1"/>
    <col min="2309" max="2309" width="17.7109375" style="111" customWidth="1"/>
    <col min="2310" max="2310" width="8.7109375" style="111" customWidth="1"/>
    <col min="2311" max="2311" width="12.5703125" style="111" customWidth="1"/>
    <col min="2312" max="2312" width="8.7109375" style="111" customWidth="1"/>
    <col min="2313" max="2313" width="16.42578125" style="111" customWidth="1"/>
    <col min="2314" max="2314" width="8.7109375" style="111" customWidth="1"/>
    <col min="2315" max="2315" width="15.140625" style="111" customWidth="1"/>
    <col min="2316" max="2316" width="8.7109375" style="111" customWidth="1"/>
    <col min="2317" max="2317" width="18.28515625" style="111" customWidth="1"/>
    <col min="2318" max="2318" width="8.7109375" style="111" customWidth="1"/>
    <col min="2319" max="2319" width="17.7109375" style="111" customWidth="1"/>
    <col min="2320" max="2320" width="8.7109375" style="111" customWidth="1"/>
    <col min="2321" max="2321" width="17.7109375" style="111" customWidth="1"/>
    <col min="2322" max="2322" width="8.7109375" style="111" customWidth="1"/>
    <col min="2323" max="2323" width="16.42578125" style="111" customWidth="1"/>
    <col min="2324" max="2560" width="12.5703125" style="111"/>
    <col min="2561" max="2561" width="8.42578125" style="111" customWidth="1"/>
    <col min="2562" max="2562" width="14.42578125" style="111" customWidth="1"/>
    <col min="2563" max="2563" width="25.140625" style="111" customWidth="1"/>
    <col min="2564" max="2564" width="10" style="111" customWidth="1"/>
    <col min="2565" max="2565" width="17.7109375" style="111" customWidth="1"/>
    <col min="2566" max="2566" width="8.7109375" style="111" customWidth="1"/>
    <col min="2567" max="2567" width="12.5703125" style="111" customWidth="1"/>
    <col min="2568" max="2568" width="8.7109375" style="111" customWidth="1"/>
    <col min="2569" max="2569" width="16.42578125" style="111" customWidth="1"/>
    <col min="2570" max="2570" width="8.7109375" style="111" customWidth="1"/>
    <col min="2571" max="2571" width="15.140625" style="111" customWidth="1"/>
    <col min="2572" max="2572" width="8.7109375" style="111" customWidth="1"/>
    <col min="2573" max="2573" width="18.28515625" style="111" customWidth="1"/>
    <col min="2574" max="2574" width="8.7109375" style="111" customWidth="1"/>
    <col min="2575" max="2575" width="17.7109375" style="111" customWidth="1"/>
    <col min="2576" max="2576" width="8.7109375" style="111" customWidth="1"/>
    <col min="2577" max="2577" width="17.7109375" style="111" customWidth="1"/>
    <col min="2578" max="2578" width="8.7109375" style="111" customWidth="1"/>
    <col min="2579" max="2579" width="16.42578125" style="111" customWidth="1"/>
    <col min="2580" max="2816" width="12.5703125" style="111"/>
    <col min="2817" max="2817" width="8.42578125" style="111" customWidth="1"/>
    <col min="2818" max="2818" width="14.42578125" style="111" customWidth="1"/>
    <col min="2819" max="2819" width="25.140625" style="111" customWidth="1"/>
    <col min="2820" max="2820" width="10" style="111" customWidth="1"/>
    <col min="2821" max="2821" width="17.7109375" style="111" customWidth="1"/>
    <col min="2822" max="2822" width="8.7109375" style="111" customWidth="1"/>
    <col min="2823" max="2823" width="12.5703125" style="111" customWidth="1"/>
    <col min="2824" max="2824" width="8.7109375" style="111" customWidth="1"/>
    <col min="2825" max="2825" width="16.42578125" style="111" customWidth="1"/>
    <col min="2826" max="2826" width="8.7109375" style="111" customWidth="1"/>
    <col min="2827" max="2827" width="15.140625" style="111" customWidth="1"/>
    <col min="2828" max="2828" width="8.7109375" style="111" customWidth="1"/>
    <col min="2829" max="2829" width="18.28515625" style="111" customWidth="1"/>
    <col min="2830" max="2830" width="8.7109375" style="111" customWidth="1"/>
    <col min="2831" max="2831" width="17.7109375" style="111" customWidth="1"/>
    <col min="2832" max="2832" width="8.7109375" style="111" customWidth="1"/>
    <col min="2833" max="2833" width="17.7109375" style="111" customWidth="1"/>
    <col min="2834" max="2834" width="8.7109375" style="111" customWidth="1"/>
    <col min="2835" max="2835" width="16.42578125" style="111" customWidth="1"/>
    <col min="2836" max="3072" width="12.5703125" style="111"/>
    <col min="3073" max="3073" width="8.42578125" style="111" customWidth="1"/>
    <col min="3074" max="3074" width="14.42578125" style="111" customWidth="1"/>
    <col min="3075" max="3075" width="25.140625" style="111" customWidth="1"/>
    <col min="3076" max="3076" width="10" style="111" customWidth="1"/>
    <col min="3077" max="3077" width="17.7109375" style="111" customWidth="1"/>
    <col min="3078" max="3078" width="8.7109375" style="111" customWidth="1"/>
    <col min="3079" max="3079" width="12.5703125" style="111" customWidth="1"/>
    <col min="3080" max="3080" width="8.7109375" style="111" customWidth="1"/>
    <col min="3081" max="3081" width="16.42578125" style="111" customWidth="1"/>
    <col min="3082" max="3082" width="8.7109375" style="111" customWidth="1"/>
    <col min="3083" max="3083" width="15.140625" style="111" customWidth="1"/>
    <col min="3084" max="3084" width="8.7109375" style="111" customWidth="1"/>
    <col min="3085" max="3085" width="18.28515625" style="111" customWidth="1"/>
    <col min="3086" max="3086" width="8.7109375" style="111" customWidth="1"/>
    <col min="3087" max="3087" width="17.7109375" style="111" customWidth="1"/>
    <col min="3088" max="3088" width="8.7109375" style="111" customWidth="1"/>
    <col min="3089" max="3089" width="17.7109375" style="111" customWidth="1"/>
    <col min="3090" max="3090" width="8.7109375" style="111" customWidth="1"/>
    <col min="3091" max="3091" width="16.42578125" style="111" customWidth="1"/>
    <col min="3092" max="3328" width="12.5703125" style="111"/>
    <col min="3329" max="3329" width="8.42578125" style="111" customWidth="1"/>
    <col min="3330" max="3330" width="14.42578125" style="111" customWidth="1"/>
    <col min="3331" max="3331" width="25.140625" style="111" customWidth="1"/>
    <col min="3332" max="3332" width="10" style="111" customWidth="1"/>
    <col min="3333" max="3333" width="17.7109375" style="111" customWidth="1"/>
    <col min="3334" max="3334" width="8.7109375" style="111" customWidth="1"/>
    <col min="3335" max="3335" width="12.5703125" style="111" customWidth="1"/>
    <col min="3336" max="3336" width="8.7109375" style="111" customWidth="1"/>
    <col min="3337" max="3337" width="16.42578125" style="111" customWidth="1"/>
    <col min="3338" max="3338" width="8.7109375" style="111" customWidth="1"/>
    <col min="3339" max="3339" width="15.140625" style="111" customWidth="1"/>
    <col min="3340" max="3340" width="8.7109375" style="111" customWidth="1"/>
    <col min="3341" max="3341" width="18.28515625" style="111" customWidth="1"/>
    <col min="3342" max="3342" width="8.7109375" style="111" customWidth="1"/>
    <col min="3343" max="3343" width="17.7109375" style="111" customWidth="1"/>
    <col min="3344" max="3344" width="8.7109375" style="111" customWidth="1"/>
    <col min="3345" max="3345" width="17.7109375" style="111" customWidth="1"/>
    <col min="3346" max="3346" width="8.7109375" style="111" customWidth="1"/>
    <col min="3347" max="3347" width="16.42578125" style="111" customWidth="1"/>
    <col min="3348" max="3584" width="12.5703125" style="111"/>
    <col min="3585" max="3585" width="8.42578125" style="111" customWidth="1"/>
    <col min="3586" max="3586" width="14.42578125" style="111" customWidth="1"/>
    <col min="3587" max="3587" width="25.140625" style="111" customWidth="1"/>
    <col min="3588" max="3588" width="10" style="111" customWidth="1"/>
    <col min="3589" max="3589" width="17.7109375" style="111" customWidth="1"/>
    <col min="3590" max="3590" width="8.7109375" style="111" customWidth="1"/>
    <col min="3591" max="3591" width="12.5703125" style="111" customWidth="1"/>
    <col min="3592" max="3592" width="8.7109375" style="111" customWidth="1"/>
    <col min="3593" max="3593" width="16.42578125" style="111" customWidth="1"/>
    <col min="3594" max="3594" width="8.7109375" style="111" customWidth="1"/>
    <col min="3595" max="3595" width="15.140625" style="111" customWidth="1"/>
    <col min="3596" max="3596" width="8.7109375" style="111" customWidth="1"/>
    <col min="3597" max="3597" width="18.28515625" style="111" customWidth="1"/>
    <col min="3598" max="3598" width="8.7109375" style="111" customWidth="1"/>
    <col min="3599" max="3599" width="17.7109375" style="111" customWidth="1"/>
    <col min="3600" max="3600" width="8.7109375" style="111" customWidth="1"/>
    <col min="3601" max="3601" width="17.7109375" style="111" customWidth="1"/>
    <col min="3602" max="3602" width="8.7109375" style="111" customWidth="1"/>
    <col min="3603" max="3603" width="16.42578125" style="111" customWidth="1"/>
    <col min="3604" max="3840" width="12.5703125" style="111"/>
    <col min="3841" max="3841" width="8.42578125" style="111" customWidth="1"/>
    <col min="3842" max="3842" width="14.42578125" style="111" customWidth="1"/>
    <col min="3843" max="3843" width="25.140625" style="111" customWidth="1"/>
    <col min="3844" max="3844" width="10" style="111" customWidth="1"/>
    <col min="3845" max="3845" width="17.7109375" style="111" customWidth="1"/>
    <col min="3846" max="3846" width="8.7109375" style="111" customWidth="1"/>
    <col min="3847" max="3847" width="12.5703125" style="111" customWidth="1"/>
    <col min="3848" max="3848" width="8.7109375" style="111" customWidth="1"/>
    <col min="3849" max="3849" width="16.42578125" style="111" customWidth="1"/>
    <col min="3850" max="3850" width="8.7109375" style="111" customWidth="1"/>
    <col min="3851" max="3851" width="15.140625" style="111" customWidth="1"/>
    <col min="3852" max="3852" width="8.7109375" style="111" customWidth="1"/>
    <col min="3853" max="3853" width="18.28515625" style="111" customWidth="1"/>
    <col min="3854" max="3854" width="8.7109375" style="111" customWidth="1"/>
    <col min="3855" max="3855" width="17.7109375" style="111" customWidth="1"/>
    <col min="3856" max="3856" width="8.7109375" style="111" customWidth="1"/>
    <col min="3857" max="3857" width="17.7109375" style="111" customWidth="1"/>
    <col min="3858" max="3858" width="8.7109375" style="111" customWidth="1"/>
    <col min="3859" max="3859" width="16.42578125" style="111" customWidth="1"/>
    <col min="3860" max="4096" width="12.5703125" style="111"/>
    <col min="4097" max="4097" width="8.42578125" style="111" customWidth="1"/>
    <col min="4098" max="4098" width="14.42578125" style="111" customWidth="1"/>
    <col min="4099" max="4099" width="25.140625" style="111" customWidth="1"/>
    <col min="4100" max="4100" width="10" style="111" customWidth="1"/>
    <col min="4101" max="4101" width="17.7109375" style="111" customWidth="1"/>
    <col min="4102" max="4102" width="8.7109375" style="111" customWidth="1"/>
    <col min="4103" max="4103" width="12.5703125" style="111" customWidth="1"/>
    <col min="4104" max="4104" width="8.7109375" style="111" customWidth="1"/>
    <col min="4105" max="4105" width="16.42578125" style="111" customWidth="1"/>
    <col min="4106" max="4106" width="8.7109375" style="111" customWidth="1"/>
    <col min="4107" max="4107" width="15.140625" style="111" customWidth="1"/>
    <col min="4108" max="4108" width="8.7109375" style="111" customWidth="1"/>
    <col min="4109" max="4109" width="18.28515625" style="111" customWidth="1"/>
    <col min="4110" max="4110" width="8.7109375" style="111" customWidth="1"/>
    <col min="4111" max="4111" width="17.7109375" style="111" customWidth="1"/>
    <col min="4112" max="4112" width="8.7109375" style="111" customWidth="1"/>
    <col min="4113" max="4113" width="17.7109375" style="111" customWidth="1"/>
    <col min="4114" max="4114" width="8.7109375" style="111" customWidth="1"/>
    <col min="4115" max="4115" width="16.42578125" style="111" customWidth="1"/>
    <col min="4116" max="4352" width="12.5703125" style="111"/>
    <col min="4353" max="4353" width="8.42578125" style="111" customWidth="1"/>
    <col min="4354" max="4354" width="14.42578125" style="111" customWidth="1"/>
    <col min="4355" max="4355" width="25.140625" style="111" customWidth="1"/>
    <col min="4356" max="4356" width="10" style="111" customWidth="1"/>
    <col min="4357" max="4357" width="17.7109375" style="111" customWidth="1"/>
    <col min="4358" max="4358" width="8.7109375" style="111" customWidth="1"/>
    <col min="4359" max="4359" width="12.5703125" style="111" customWidth="1"/>
    <col min="4360" max="4360" width="8.7109375" style="111" customWidth="1"/>
    <col min="4361" max="4361" width="16.42578125" style="111" customWidth="1"/>
    <col min="4362" max="4362" width="8.7109375" style="111" customWidth="1"/>
    <col min="4363" max="4363" width="15.140625" style="111" customWidth="1"/>
    <col min="4364" max="4364" width="8.7109375" style="111" customWidth="1"/>
    <col min="4365" max="4365" width="18.28515625" style="111" customWidth="1"/>
    <col min="4366" max="4366" width="8.7109375" style="111" customWidth="1"/>
    <col min="4367" max="4367" width="17.7109375" style="111" customWidth="1"/>
    <col min="4368" max="4368" width="8.7109375" style="111" customWidth="1"/>
    <col min="4369" max="4369" width="17.7109375" style="111" customWidth="1"/>
    <col min="4370" max="4370" width="8.7109375" style="111" customWidth="1"/>
    <col min="4371" max="4371" width="16.42578125" style="111" customWidth="1"/>
    <col min="4372" max="4608" width="12.5703125" style="111"/>
    <col min="4609" max="4609" width="8.42578125" style="111" customWidth="1"/>
    <col min="4610" max="4610" width="14.42578125" style="111" customWidth="1"/>
    <col min="4611" max="4611" width="25.140625" style="111" customWidth="1"/>
    <col min="4612" max="4612" width="10" style="111" customWidth="1"/>
    <col min="4613" max="4613" width="17.7109375" style="111" customWidth="1"/>
    <col min="4614" max="4614" width="8.7109375" style="111" customWidth="1"/>
    <col min="4615" max="4615" width="12.5703125" style="111" customWidth="1"/>
    <col min="4616" max="4616" width="8.7109375" style="111" customWidth="1"/>
    <col min="4617" max="4617" width="16.42578125" style="111" customWidth="1"/>
    <col min="4618" max="4618" width="8.7109375" style="111" customWidth="1"/>
    <col min="4619" max="4619" width="15.140625" style="111" customWidth="1"/>
    <col min="4620" max="4620" width="8.7109375" style="111" customWidth="1"/>
    <col min="4621" max="4621" width="18.28515625" style="111" customWidth="1"/>
    <col min="4622" max="4622" width="8.7109375" style="111" customWidth="1"/>
    <col min="4623" max="4623" width="17.7109375" style="111" customWidth="1"/>
    <col min="4624" max="4624" width="8.7109375" style="111" customWidth="1"/>
    <col min="4625" max="4625" width="17.7109375" style="111" customWidth="1"/>
    <col min="4626" max="4626" width="8.7109375" style="111" customWidth="1"/>
    <col min="4627" max="4627" width="16.42578125" style="111" customWidth="1"/>
    <col min="4628" max="4864" width="12.5703125" style="111"/>
    <col min="4865" max="4865" width="8.42578125" style="111" customWidth="1"/>
    <col min="4866" max="4866" width="14.42578125" style="111" customWidth="1"/>
    <col min="4867" max="4867" width="25.140625" style="111" customWidth="1"/>
    <col min="4868" max="4868" width="10" style="111" customWidth="1"/>
    <col min="4869" max="4869" width="17.7109375" style="111" customWidth="1"/>
    <col min="4870" max="4870" width="8.7109375" style="111" customWidth="1"/>
    <col min="4871" max="4871" width="12.5703125" style="111" customWidth="1"/>
    <col min="4872" max="4872" width="8.7109375" style="111" customWidth="1"/>
    <col min="4873" max="4873" width="16.42578125" style="111" customWidth="1"/>
    <col min="4874" max="4874" width="8.7109375" style="111" customWidth="1"/>
    <col min="4875" max="4875" width="15.140625" style="111" customWidth="1"/>
    <col min="4876" max="4876" width="8.7109375" style="111" customWidth="1"/>
    <col min="4877" max="4877" width="18.28515625" style="111" customWidth="1"/>
    <col min="4878" max="4878" width="8.7109375" style="111" customWidth="1"/>
    <col min="4879" max="4879" width="17.7109375" style="111" customWidth="1"/>
    <col min="4880" max="4880" width="8.7109375" style="111" customWidth="1"/>
    <col min="4881" max="4881" width="17.7109375" style="111" customWidth="1"/>
    <col min="4882" max="4882" width="8.7109375" style="111" customWidth="1"/>
    <col min="4883" max="4883" width="16.42578125" style="111" customWidth="1"/>
    <col min="4884" max="5120" width="12.5703125" style="111"/>
    <col min="5121" max="5121" width="8.42578125" style="111" customWidth="1"/>
    <col min="5122" max="5122" width="14.42578125" style="111" customWidth="1"/>
    <col min="5123" max="5123" width="25.140625" style="111" customWidth="1"/>
    <col min="5124" max="5124" width="10" style="111" customWidth="1"/>
    <col min="5125" max="5125" width="17.7109375" style="111" customWidth="1"/>
    <col min="5126" max="5126" width="8.7109375" style="111" customWidth="1"/>
    <col min="5127" max="5127" width="12.5703125" style="111" customWidth="1"/>
    <col min="5128" max="5128" width="8.7109375" style="111" customWidth="1"/>
    <col min="5129" max="5129" width="16.42578125" style="111" customWidth="1"/>
    <col min="5130" max="5130" width="8.7109375" style="111" customWidth="1"/>
    <col min="5131" max="5131" width="15.140625" style="111" customWidth="1"/>
    <col min="5132" max="5132" width="8.7109375" style="111" customWidth="1"/>
    <col min="5133" max="5133" width="18.28515625" style="111" customWidth="1"/>
    <col min="5134" max="5134" width="8.7109375" style="111" customWidth="1"/>
    <col min="5135" max="5135" width="17.7109375" style="111" customWidth="1"/>
    <col min="5136" max="5136" width="8.7109375" style="111" customWidth="1"/>
    <col min="5137" max="5137" width="17.7109375" style="111" customWidth="1"/>
    <col min="5138" max="5138" width="8.7109375" style="111" customWidth="1"/>
    <col min="5139" max="5139" width="16.42578125" style="111" customWidth="1"/>
    <col min="5140" max="5376" width="12.5703125" style="111"/>
    <col min="5377" max="5377" width="8.42578125" style="111" customWidth="1"/>
    <col min="5378" max="5378" width="14.42578125" style="111" customWidth="1"/>
    <col min="5379" max="5379" width="25.140625" style="111" customWidth="1"/>
    <col min="5380" max="5380" width="10" style="111" customWidth="1"/>
    <col min="5381" max="5381" width="17.7109375" style="111" customWidth="1"/>
    <col min="5382" max="5382" width="8.7109375" style="111" customWidth="1"/>
    <col min="5383" max="5383" width="12.5703125" style="111" customWidth="1"/>
    <col min="5384" max="5384" width="8.7109375" style="111" customWidth="1"/>
    <col min="5385" max="5385" width="16.42578125" style="111" customWidth="1"/>
    <col min="5386" max="5386" width="8.7109375" style="111" customWidth="1"/>
    <col min="5387" max="5387" width="15.140625" style="111" customWidth="1"/>
    <col min="5388" max="5388" width="8.7109375" style="111" customWidth="1"/>
    <col min="5389" max="5389" width="18.28515625" style="111" customWidth="1"/>
    <col min="5390" max="5390" width="8.7109375" style="111" customWidth="1"/>
    <col min="5391" max="5391" width="17.7109375" style="111" customWidth="1"/>
    <col min="5392" max="5392" width="8.7109375" style="111" customWidth="1"/>
    <col min="5393" max="5393" width="17.7109375" style="111" customWidth="1"/>
    <col min="5394" max="5394" width="8.7109375" style="111" customWidth="1"/>
    <col min="5395" max="5395" width="16.42578125" style="111" customWidth="1"/>
    <col min="5396" max="5632" width="12.5703125" style="111"/>
    <col min="5633" max="5633" width="8.42578125" style="111" customWidth="1"/>
    <col min="5634" max="5634" width="14.42578125" style="111" customWidth="1"/>
    <col min="5635" max="5635" width="25.140625" style="111" customWidth="1"/>
    <col min="5636" max="5636" width="10" style="111" customWidth="1"/>
    <col min="5637" max="5637" width="17.7109375" style="111" customWidth="1"/>
    <col min="5638" max="5638" width="8.7109375" style="111" customWidth="1"/>
    <col min="5639" max="5639" width="12.5703125" style="111" customWidth="1"/>
    <col min="5640" max="5640" width="8.7109375" style="111" customWidth="1"/>
    <col min="5641" max="5641" width="16.42578125" style="111" customWidth="1"/>
    <col min="5642" max="5642" width="8.7109375" style="111" customWidth="1"/>
    <col min="5643" max="5643" width="15.140625" style="111" customWidth="1"/>
    <col min="5644" max="5644" width="8.7109375" style="111" customWidth="1"/>
    <col min="5645" max="5645" width="18.28515625" style="111" customWidth="1"/>
    <col min="5646" max="5646" width="8.7109375" style="111" customWidth="1"/>
    <col min="5647" max="5647" width="17.7109375" style="111" customWidth="1"/>
    <col min="5648" max="5648" width="8.7109375" style="111" customWidth="1"/>
    <col min="5649" max="5649" width="17.7109375" style="111" customWidth="1"/>
    <col min="5650" max="5650" width="8.7109375" style="111" customWidth="1"/>
    <col min="5651" max="5651" width="16.42578125" style="111" customWidth="1"/>
    <col min="5652" max="5888" width="12.5703125" style="111"/>
    <col min="5889" max="5889" width="8.42578125" style="111" customWidth="1"/>
    <col min="5890" max="5890" width="14.42578125" style="111" customWidth="1"/>
    <col min="5891" max="5891" width="25.140625" style="111" customWidth="1"/>
    <col min="5892" max="5892" width="10" style="111" customWidth="1"/>
    <col min="5893" max="5893" width="17.7109375" style="111" customWidth="1"/>
    <col min="5894" max="5894" width="8.7109375" style="111" customWidth="1"/>
    <col min="5895" max="5895" width="12.5703125" style="111" customWidth="1"/>
    <col min="5896" max="5896" width="8.7109375" style="111" customWidth="1"/>
    <col min="5897" max="5897" width="16.42578125" style="111" customWidth="1"/>
    <col min="5898" max="5898" width="8.7109375" style="111" customWidth="1"/>
    <col min="5899" max="5899" width="15.140625" style="111" customWidth="1"/>
    <col min="5900" max="5900" width="8.7109375" style="111" customWidth="1"/>
    <col min="5901" max="5901" width="18.28515625" style="111" customWidth="1"/>
    <col min="5902" max="5902" width="8.7109375" style="111" customWidth="1"/>
    <col min="5903" max="5903" width="17.7109375" style="111" customWidth="1"/>
    <col min="5904" max="5904" width="8.7109375" style="111" customWidth="1"/>
    <col min="5905" max="5905" width="17.7109375" style="111" customWidth="1"/>
    <col min="5906" max="5906" width="8.7109375" style="111" customWidth="1"/>
    <col min="5907" max="5907" width="16.42578125" style="111" customWidth="1"/>
    <col min="5908" max="6144" width="12.5703125" style="111"/>
    <col min="6145" max="6145" width="8.42578125" style="111" customWidth="1"/>
    <col min="6146" max="6146" width="14.42578125" style="111" customWidth="1"/>
    <col min="6147" max="6147" width="25.140625" style="111" customWidth="1"/>
    <col min="6148" max="6148" width="10" style="111" customWidth="1"/>
    <col min="6149" max="6149" width="17.7109375" style="111" customWidth="1"/>
    <col min="6150" max="6150" width="8.7109375" style="111" customWidth="1"/>
    <col min="6151" max="6151" width="12.5703125" style="111" customWidth="1"/>
    <col min="6152" max="6152" width="8.7109375" style="111" customWidth="1"/>
    <col min="6153" max="6153" width="16.42578125" style="111" customWidth="1"/>
    <col min="6154" max="6154" width="8.7109375" style="111" customWidth="1"/>
    <col min="6155" max="6155" width="15.140625" style="111" customWidth="1"/>
    <col min="6156" max="6156" width="8.7109375" style="111" customWidth="1"/>
    <col min="6157" max="6157" width="18.28515625" style="111" customWidth="1"/>
    <col min="6158" max="6158" width="8.7109375" style="111" customWidth="1"/>
    <col min="6159" max="6159" width="17.7109375" style="111" customWidth="1"/>
    <col min="6160" max="6160" width="8.7109375" style="111" customWidth="1"/>
    <col min="6161" max="6161" width="17.7109375" style="111" customWidth="1"/>
    <col min="6162" max="6162" width="8.7109375" style="111" customWidth="1"/>
    <col min="6163" max="6163" width="16.42578125" style="111" customWidth="1"/>
    <col min="6164" max="6400" width="12.5703125" style="111"/>
    <col min="6401" max="6401" width="8.42578125" style="111" customWidth="1"/>
    <col min="6402" max="6402" width="14.42578125" style="111" customWidth="1"/>
    <col min="6403" max="6403" width="25.140625" style="111" customWidth="1"/>
    <col min="6404" max="6404" width="10" style="111" customWidth="1"/>
    <col min="6405" max="6405" width="17.7109375" style="111" customWidth="1"/>
    <col min="6406" max="6406" width="8.7109375" style="111" customWidth="1"/>
    <col min="6407" max="6407" width="12.5703125" style="111" customWidth="1"/>
    <col min="6408" max="6408" width="8.7109375" style="111" customWidth="1"/>
    <col min="6409" max="6409" width="16.42578125" style="111" customWidth="1"/>
    <col min="6410" max="6410" width="8.7109375" style="111" customWidth="1"/>
    <col min="6411" max="6411" width="15.140625" style="111" customWidth="1"/>
    <col min="6412" max="6412" width="8.7109375" style="111" customWidth="1"/>
    <col min="6413" max="6413" width="18.28515625" style="111" customWidth="1"/>
    <col min="6414" max="6414" width="8.7109375" style="111" customWidth="1"/>
    <col min="6415" max="6415" width="17.7109375" style="111" customWidth="1"/>
    <col min="6416" max="6416" width="8.7109375" style="111" customWidth="1"/>
    <col min="6417" max="6417" width="17.7109375" style="111" customWidth="1"/>
    <col min="6418" max="6418" width="8.7109375" style="111" customWidth="1"/>
    <col min="6419" max="6419" width="16.42578125" style="111" customWidth="1"/>
    <col min="6420" max="6656" width="12.5703125" style="111"/>
    <col min="6657" max="6657" width="8.42578125" style="111" customWidth="1"/>
    <col min="6658" max="6658" width="14.42578125" style="111" customWidth="1"/>
    <col min="6659" max="6659" width="25.140625" style="111" customWidth="1"/>
    <col min="6660" max="6660" width="10" style="111" customWidth="1"/>
    <col min="6661" max="6661" width="17.7109375" style="111" customWidth="1"/>
    <col min="6662" max="6662" width="8.7109375" style="111" customWidth="1"/>
    <col min="6663" max="6663" width="12.5703125" style="111" customWidth="1"/>
    <col min="6664" max="6664" width="8.7109375" style="111" customWidth="1"/>
    <col min="6665" max="6665" width="16.42578125" style="111" customWidth="1"/>
    <col min="6666" max="6666" width="8.7109375" style="111" customWidth="1"/>
    <col min="6667" max="6667" width="15.140625" style="111" customWidth="1"/>
    <col min="6668" max="6668" width="8.7109375" style="111" customWidth="1"/>
    <col min="6669" max="6669" width="18.28515625" style="111" customWidth="1"/>
    <col min="6670" max="6670" width="8.7109375" style="111" customWidth="1"/>
    <col min="6671" max="6671" width="17.7109375" style="111" customWidth="1"/>
    <col min="6672" max="6672" width="8.7109375" style="111" customWidth="1"/>
    <col min="6673" max="6673" width="17.7109375" style="111" customWidth="1"/>
    <col min="6674" max="6674" width="8.7109375" style="111" customWidth="1"/>
    <col min="6675" max="6675" width="16.42578125" style="111" customWidth="1"/>
    <col min="6676" max="6912" width="12.5703125" style="111"/>
    <col min="6913" max="6913" width="8.42578125" style="111" customWidth="1"/>
    <col min="6914" max="6914" width="14.42578125" style="111" customWidth="1"/>
    <col min="6915" max="6915" width="25.140625" style="111" customWidth="1"/>
    <col min="6916" max="6916" width="10" style="111" customWidth="1"/>
    <col min="6917" max="6917" width="17.7109375" style="111" customWidth="1"/>
    <col min="6918" max="6918" width="8.7109375" style="111" customWidth="1"/>
    <col min="6919" max="6919" width="12.5703125" style="111" customWidth="1"/>
    <col min="6920" max="6920" width="8.7109375" style="111" customWidth="1"/>
    <col min="6921" max="6921" width="16.42578125" style="111" customWidth="1"/>
    <col min="6922" max="6922" width="8.7109375" style="111" customWidth="1"/>
    <col min="6923" max="6923" width="15.140625" style="111" customWidth="1"/>
    <col min="6924" max="6924" width="8.7109375" style="111" customWidth="1"/>
    <col min="6925" max="6925" width="18.28515625" style="111" customWidth="1"/>
    <col min="6926" max="6926" width="8.7109375" style="111" customWidth="1"/>
    <col min="6927" max="6927" width="17.7109375" style="111" customWidth="1"/>
    <col min="6928" max="6928" width="8.7109375" style="111" customWidth="1"/>
    <col min="6929" max="6929" width="17.7109375" style="111" customWidth="1"/>
    <col min="6930" max="6930" width="8.7109375" style="111" customWidth="1"/>
    <col min="6931" max="6931" width="16.42578125" style="111" customWidth="1"/>
    <col min="6932" max="7168" width="12.5703125" style="111"/>
    <col min="7169" max="7169" width="8.42578125" style="111" customWidth="1"/>
    <col min="7170" max="7170" width="14.42578125" style="111" customWidth="1"/>
    <col min="7171" max="7171" width="25.140625" style="111" customWidth="1"/>
    <col min="7172" max="7172" width="10" style="111" customWidth="1"/>
    <col min="7173" max="7173" width="17.7109375" style="111" customWidth="1"/>
    <col min="7174" max="7174" width="8.7109375" style="111" customWidth="1"/>
    <col min="7175" max="7175" width="12.5703125" style="111" customWidth="1"/>
    <col min="7176" max="7176" width="8.7109375" style="111" customWidth="1"/>
    <col min="7177" max="7177" width="16.42578125" style="111" customWidth="1"/>
    <col min="7178" max="7178" width="8.7109375" style="111" customWidth="1"/>
    <col min="7179" max="7179" width="15.140625" style="111" customWidth="1"/>
    <col min="7180" max="7180" width="8.7109375" style="111" customWidth="1"/>
    <col min="7181" max="7181" width="18.28515625" style="111" customWidth="1"/>
    <col min="7182" max="7182" width="8.7109375" style="111" customWidth="1"/>
    <col min="7183" max="7183" width="17.7109375" style="111" customWidth="1"/>
    <col min="7184" max="7184" width="8.7109375" style="111" customWidth="1"/>
    <col min="7185" max="7185" width="17.7109375" style="111" customWidth="1"/>
    <col min="7186" max="7186" width="8.7109375" style="111" customWidth="1"/>
    <col min="7187" max="7187" width="16.42578125" style="111" customWidth="1"/>
    <col min="7188" max="7424" width="12.5703125" style="111"/>
    <col min="7425" max="7425" width="8.42578125" style="111" customWidth="1"/>
    <col min="7426" max="7426" width="14.42578125" style="111" customWidth="1"/>
    <col min="7427" max="7427" width="25.140625" style="111" customWidth="1"/>
    <col min="7428" max="7428" width="10" style="111" customWidth="1"/>
    <col min="7429" max="7429" width="17.7109375" style="111" customWidth="1"/>
    <col min="7430" max="7430" width="8.7109375" style="111" customWidth="1"/>
    <col min="7431" max="7431" width="12.5703125" style="111" customWidth="1"/>
    <col min="7432" max="7432" width="8.7109375" style="111" customWidth="1"/>
    <col min="7433" max="7433" width="16.42578125" style="111" customWidth="1"/>
    <col min="7434" max="7434" width="8.7109375" style="111" customWidth="1"/>
    <col min="7435" max="7435" width="15.140625" style="111" customWidth="1"/>
    <col min="7436" max="7436" width="8.7109375" style="111" customWidth="1"/>
    <col min="7437" max="7437" width="18.28515625" style="111" customWidth="1"/>
    <col min="7438" max="7438" width="8.7109375" style="111" customWidth="1"/>
    <col min="7439" max="7439" width="17.7109375" style="111" customWidth="1"/>
    <col min="7440" max="7440" width="8.7109375" style="111" customWidth="1"/>
    <col min="7441" max="7441" width="17.7109375" style="111" customWidth="1"/>
    <col min="7442" max="7442" width="8.7109375" style="111" customWidth="1"/>
    <col min="7443" max="7443" width="16.42578125" style="111" customWidth="1"/>
    <col min="7444" max="7680" width="12.5703125" style="111"/>
    <col min="7681" max="7681" width="8.42578125" style="111" customWidth="1"/>
    <col min="7682" max="7682" width="14.42578125" style="111" customWidth="1"/>
    <col min="7683" max="7683" width="25.140625" style="111" customWidth="1"/>
    <col min="7684" max="7684" width="10" style="111" customWidth="1"/>
    <col min="7685" max="7685" width="17.7109375" style="111" customWidth="1"/>
    <col min="7686" max="7686" width="8.7109375" style="111" customWidth="1"/>
    <col min="7687" max="7687" width="12.5703125" style="111" customWidth="1"/>
    <col min="7688" max="7688" width="8.7109375" style="111" customWidth="1"/>
    <col min="7689" max="7689" width="16.42578125" style="111" customWidth="1"/>
    <col min="7690" max="7690" width="8.7109375" style="111" customWidth="1"/>
    <col min="7691" max="7691" width="15.140625" style="111" customWidth="1"/>
    <col min="7692" max="7692" width="8.7109375" style="111" customWidth="1"/>
    <col min="7693" max="7693" width="18.28515625" style="111" customWidth="1"/>
    <col min="7694" max="7694" width="8.7109375" style="111" customWidth="1"/>
    <col min="7695" max="7695" width="17.7109375" style="111" customWidth="1"/>
    <col min="7696" max="7696" width="8.7109375" style="111" customWidth="1"/>
    <col min="7697" max="7697" width="17.7109375" style="111" customWidth="1"/>
    <col min="7698" max="7698" width="8.7109375" style="111" customWidth="1"/>
    <col min="7699" max="7699" width="16.42578125" style="111" customWidth="1"/>
    <col min="7700" max="7936" width="12.5703125" style="111"/>
    <col min="7937" max="7937" width="8.42578125" style="111" customWidth="1"/>
    <col min="7938" max="7938" width="14.42578125" style="111" customWidth="1"/>
    <col min="7939" max="7939" width="25.140625" style="111" customWidth="1"/>
    <col min="7940" max="7940" width="10" style="111" customWidth="1"/>
    <col min="7941" max="7941" width="17.7109375" style="111" customWidth="1"/>
    <col min="7942" max="7942" width="8.7109375" style="111" customWidth="1"/>
    <col min="7943" max="7943" width="12.5703125" style="111" customWidth="1"/>
    <col min="7944" max="7944" width="8.7109375" style="111" customWidth="1"/>
    <col min="7945" max="7945" width="16.42578125" style="111" customWidth="1"/>
    <col min="7946" max="7946" width="8.7109375" style="111" customWidth="1"/>
    <col min="7947" max="7947" width="15.140625" style="111" customWidth="1"/>
    <col min="7948" max="7948" width="8.7109375" style="111" customWidth="1"/>
    <col min="7949" max="7949" width="18.28515625" style="111" customWidth="1"/>
    <col min="7950" max="7950" width="8.7109375" style="111" customWidth="1"/>
    <col min="7951" max="7951" width="17.7109375" style="111" customWidth="1"/>
    <col min="7952" max="7952" width="8.7109375" style="111" customWidth="1"/>
    <col min="7953" max="7953" width="17.7109375" style="111" customWidth="1"/>
    <col min="7954" max="7954" width="8.7109375" style="111" customWidth="1"/>
    <col min="7955" max="7955" width="16.42578125" style="111" customWidth="1"/>
    <col min="7956" max="8192" width="12.5703125" style="111"/>
    <col min="8193" max="8193" width="8.42578125" style="111" customWidth="1"/>
    <col min="8194" max="8194" width="14.42578125" style="111" customWidth="1"/>
    <col min="8195" max="8195" width="25.140625" style="111" customWidth="1"/>
    <col min="8196" max="8196" width="10" style="111" customWidth="1"/>
    <col min="8197" max="8197" width="17.7109375" style="111" customWidth="1"/>
    <col min="8198" max="8198" width="8.7109375" style="111" customWidth="1"/>
    <col min="8199" max="8199" width="12.5703125" style="111" customWidth="1"/>
    <col min="8200" max="8200" width="8.7109375" style="111" customWidth="1"/>
    <col min="8201" max="8201" width="16.42578125" style="111" customWidth="1"/>
    <col min="8202" max="8202" width="8.7109375" style="111" customWidth="1"/>
    <col min="8203" max="8203" width="15.140625" style="111" customWidth="1"/>
    <col min="8204" max="8204" width="8.7109375" style="111" customWidth="1"/>
    <col min="8205" max="8205" width="18.28515625" style="111" customWidth="1"/>
    <col min="8206" max="8206" width="8.7109375" style="111" customWidth="1"/>
    <col min="8207" max="8207" width="17.7109375" style="111" customWidth="1"/>
    <col min="8208" max="8208" width="8.7109375" style="111" customWidth="1"/>
    <col min="8209" max="8209" width="17.7109375" style="111" customWidth="1"/>
    <col min="8210" max="8210" width="8.7109375" style="111" customWidth="1"/>
    <col min="8211" max="8211" width="16.42578125" style="111" customWidth="1"/>
    <col min="8212" max="8448" width="12.5703125" style="111"/>
    <col min="8449" max="8449" width="8.42578125" style="111" customWidth="1"/>
    <col min="8450" max="8450" width="14.42578125" style="111" customWidth="1"/>
    <col min="8451" max="8451" width="25.140625" style="111" customWidth="1"/>
    <col min="8452" max="8452" width="10" style="111" customWidth="1"/>
    <col min="8453" max="8453" width="17.7109375" style="111" customWidth="1"/>
    <col min="8454" max="8454" width="8.7109375" style="111" customWidth="1"/>
    <col min="8455" max="8455" width="12.5703125" style="111" customWidth="1"/>
    <col min="8456" max="8456" width="8.7109375" style="111" customWidth="1"/>
    <col min="8457" max="8457" width="16.42578125" style="111" customWidth="1"/>
    <col min="8458" max="8458" width="8.7109375" style="111" customWidth="1"/>
    <col min="8459" max="8459" width="15.140625" style="111" customWidth="1"/>
    <col min="8460" max="8460" width="8.7109375" style="111" customWidth="1"/>
    <col min="8461" max="8461" width="18.28515625" style="111" customWidth="1"/>
    <col min="8462" max="8462" width="8.7109375" style="111" customWidth="1"/>
    <col min="8463" max="8463" width="17.7109375" style="111" customWidth="1"/>
    <col min="8464" max="8464" width="8.7109375" style="111" customWidth="1"/>
    <col min="8465" max="8465" width="17.7109375" style="111" customWidth="1"/>
    <col min="8466" max="8466" width="8.7109375" style="111" customWidth="1"/>
    <col min="8467" max="8467" width="16.42578125" style="111" customWidth="1"/>
    <col min="8468" max="8704" width="12.5703125" style="111"/>
    <col min="8705" max="8705" width="8.42578125" style="111" customWidth="1"/>
    <col min="8706" max="8706" width="14.42578125" style="111" customWidth="1"/>
    <col min="8707" max="8707" width="25.140625" style="111" customWidth="1"/>
    <col min="8708" max="8708" width="10" style="111" customWidth="1"/>
    <col min="8709" max="8709" width="17.7109375" style="111" customWidth="1"/>
    <col min="8710" max="8710" width="8.7109375" style="111" customWidth="1"/>
    <col min="8711" max="8711" width="12.5703125" style="111" customWidth="1"/>
    <col min="8712" max="8712" width="8.7109375" style="111" customWidth="1"/>
    <col min="8713" max="8713" width="16.42578125" style="111" customWidth="1"/>
    <col min="8714" max="8714" width="8.7109375" style="111" customWidth="1"/>
    <col min="8715" max="8715" width="15.140625" style="111" customWidth="1"/>
    <col min="8716" max="8716" width="8.7109375" style="111" customWidth="1"/>
    <col min="8717" max="8717" width="18.28515625" style="111" customWidth="1"/>
    <col min="8718" max="8718" width="8.7109375" style="111" customWidth="1"/>
    <col min="8719" max="8719" width="17.7109375" style="111" customWidth="1"/>
    <col min="8720" max="8720" width="8.7109375" style="111" customWidth="1"/>
    <col min="8721" max="8721" width="17.7109375" style="111" customWidth="1"/>
    <col min="8722" max="8722" width="8.7109375" style="111" customWidth="1"/>
    <col min="8723" max="8723" width="16.42578125" style="111" customWidth="1"/>
    <col min="8724" max="8960" width="12.5703125" style="111"/>
    <col min="8961" max="8961" width="8.42578125" style="111" customWidth="1"/>
    <col min="8962" max="8962" width="14.42578125" style="111" customWidth="1"/>
    <col min="8963" max="8963" width="25.140625" style="111" customWidth="1"/>
    <col min="8964" max="8964" width="10" style="111" customWidth="1"/>
    <col min="8965" max="8965" width="17.7109375" style="111" customWidth="1"/>
    <col min="8966" max="8966" width="8.7109375" style="111" customWidth="1"/>
    <col min="8967" max="8967" width="12.5703125" style="111" customWidth="1"/>
    <col min="8968" max="8968" width="8.7109375" style="111" customWidth="1"/>
    <col min="8969" max="8969" width="16.42578125" style="111" customWidth="1"/>
    <col min="8970" max="8970" width="8.7109375" style="111" customWidth="1"/>
    <col min="8971" max="8971" width="15.140625" style="111" customWidth="1"/>
    <col min="8972" max="8972" width="8.7109375" style="111" customWidth="1"/>
    <col min="8973" max="8973" width="18.28515625" style="111" customWidth="1"/>
    <col min="8974" max="8974" width="8.7109375" style="111" customWidth="1"/>
    <col min="8975" max="8975" width="17.7109375" style="111" customWidth="1"/>
    <col min="8976" max="8976" width="8.7109375" style="111" customWidth="1"/>
    <col min="8977" max="8977" width="17.7109375" style="111" customWidth="1"/>
    <col min="8978" max="8978" width="8.7109375" style="111" customWidth="1"/>
    <col min="8979" max="8979" width="16.42578125" style="111" customWidth="1"/>
    <col min="8980" max="9216" width="12.5703125" style="111"/>
    <col min="9217" max="9217" width="8.42578125" style="111" customWidth="1"/>
    <col min="9218" max="9218" width="14.42578125" style="111" customWidth="1"/>
    <col min="9219" max="9219" width="25.140625" style="111" customWidth="1"/>
    <col min="9220" max="9220" width="10" style="111" customWidth="1"/>
    <col min="9221" max="9221" width="17.7109375" style="111" customWidth="1"/>
    <col min="9222" max="9222" width="8.7109375" style="111" customWidth="1"/>
    <col min="9223" max="9223" width="12.5703125" style="111" customWidth="1"/>
    <col min="9224" max="9224" width="8.7109375" style="111" customWidth="1"/>
    <col min="9225" max="9225" width="16.42578125" style="111" customWidth="1"/>
    <col min="9226" max="9226" width="8.7109375" style="111" customWidth="1"/>
    <col min="9227" max="9227" width="15.140625" style="111" customWidth="1"/>
    <col min="9228" max="9228" width="8.7109375" style="111" customWidth="1"/>
    <col min="9229" max="9229" width="18.28515625" style="111" customWidth="1"/>
    <col min="9230" max="9230" width="8.7109375" style="111" customWidth="1"/>
    <col min="9231" max="9231" width="17.7109375" style="111" customWidth="1"/>
    <col min="9232" max="9232" width="8.7109375" style="111" customWidth="1"/>
    <col min="9233" max="9233" width="17.7109375" style="111" customWidth="1"/>
    <col min="9234" max="9234" width="8.7109375" style="111" customWidth="1"/>
    <col min="9235" max="9235" width="16.42578125" style="111" customWidth="1"/>
    <col min="9236" max="9472" width="12.5703125" style="111"/>
    <col min="9473" max="9473" width="8.42578125" style="111" customWidth="1"/>
    <col min="9474" max="9474" width="14.42578125" style="111" customWidth="1"/>
    <col min="9475" max="9475" width="25.140625" style="111" customWidth="1"/>
    <col min="9476" max="9476" width="10" style="111" customWidth="1"/>
    <col min="9477" max="9477" width="17.7109375" style="111" customWidth="1"/>
    <col min="9478" max="9478" width="8.7109375" style="111" customWidth="1"/>
    <col min="9479" max="9479" width="12.5703125" style="111" customWidth="1"/>
    <col min="9480" max="9480" width="8.7109375" style="111" customWidth="1"/>
    <col min="9481" max="9481" width="16.42578125" style="111" customWidth="1"/>
    <col min="9482" max="9482" width="8.7109375" style="111" customWidth="1"/>
    <col min="9483" max="9483" width="15.140625" style="111" customWidth="1"/>
    <col min="9484" max="9484" width="8.7109375" style="111" customWidth="1"/>
    <col min="9485" max="9485" width="18.28515625" style="111" customWidth="1"/>
    <col min="9486" max="9486" width="8.7109375" style="111" customWidth="1"/>
    <col min="9487" max="9487" width="17.7109375" style="111" customWidth="1"/>
    <col min="9488" max="9488" width="8.7109375" style="111" customWidth="1"/>
    <col min="9489" max="9489" width="17.7109375" style="111" customWidth="1"/>
    <col min="9490" max="9490" width="8.7109375" style="111" customWidth="1"/>
    <col min="9491" max="9491" width="16.42578125" style="111" customWidth="1"/>
    <col min="9492" max="9728" width="12.5703125" style="111"/>
    <col min="9729" max="9729" width="8.42578125" style="111" customWidth="1"/>
    <col min="9730" max="9730" width="14.42578125" style="111" customWidth="1"/>
    <col min="9731" max="9731" width="25.140625" style="111" customWidth="1"/>
    <col min="9732" max="9732" width="10" style="111" customWidth="1"/>
    <col min="9733" max="9733" width="17.7109375" style="111" customWidth="1"/>
    <col min="9734" max="9734" width="8.7109375" style="111" customWidth="1"/>
    <col min="9735" max="9735" width="12.5703125" style="111" customWidth="1"/>
    <col min="9736" max="9736" width="8.7109375" style="111" customWidth="1"/>
    <col min="9737" max="9737" width="16.42578125" style="111" customWidth="1"/>
    <col min="9738" max="9738" width="8.7109375" style="111" customWidth="1"/>
    <col min="9739" max="9739" width="15.140625" style="111" customWidth="1"/>
    <col min="9740" max="9740" width="8.7109375" style="111" customWidth="1"/>
    <col min="9741" max="9741" width="18.28515625" style="111" customWidth="1"/>
    <col min="9742" max="9742" width="8.7109375" style="111" customWidth="1"/>
    <col min="9743" max="9743" width="17.7109375" style="111" customWidth="1"/>
    <col min="9744" max="9744" width="8.7109375" style="111" customWidth="1"/>
    <col min="9745" max="9745" width="17.7109375" style="111" customWidth="1"/>
    <col min="9746" max="9746" width="8.7109375" style="111" customWidth="1"/>
    <col min="9747" max="9747" width="16.42578125" style="111" customWidth="1"/>
    <col min="9748" max="9984" width="12.5703125" style="111"/>
    <col min="9985" max="9985" width="8.42578125" style="111" customWidth="1"/>
    <col min="9986" max="9986" width="14.42578125" style="111" customWidth="1"/>
    <col min="9987" max="9987" width="25.140625" style="111" customWidth="1"/>
    <col min="9988" max="9988" width="10" style="111" customWidth="1"/>
    <col min="9989" max="9989" width="17.7109375" style="111" customWidth="1"/>
    <col min="9990" max="9990" width="8.7109375" style="111" customWidth="1"/>
    <col min="9991" max="9991" width="12.5703125" style="111" customWidth="1"/>
    <col min="9992" max="9992" width="8.7109375" style="111" customWidth="1"/>
    <col min="9993" max="9993" width="16.42578125" style="111" customWidth="1"/>
    <col min="9994" max="9994" width="8.7109375" style="111" customWidth="1"/>
    <col min="9995" max="9995" width="15.140625" style="111" customWidth="1"/>
    <col min="9996" max="9996" width="8.7109375" style="111" customWidth="1"/>
    <col min="9997" max="9997" width="18.28515625" style="111" customWidth="1"/>
    <col min="9998" max="9998" width="8.7109375" style="111" customWidth="1"/>
    <col min="9999" max="9999" width="17.7109375" style="111" customWidth="1"/>
    <col min="10000" max="10000" width="8.7109375" style="111" customWidth="1"/>
    <col min="10001" max="10001" width="17.7109375" style="111" customWidth="1"/>
    <col min="10002" max="10002" width="8.7109375" style="111" customWidth="1"/>
    <col min="10003" max="10003" width="16.42578125" style="111" customWidth="1"/>
    <col min="10004" max="10240" width="12.5703125" style="111"/>
    <col min="10241" max="10241" width="8.42578125" style="111" customWidth="1"/>
    <col min="10242" max="10242" width="14.42578125" style="111" customWidth="1"/>
    <col min="10243" max="10243" width="25.140625" style="111" customWidth="1"/>
    <col min="10244" max="10244" width="10" style="111" customWidth="1"/>
    <col min="10245" max="10245" width="17.7109375" style="111" customWidth="1"/>
    <col min="10246" max="10246" width="8.7109375" style="111" customWidth="1"/>
    <col min="10247" max="10247" width="12.5703125" style="111" customWidth="1"/>
    <col min="10248" max="10248" width="8.7109375" style="111" customWidth="1"/>
    <col min="10249" max="10249" width="16.42578125" style="111" customWidth="1"/>
    <col min="10250" max="10250" width="8.7109375" style="111" customWidth="1"/>
    <col min="10251" max="10251" width="15.140625" style="111" customWidth="1"/>
    <col min="10252" max="10252" width="8.7109375" style="111" customWidth="1"/>
    <col min="10253" max="10253" width="18.28515625" style="111" customWidth="1"/>
    <col min="10254" max="10254" width="8.7109375" style="111" customWidth="1"/>
    <col min="10255" max="10255" width="17.7109375" style="111" customWidth="1"/>
    <col min="10256" max="10256" width="8.7109375" style="111" customWidth="1"/>
    <col min="10257" max="10257" width="17.7109375" style="111" customWidth="1"/>
    <col min="10258" max="10258" width="8.7109375" style="111" customWidth="1"/>
    <col min="10259" max="10259" width="16.42578125" style="111" customWidth="1"/>
    <col min="10260" max="10496" width="12.5703125" style="111"/>
    <col min="10497" max="10497" width="8.42578125" style="111" customWidth="1"/>
    <col min="10498" max="10498" width="14.42578125" style="111" customWidth="1"/>
    <col min="10499" max="10499" width="25.140625" style="111" customWidth="1"/>
    <col min="10500" max="10500" width="10" style="111" customWidth="1"/>
    <col min="10501" max="10501" width="17.7109375" style="111" customWidth="1"/>
    <col min="10502" max="10502" width="8.7109375" style="111" customWidth="1"/>
    <col min="10503" max="10503" width="12.5703125" style="111" customWidth="1"/>
    <col min="10504" max="10504" width="8.7109375" style="111" customWidth="1"/>
    <col min="10505" max="10505" width="16.42578125" style="111" customWidth="1"/>
    <col min="10506" max="10506" width="8.7109375" style="111" customWidth="1"/>
    <col min="10507" max="10507" width="15.140625" style="111" customWidth="1"/>
    <col min="10508" max="10508" width="8.7109375" style="111" customWidth="1"/>
    <col min="10509" max="10509" width="18.28515625" style="111" customWidth="1"/>
    <col min="10510" max="10510" width="8.7109375" style="111" customWidth="1"/>
    <col min="10511" max="10511" width="17.7109375" style="111" customWidth="1"/>
    <col min="10512" max="10512" width="8.7109375" style="111" customWidth="1"/>
    <col min="10513" max="10513" width="17.7109375" style="111" customWidth="1"/>
    <col min="10514" max="10514" width="8.7109375" style="111" customWidth="1"/>
    <col min="10515" max="10515" width="16.42578125" style="111" customWidth="1"/>
    <col min="10516" max="10752" width="12.5703125" style="111"/>
    <col min="10753" max="10753" width="8.42578125" style="111" customWidth="1"/>
    <col min="10754" max="10754" width="14.42578125" style="111" customWidth="1"/>
    <col min="10755" max="10755" width="25.140625" style="111" customWidth="1"/>
    <col min="10756" max="10756" width="10" style="111" customWidth="1"/>
    <col min="10757" max="10757" width="17.7109375" style="111" customWidth="1"/>
    <col min="10758" max="10758" width="8.7109375" style="111" customWidth="1"/>
    <col min="10759" max="10759" width="12.5703125" style="111" customWidth="1"/>
    <col min="10760" max="10760" width="8.7109375" style="111" customWidth="1"/>
    <col min="10761" max="10761" width="16.42578125" style="111" customWidth="1"/>
    <col min="10762" max="10762" width="8.7109375" style="111" customWidth="1"/>
    <col min="10763" max="10763" width="15.140625" style="111" customWidth="1"/>
    <col min="10764" max="10764" width="8.7109375" style="111" customWidth="1"/>
    <col min="10765" max="10765" width="18.28515625" style="111" customWidth="1"/>
    <col min="10766" max="10766" width="8.7109375" style="111" customWidth="1"/>
    <col min="10767" max="10767" width="17.7109375" style="111" customWidth="1"/>
    <col min="10768" max="10768" width="8.7109375" style="111" customWidth="1"/>
    <col min="10769" max="10769" width="17.7109375" style="111" customWidth="1"/>
    <col min="10770" max="10770" width="8.7109375" style="111" customWidth="1"/>
    <col min="10771" max="10771" width="16.42578125" style="111" customWidth="1"/>
    <col min="10772" max="11008" width="12.5703125" style="111"/>
    <col min="11009" max="11009" width="8.42578125" style="111" customWidth="1"/>
    <col min="11010" max="11010" width="14.42578125" style="111" customWidth="1"/>
    <col min="11011" max="11011" width="25.140625" style="111" customWidth="1"/>
    <col min="11012" max="11012" width="10" style="111" customWidth="1"/>
    <col min="11013" max="11013" width="17.7109375" style="111" customWidth="1"/>
    <col min="11014" max="11014" width="8.7109375" style="111" customWidth="1"/>
    <col min="11015" max="11015" width="12.5703125" style="111" customWidth="1"/>
    <col min="11016" max="11016" width="8.7109375" style="111" customWidth="1"/>
    <col min="11017" max="11017" width="16.42578125" style="111" customWidth="1"/>
    <col min="11018" max="11018" width="8.7109375" style="111" customWidth="1"/>
    <col min="11019" max="11019" width="15.140625" style="111" customWidth="1"/>
    <col min="11020" max="11020" width="8.7109375" style="111" customWidth="1"/>
    <col min="11021" max="11021" width="18.28515625" style="111" customWidth="1"/>
    <col min="11022" max="11022" width="8.7109375" style="111" customWidth="1"/>
    <col min="11023" max="11023" width="17.7109375" style="111" customWidth="1"/>
    <col min="11024" max="11024" width="8.7109375" style="111" customWidth="1"/>
    <col min="11025" max="11025" width="17.7109375" style="111" customWidth="1"/>
    <col min="11026" max="11026" width="8.7109375" style="111" customWidth="1"/>
    <col min="11027" max="11027" width="16.42578125" style="111" customWidth="1"/>
    <col min="11028" max="11264" width="12.5703125" style="111"/>
    <col min="11265" max="11265" width="8.42578125" style="111" customWidth="1"/>
    <col min="11266" max="11266" width="14.42578125" style="111" customWidth="1"/>
    <col min="11267" max="11267" width="25.140625" style="111" customWidth="1"/>
    <col min="11268" max="11268" width="10" style="111" customWidth="1"/>
    <col min="11269" max="11269" width="17.7109375" style="111" customWidth="1"/>
    <col min="11270" max="11270" width="8.7109375" style="111" customWidth="1"/>
    <col min="11271" max="11271" width="12.5703125" style="111" customWidth="1"/>
    <col min="11272" max="11272" width="8.7109375" style="111" customWidth="1"/>
    <col min="11273" max="11273" width="16.42578125" style="111" customWidth="1"/>
    <col min="11274" max="11274" width="8.7109375" style="111" customWidth="1"/>
    <col min="11275" max="11275" width="15.140625" style="111" customWidth="1"/>
    <col min="11276" max="11276" width="8.7109375" style="111" customWidth="1"/>
    <col min="11277" max="11277" width="18.28515625" style="111" customWidth="1"/>
    <col min="11278" max="11278" width="8.7109375" style="111" customWidth="1"/>
    <col min="11279" max="11279" width="17.7109375" style="111" customWidth="1"/>
    <col min="11280" max="11280" width="8.7109375" style="111" customWidth="1"/>
    <col min="11281" max="11281" width="17.7109375" style="111" customWidth="1"/>
    <col min="11282" max="11282" width="8.7109375" style="111" customWidth="1"/>
    <col min="11283" max="11283" width="16.42578125" style="111" customWidth="1"/>
    <col min="11284" max="11520" width="12.5703125" style="111"/>
    <col min="11521" max="11521" width="8.42578125" style="111" customWidth="1"/>
    <col min="11522" max="11522" width="14.42578125" style="111" customWidth="1"/>
    <col min="11523" max="11523" width="25.140625" style="111" customWidth="1"/>
    <col min="11524" max="11524" width="10" style="111" customWidth="1"/>
    <col min="11525" max="11525" width="17.7109375" style="111" customWidth="1"/>
    <col min="11526" max="11526" width="8.7109375" style="111" customWidth="1"/>
    <col min="11527" max="11527" width="12.5703125" style="111" customWidth="1"/>
    <col min="11528" max="11528" width="8.7109375" style="111" customWidth="1"/>
    <col min="11529" max="11529" width="16.42578125" style="111" customWidth="1"/>
    <col min="11530" max="11530" width="8.7109375" style="111" customWidth="1"/>
    <col min="11531" max="11531" width="15.140625" style="111" customWidth="1"/>
    <col min="11532" max="11532" width="8.7109375" style="111" customWidth="1"/>
    <col min="11533" max="11533" width="18.28515625" style="111" customWidth="1"/>
    <col min="11534" max="11534" width="8.7109375" style="111" customWidth="1"/>
    <col min="11535" max="11535" width="17.7109375" style="111" customWidth="1"/>
    <col min="11536" max="11536" width="8.7109375" style="111" customWidth="1"/>
    <col min="11537" max="11537" width="17.7109375" style="111" customWidth="1"/>
    <col min="11538" max="11538" width="8.7109375" style="111" customWidth="1"/>
    <col min="11539" max="11539" width="16.42578125" style="111" customWidth="1"/>
    <col min="11540" max="11776" width="12.5703125" style="111"/>
    <col min="11777" max="11777" width="8.42578125" style="111" customWidth="1"/>
    <col min="11778" max="11778" width="14.42578125" style="111" customWidth="1"/>
    <col min="11779" max="11779" width="25.140625" style="111" customWidth="1"/>
    <col min="11780" max="11780" width="10" style="111" customWidth="1"/>
    <col min="11781" max="11781" width="17.7109375" style="111" customWidth="1"/>
    <col min="11782" max="11782" width="8.7109375" style="111" customWidth="1"/>
    <col min="11783" max="11783" width="12.5703125" style="111" customWidth="1"/>
    <col min="11784" max="11784" width="8.7109375" style="111" customWidth="1"/>
    <col min="11785" max="11785" width="16.42578125" style="111" customWidth="1"/>
    <col min="11786" max="11786" width="8.7109375" style="111" customWidth="1"/>
    <col min="11787" max="11787" width="15.140625" style="111" customWidth="1"/>
    <col min="11788" max="11788" width="8.7109375" style="111" customWidth="1"/>
    <col min="11789" max="11789" width="18.28515625" style="111" customWidth="1"/>
    <col min="11790" max="11790" width="8.7109375" style="111" customWidth="1"/>
    <col min="11791" max="11791" width="17.7109375" style="111" customWidth="1"/>
    <col min="11792" max="11792" width="8.7109375" style="111" customWidth="1"/>
    <col min="11793" max="11793" width="17.7109375" style="111" customWidth="1"/>
    <col min="11794" max="11794" width="8.7109375" style="111" customWidth="1"/>
    <col min="11795" max="11795" width="16.42578125" style="111" customWidth="1"/>
    <col min="11796" max="12032" width="12.5703125" style="111"/>
    <col min="12033" max="12033" width="8.42578125" style="111" customWidth="1"/>
    <col min="12034" max="12034" width="14.42578125" style="111" customWidth="1"/>
    <col min="12035" max="12035" width="25.140625" style="111" customWidth="1"/>
    <col min="12036" max="12036" width="10" style="111" customWidth="1"/>
    <col min="12037" max="12037" width="17.7109375" style="111" customWidth="1"/>
    <col min="12038" max="12038" width="8.7109375" style="111" customWidth="1"/>
    <col min="12039" max="12039" width="12.5703125" style="111" customWidth="1"/>
    <col min="12040" max="12040" width="8.7109375" style="111" customWidth="1"/>
    <col min="12041" max="12041" width="16.42578125" style="111" customWidth="1"/>
    <col min="12042" max="12042" width="8.7109375" style="111" customWidth="1"/>
    <col min="12043" max="12043" width="15.140625" style="111" customWidth="1"/>
    <col min="12044" max="12044" width="8.7109375" style="111" customWidth="1"/>
    <col min="12045" max="12045" width="18.28515625" style="111" customWidth="1"/>
    <col min="12046" max="12046" width="8.7109375" style="111" customWidth="1"/>
    <col min="12047" max="12047" width="17.7109375" style="111" customWidth="1"/>
    <col min="12048" max="12048" width="8.7109375" style="111" customWidth="1"/>
    <col min="12049" max="12049" width="17.7109375" style="111" customWidth="1"/>
    <col min="12050" max="12050" width="8.7109375" style="111" customWidth="1"/>
    <col min="12051" max="12051" width="16.42578125" style="111" customWidth="1"/>
    <col min="12052" max="12288" width="12.5703125" style="111"/>
    <col min="12289" max="12289" width="8.42578125" style="111" customWidth="1"/>
    <col min="12290" max="12290" width="14.42578125" style="111" customWidth="1"/>
    <col min="12291" max="12291" width="25.140625" style="111" customWidth="1"/>
    <col min="12292" max="12292" width="10" style="111" customWidth="1"/>
    <col min="12293" max="12293" width="17.7109375" style="111" customWidth="1"/>
    <col min="12294" max="12294" width="8.7109375" style="111" customWidth="1"/>
    <col min="12295" max="12295" width="12.5703125" style="111" customWidth="1"/>
    <col min="12296" max="12296" width="8.7109375" style="111" customWidth="1"/>
    <col min="12297" max="12297" width="16.42578125" style="111" customWidth="1"/>
    <col min="12298" max="12298" width="8.7109375" style="111" customWidth="1"/>
    <col min="12299" max="12299" width="15.140625" style="111" customWidth="1"/>
    <col min="12300" max="12300" width="8.7109375" style="111" customWidth="1"/>
    <col min="12301" max="12301" width="18.28515625" style="111" customWidth="1"/>
    <col min="12302" max="12302" width="8.7109375" style="111" customWidth="1"/>
    <col min="12303" max="12303" width="17.7109375" style="111" customWidth="1"/>
    <col min="12304" max="12304" width="8.7109375" style="111" customWidth="1"/>
    <col min="12305" max="12305" width="17.7109375" style="111" customWidth="1"/>
    <col min="12306" max="12306" width="8.7109375" style="111" customWidth="1"/>
    <col min="12307" max="12307" width="16.42578125" style="111" customWidth="1"/>
    <col min="12308" max="12544" width="12.5703125" style="111"/>
    <col min="12545" max="12545" width="8.42578125" style="111" customWidth="1"/>
    <col min="12546" max="12546" width="14.42578125" style="111" customWidth="1"/>
    <col min="12547" max="12547" width="25.140625" style="111" customWidth="1"/>
    <col min="12548" max="12548" width="10" style="111" customWidth="1"/>
    <col min="12549" max="12549" width="17.7109375" style="111" customWidth="1"/>
    <col min="12550" max="12550" width="8.7109375" style="111" customWidth="1"/>
    <col min="12551" max="12551" width="12.5703125" style="111" customWidth="1"/>
    <col min="12552" max="12552" width="8.7109375" style="111" customWidth="1"/>
    <col min="12553" max="12553" width="16.42578125" style="111" customWidth="1"/>
    <col min="12554" max="12554" width="8.7109375" style="111" customWidth="1"/>
    <col min="12555" max="12555" width="15.140625" style="111" customWidth="1"/>
    <col min="12556" max="12556" width="8.7109375" style="111" customWidth="1"/>
    <col min="12557" max="12557" width="18.28515625" style="111" customWidth="1"/>
    <col min="12558" max="12558" width="8.7109375" style="111" customWidth="1"/>
    <col min="12559" max="12559" width="17.7109375" style="111" customWidth="1"/>
    <col min="12560" max="12560" width="8.7109375" style="111" customWidth="1"/>
    <col min="12561" max="12561" width="17.7109375" style="111" customWidth="1"/>
    <col min="12562" max="12562" width="8.7109375" style="111" customWidth="1"/>
    <col min="12563" max="12563" width="16.42578125" style="111" customWidth="1"/>
    <col min="12564" max="12800" width="12.5703125" style="111"/>
    <col min="12801" max="12801" width="8.42578125" style="111" customWidth="1"/>
    <col min="12802" max="12802" width="14.42578125" style="111" customWidth="1"/>
    <col min="12803" max="12803" width="25.140625" style="111" customWidth="1"/>
    <col min="12804" max="12804" width="10" style="111" customWidth="1"/>
    <col min="12805" max="12805" width="17.7109375" style="111" customWidth="1"/>
    <col min="12806" max="12806" width="8.7109375" style="111" customWidth="1"/>
    <col min="12807" max="12807" width="12.5703125" style="111" customWidth="1"/>
    <col min="12808" max="12808" width="8.7109375" style="111" customWidth="1"/>
    <col min="12809" max="12809" width="16.42578125" style="111" customWidth="1"/>
    <col min="12810" max="12810" width="8.7109375" style="111" customWidth="1"/>
    <col min="12811" max="12811" width="15.140625" style="111" customWidth="1"/>
    <col min="12812" max="12812" width="8.7109375" style="111" customWidth="1"/>
    <col min="12813" max="12813" width="18.28515625" style="111" customWidth="1"/>
    <col min="12814" max="12814" width="8.7109375" style="111" customWidth="1"/>
    <col min="12815" max="12815" width="17.7109375" style="111" customWidth="1"/>
    <col min="12816" max="12816" width="8.7109375" style="111" customWidth="1"/>
    <col min="12817" max="12817" width="17.7109375" style="111" customWidth="1"/>
    <col min="12818" max="12818" width="8.7109375" style="111" customWidth="1"/>
    <col min="12819" max="12819" width="16.42578125" style="111" customWidth="1"/>
    <col min="12820" max="13056" width="12.5703125" style="111"/>
    <col min="13057" max="13057" width="8.42578125" style="111" customWidth="1"/>
    <col min="13058" max="13058" width="14.42578125" style="111" customWidth="1"/>
    <col min="13059" max="13059" width="25.140625" style="111" customWidth="1"/>
    <col min="13060" max="13060" width="10" style="111" customWidth="1"/>
    <col min="13061" max="13061" width="17.7109375" style="111" customWidth="1"/>
    <col min="13062" max="13062" width="8.7109375" style="111" customWidth="1"/>
    <col min="13063" max="13063" width="12.5703125" style="111" customWidth="1"/>
    <col min="13064" max="13064" width="8.7109375" style="111" customWidth="1"/>
    <col min="13065" max="13065" width="16.42578125" style="111" customWidth="1"/>
    <col min="13066" max="13066" width="8.7109375" style="111" customWidth="1"/>
    <col min="13067" max="13067" width="15.140625" style="111" customWidth="1"/>
    <col min="13068" max="13068" width="8.7109375" style="111" customWidth="1"/>
    <col min="13069" max="13069" width="18.28515625" style="111" customWidth="1"/>
    <col min="13070" max="13070" width="8.7109375" style="111" customWidth="1"/>
    <col min="13071" max="13071" width="17.7109375" style="111" customWidth="1"/>
    <col min="13072" max="13072" width="8.7109375" style="111" customWidth="1"/>
    <col min="13073" max="13073" width="17.7109375" style="111" customWidth="1"/>
    <col min="13074" max="13074" width="8.7109375" style="111" customWidth="1"/>
    <col min="13075" max="13075" width="16.42578125" style="111" customWidth="1"/>
    <col min="13076" max="13312" width="12.5703125" style="111"/>
    <col min="13313" max="13313" width="8.42578125" style="111" customWidth="1"/>
    <col min="13314" max="13314" width="14.42578125" style="111" customWidth="1"/>
    <col min="13315" max="13315" width="25.140625" style="111" customWidth="1"/>
    <col min="13316" max="13316" width="10" style="111" customWidth="1"/>
    <col min="13317" max="13317" width="17.7109375" style="111" customWidth="1"/>
    <col min="13318" max="13318" width="8.7109375" style="111" customWidth="1"/>
    <col min="13319" max="13319" width="12.5703125" style="111" customWidth="1"/>
    <col min="13320" max="13320" width="8.7109375" style="111" customWidth="1"/>
    <col min="13321" max="13321" width="16.42578125" style="111" customWidth="1"/>
    <col min="13322" max="13322" width="8.7109375" style="111" customWidth="1"/>
    <col min="13323" max="13323" width="15.140625" style="111" customWidth="1"/>
    <col min="13324" max="13324" width="8.7109375" style="111" customWidth="1"/>
    <col min="13325" max="13325" width="18.28515625" style="111" customWidth="1"/>
    <col min="13326" max="13326" width="8.7109375" style="111" customWidth="1"/>
    <col min="13327" max="13327" width="17.7109375" style="111" customWidth="1"/>
    <col min="13328" max="13328" width="8.7109375" style="111" customWidth="1"/>
    <col min="13329" max="13329" width="17.7109375" style="111" customWidth="1"/>
    <col min="13330" max="13330" width="8.7109375" style="111" customWidth="1"/>
    <col min="13331" max="13331" width="16.42578125" style="111" customWidth="1"/>
    <col min="13332" max="13568" width="12.5703125" style="111"/>
    <col min="13569" max="13569" width="8.42578125" style="111" customWidth="1"/>
    <col min="13570" max="13570" width="14.42578125" style="111" customWidth="1"/>
    <col min="13571" max="13571" width="25.140625" style="111" customWidth="1"/>
    <col min="13572" max="13572" width="10" style="111" customWidth="1"/>
    <col min="13573" max="13573" width="17.7109375" style="111" customWidth="1"/>
    <col min="13574" max="13574" width="8.7109375" style="111" customWidth="1"/>
    <col min="13575" max="13575" width="12.5703125" style="111" customWidth="1"/>
    <col min="13576" max="13576" width="8.7109375" style="111" customWidth="1"/>
    <col min="13577" max="13577" width="16.42578125" style="111" customWidth="1"/>
    <col min="13578" max="13578" width="8.7109375" style="111" customWidth="1"/>
    <col min="13579" max="13579" width="15.140625" style="111" customWidth="1"/>
    <col min="13580" max="13580" width="8.7109375" style="111" customWidth="1"/>
    <col min="13581" max="13581" width="18.28515625" style="111" customWidth="1"/>
    <col min="13582" max="13582" width="8.7109375" style="111" customWidth="1"/>
    <col min="13583" max="13583" width="17.7109375" style="111" customWidth="1"/>
    <col min="13584" max="13584" width="8.7109375" style="111" customWidth="1"/>
    <col min="13585" max="13585" width="17.7109375" style="111" customWidth="1"/>
    <col min="13586" max="13586" width="8.7109375" style="111" customWidth="1"/>
    <col min="13587" max="13587" width="16.42578125" style="111" customWidth="1"/>
    <col min="13588" max="13824" width="12.5703125" style="111"/>
    <col min="13825" max="13825" width="8.42578125" style="111" customWidth="1"/>
    <col min="13826" max="13826" width="14.42578125" style="111" customWidth="1"/>
    <col min="13827" max="13827" width="25.140625" style="111" customWidth="1"/>
    <col min="13828" max="13828" width="10" style="111" customWidth="1"/>
    <col min="13829" max="13829" width="17.7109375" style="111" customWidth="1"/>
    <col min="13830" max="13830" width="8.7109375" style="111" customWidth="1"/>
    <col min="13831" max="13831" width="12.5703125" style="111" customWidth="1"/>
    <col min="13832" max="13832" width="8.7109375" style="111" customWidth="1"/>
    <col min="13833" max="13833" width="16.42578125" style="111" customWidth="1"/>
    <col min="13834" max="13834" width="8.7109375" style="111" customWidth="1"/>
    <col min="13835" max="13835" width="15.140625" style="111" customWidth="1"/>
    <col min="13836" max="13836" width="8.7109375" style="111" customWidth="1"/>
    <col min="13837" max="13837" width="18.28515625" style="111" customWidth="1"/>
    <col min="13838" max="13838" width="8.7109375" style="111" customWidth="1"/>
    <col min="13839" max="13839" width="17.7109375" style="111" customWidth="1"/>
    <col min="13840" max="13840" width="8.7109375" style="111" customWidth="1"/>
    <col min="13841" max="13841" width="17.7109375" style="111" customWidth="1"/>
    <col min="13842" max="13842" width="8.7109375" style="111" customWidth="1"/>
    <col min="13843" max="13843" width="16.42578125" style="111" customWidth="1"/>
    <col min="13844" max="14080" width="12.5703125" style="111"/>
    <col min="14081" max="14081" width="8.42578125" style="111" customWidth="1"/>
    <col min="14082" max="14082" width="14.42578125" style="111" customWidth="1"/>
    <col min="14083" max="14083" width="25.140625" style="111" customWidth="1"/>
    <col min="14084" max="14084" width="10" style="111" customWidth="1"/>
    <col min="14085" max="14085" width="17.7109375" style="111" customWidth="1"/>
    <col min="14086" max="14086" width="8.7109375" style="111" customWidth="1"/>
    <col min="14087" max="14087" width="12.5703125" style="111" customWidth="1"/>
    <col min="14088" max="14088" width="8.7109375" style="111" customWidth="1"/>
    <col min="14089" max="14089" width="16.42578125" style="111" customWidth="1"/>
    <col min="14090" max="14090" width="8.7109375" style="111" customWidth="1"/>
    <col min="14091" max="14091" width="15.140625" style="111" customWidth="1"/>
    <col min="14092" max="14092" width="8.7109375" style="111" customWidth="1"/>
    <col min="14093" max="14093" width="18.28515625" style="111" customWidth="1"/>
    <col min="14094" max="14094" width="8.7109375" style="111" customWidth="1"/>
    <col min="14095" max="14095" width="17.7109375" style="111" customWidth="1"/>
    <col min="14096" max="14096" width="8.7109375" style="111" customWidth="1"/>
    <col min="14097" max="14097" width="17.7109375" style="111" customWidth="1"/>
    <col min="14098" max="14098" width="8.7109375" style="111" customWidth="1"/>
    <col min="14099" max="14099" width="16.42578125" style="111" customWidth="1"/>
    <col min="14100" max="14336" width="12.5703125" style="111"/>
    <col min="14337" max="14337" width="8.42578125" style="111" customWidth="1"/>
    <col min="14338" max="14338" width="14.42578125" style="111" customWidth="1"/>
    <col min="14339" max="14339" width="25.140625" style="111" customWidth="1"/>
    <col min="14340" max="14340" width="10" style="111" customWidth="1"/>
    <col min="14341" max="14341" width="17.7109375" style="111" customWidth="1"/>
    <col min="14342" max="14342" width="8.7109375" style="111" customWidth="1"/>
    <col min="14343" max="14343" width="12.5703125" style="111" customWidth="1"/>
    <col min="14344" max="14344" width="8.7109375" style="111" customWidth="1"/>
    <col min="14345" max="14345" width="16.42578125" style="111" customWidth="1"/>
    <col min="14346" max="14346" width="8.7109375" style="111" customWidth="1"/>
    <col min="14347" max="14347" width="15.140625" style="111" customWidth="1"/>
    <col min="14348" max="14348" width="8.7109375" style="111" customWidth="1"/>
    <col min="14349" max="14349" width="18.28515625" style="111" customWidth="1"/>
    <col min="14350" max="14350" width="8.7109375" style="111" customWidth="1"/>
    <col min="14351" max="14351" width="17.7109375" style="111" customWidth="1"/>
    <col min="14352" max="14352" width="8.7109375" style="111" customWidth="1"/>
    <col min="14353" max="14353" width="17.7109375" style="111" customWidth="1"/>
    <col min="14354" max="14354" width="8.7109375" style="111" customWidth="1"/>
    <col min="14355" max="14355" width="16.42578125" style="111" customWidth="1"/>
    <col min="14356" max="14592" width="12.5703125" style="111"/>
    <col min="14593" max="14593" width="8.42578125" style="111" customWidth="1"/>
    <col min="14594" max="14594" width="14.42578125" style="111" customWidth="1"/>
    <col min="14595" max="14595" width="25.140625" style="111" customWidth="1"/>
    <col min="14596" max="14596" width="10" style="111" customWidth="1"/>
    <col min="14597" max="14597" width="17.7109375" style="111" customWidth="1"/>
    <col min="14598" max="14598" width="8.7109375" style="111" customWidth="1"/>
    <col min="14599" max="14599" width="12.5703125" style="111" customWidth="1"/>
    <col min="14600" max="14600" width="8.7109375" style="111" customWidth="1"/>
    <col min="14601" max="14601" width="16.42578125" style="111" customWidth="1"/>
    <col min="14602" max="14602" width="8.7109375" style="111" customWidth="1"/>
    <col min="14603" max="14603" width="15.140625" style="111" customWidth="1"/>
    <col min="14604" max="14604" width="8.7109375" style="111" customWidth="1"/>
    <col min="14605" max="14605" width="18.28515625" style="111" customWidth="1"/>
    <col min="14606" max="14606" width="8.7109375" style="111" customWidth="1"/>
    <col min="14607" max="14607" width="17.7109375" style="111" customWidth="1"/>
    <col min="14608" max="14608" width="8.7109375" style="111" customWidth="1"/>
    <col min="14609" max="14609" width="17.7109375" style="111" customWidth="1"/>
    <col min="14610" max="14610" width="8.7109375" style="111" customWidth="1"/>
    <col min="14611" max="14611" width="16.42578125" style="111" customWidth="1"/>
    <col min="14612" max="14848" width="12.5703125" style="111"/>
    <col min="14849" max="14849" width="8.42578125" style="111" customWidth="1"/>
    <col min="14850" max="14850" width="14.42578125" style="111" customWidth="1"/>
    <col min="14851" max="14851" width="25.140625" style="111" customWidth="1"/>
    <col min="14852" max="14852" width="10" style="111" customWidth="1"/>
    <col min="14853" max="14853" width="17.7109375" style="111" customWidth="1"/>
    <col min="14854" max="14854" width="8.7109375" style="111" customWidth="1"/>
    <col min="14855" max="14855" width="12.5703125" style="111" customWidth="1"/>
    <col min="14856" max="14856" width="8.7109375" style="111" customWidth="1"/>
    <col min="14857" max="14857" width="16.42578125" style="111" customWidth="1"/>
    <col min="14858" max="14858" width="8.7109375" style="111" customWidth="1"/>
    <col min="14859" max="14859" width="15.140625" style="111" customWidth="1"/>
    <col min="14860" max="14860" width="8.7109375" style="111" customWidth="1"/>
    <col min="14861" max="14861" width="18.28515625" style="111" customWidth="1"/>
    <col min="14862" max="14862" width="8.7109375" style="111" customWidth="1"/>
    <col min="14863" max="14863" width="17.7109375" style="111" customWidth="1"/>
    <col min="14864" max="14864" width="8.7109375" style="111" customWidth="1"/>
    <col min="14865" max="14865" width="17.7109375" style="111" customWidth="1"/>
    <col min="14866" max="14866" width="8.7109375" style="111" customWidth="1"/>
    <col min="14867" max="14867" width="16.42578125" style="111" customWidth="1"/>
    <col min="14868" max="15104" width="12.5703125" style="111"/>
    <col min="15105" max="15105" width="8.42578125" style="111" customWidth="1"/>
    <col min="15106" max="15106" width="14.42578125" style="111" customWidth="1"/>
    <col min="15107" max="15107" width="25.140625" style="111" customWidth="1"/>
    <col min="15108" max="15108" width="10" style="111" customWidth="1"/>
    <col min="15109" max="15109" width="17.7109375" style="111" customWidth="1"/>
    <col min="15110" max="15110" width="8.7109375" style="111" customWidth="1"/>
    <col min="15111" max="15111" width="12.5703125" style="111" customWidth="1"/>
    <col min="15112" max="15112" width="8.7109375" style="111" customWidth="1"/>
    <col min="15113" max="15113" width="16.42578125" style="111" customWidth="1"/>
    <col min="15114" max="15114" width="8.7109375" style="111" customWidth="1"/>
    <col min="15115" max="15115" width="15.140625" style="111" customWidth="1"/>
    <col min="15116" max="15116" width="8.7109375" style="111" customWidth="1"/>
    <col min="15117" max="15117" width="18.28515625" style="111" customWidth="1"/>
    <col min="15118" max="15118" width="8.7109375" style="111" customWidth="1"/>
    <col min="15119" max="15119" width="17.7109375" style="111" customWidth="1"/>
    <col min="15120" max="15120" width="8.7109375" style="111" customWidth="1"/>
    <col min="15121" max="15121" width="17.7109375" style="111" customWidth="1"/>
    <col min="15122" max="15122" width="8.7109375" style="111" customWidth="1"/>
    <col min="15123" max="15123" width="16.42578125" style="111" customWidth="1"/>
    <col min="15124" max="15360" width="12.5703125" style="111"/>
    <col min="15361" max="15361" width="8.42578125" style="111" customWidth="1"/>
    <col min="15362" max="15362" width="14.42578125" style="111" customWidth="1"/>
    <col min="15363" max="15363" width="25.140625" style="111" customWidth="1"/>
    <col min="15364" max="15364" width="10" style="111" customWidth="1"/>
    <col min="15365" max="15365" width="17.7109375" style="111" customWidth="1"/>
    <col min="15366" max="15366" width="8.7109375" style="111" customWidth="1"/>
    <col min="15367" max="15367" width="12.5703125" style="111" customWidth="1"/>
    <col min="15368" max="15368" width="8.7109375" style="111" customWidth="1"/>
    <col min="15369" max="15369" width="16.42578125" style="111" customWidth="1"/>
    <col min="15370" max="15370" width="8.7109375" style="111" customWidth="1"/>
    <col min="15371" max="15371" width="15.140625" style="111" customWidth="1"/>
    <col min="15372" max="15372" width="8.7109375" style="111" customWidth="1"/>
    <col min="15373" max="15373" width="18.28515625" style="111" customWidth="1"/>
    <col min="15374" max="15374" width="8.7109375" style="111" customWidth="1"/>
    <col min="15375" max="15375" width="17.7109375" style="111" customWidth="1"/>
    <col min="15376" max="15376" width="8.7109375" style="111" customWidth="1"/>
    <col min="15377" max="15377" width="17.7109375" style="111" customWidth="1"/>
    <col min="15378" max="15378" width="8.7109375" style="111" customWidth="1"/>
    <col min="15379" max="15379" width="16.42578125" style="111" customWidth="1"/>
    <col min="15380" max="15616" width="12.5703125" style="111"/>
    <col min="15617" max="15617" width="8.42578125" style="111" customWidth="1"/>
    <col min="15618" max="15618" width="14.42578125" style="111" customWidth="1"/>
    <col min="15619" max="15619" width="25.140625" style="111" customWidth="1"/>
    <col min="15620" max="15620" width="10" style="111" customWidth="1"/>
    <col min="15621" max="15621" width="17.7109375" style="111" customWidth="1"/>
    <col min="15622" max="15622" width="8.7109375" style="111" customWidth="1"/>
    <col min="15623" max="15623" width="12.5703125" style="111" customWidth="1"/>
    <col min="15624" max="15624" width="8.7109375" style="111" customWidth="1"/>
    <col min="15625" max="15625" width="16.42578125" style="111" customWidth="1"/>
    <col min="15626" max="15626" width="8.7109375" style="111" customWidth="1"/>
    <col min="15627" max="15627" width="15.140625" style="111" customWidth="1"/>
    <col min="15628" max="15628" width="8.7109375" style="111" customWidth="1"/>
    <col min="15629" max="15629" width="18.28515625" style="111" customWidth="1"/>
    <col min="15630" max="15630" width="8.7109375" style="111" customWidth="1"/>
    <col min="15631" max="15631" width="17.7109375" style="111" customWidth="1"/>
    <col min="15632" max="15632" width="8.7109375" style="111" customWidth="1"/>
    <col min="15633" max="15633" width="17.7109375" style="111" customWidth="1"/>
    <col min="15634" max="15634" width="8.7109375" style="111" customWidth="1"/>
    <col min="15635" max="15635" width="16.42578125" style="111" customWidth="1"/>
    <col min="15636" max="15872" width="12.5703125" style="111"/>
    <col min="15873" max="15873" width="8.42578125" style="111" customWidth="1"/>
    <col min="15874" max="15874" width="14.42578125" style="111" customWidth="1"/>
    <col min="15875" max="15875" width="25.140625" style="111" customWidth="1"/>
    <col min="15876" max="15876" width="10" style="111" customWidth="1"/>
    <col min="15877" max="15877" width="17.7109375" style="111" customWidth="1"/>
    <col min="15878" max="15878" width="8.7109375" style="111" customWidth="1"/>
    <col min="15879" max="15879" width="12.5703125" style="111" customWidth="1"/>
    <col min="15880" max="15880" width="8.7109375" style="111" customWidth="1"/>
    <col min="15881" max="15881" width="16.42578125" style="111" customWidth="1"/>
    <col min="15882" max="15882" width="8.7109375" style="111" customWidth="1"/>
    <col min="15883" max="15883" width="15.140625" style="111" customWidth="1"/>
    <col min="15884" max="15884" width="8.7109375" style="111" customWidth="1"/>
    <col min="15885" max="15885" width="18.28515625" style="111" customWidth="1"/>
    <col min="15886" max="15886" width="8.7109375" style="111" customWidth="1"/>
    <col min="15887" max="15887" width="17.7109375" style="111" customWidth="1"/>
    <col min="15888" max="15888" width="8.7109375" style="111" customWidth="1"/>
    <col min="15889" max="15889" width="17.7109375" style="111" customWidth="1"/>
    <col min="15890" max="15890" width="8.7109375" style="111" customWidth="1"/>
    <col min="15891" max="15891" width="16.42578125" style="111" customWidth="1"/>
    <col min="15892" max="16128" width="12.5703125" style="111"/>
    <col min="16129" max="16129" width="8.42578125" style="111" customWidth="1"/>
    <col min="16130" max="16130" width="14.42578125" style="111" customWidth="1"/>
    <col min="16131" max="16131" width="25.140625" style="111" customWidth="1"/>
    <col min="16132" max="16132" width="10" style="111" customWidth="1"/>
    <col min="16133" max="16133" width="17.7109375" style="111" customWidth="1"/>
    <col min="16134" max="16134" width="8.7109375" style="111" customWidth="1"/>
    <col min="16135" max="16135" width="12.5703125" style="111" customWidth="1"/>
    <col min="16136" max="16136" width="8.7109375" style="111" customWidth="1"/>
    <col min="16137" max="16137" width="16.42578125" style="111" customWidth="1"/>
    <col min="16138" max="16138" width="8.7109375" style="111" customWidth="1"/>
    <col min="16139" max="16139" width="15.140625" style="111" customWidth="1"/>
    <col min="16140" max="16140" width="8.7109375" style="111" customWidth="1"/>
    <col min="16141" max="16141" width="18.28515625" style="111" customWidth="1"/>
    <col min="16142" max="16142" width="8.7109375" style="111" customWidth="1"/>
    <col min="16143" max="16143" width="17.7109375" style="111" customWidth="1"/>
    <col min="16144" max="16144" width="8.7109375" style="111" customWidth="1"/>
    <col min="16145" max="16145" width="17.7109375" style="111" customWidth="1"/>
    <col min="16146" max="16146" width="8.7109375" style="111" customWidth="1"/>
    <col min="16147" max="16147" width="16.42578125" style="111" customWidth="1"/>
    <col min="16148" max="16384" width="12.5703125" style="111"/>
  </cols>
  <sheetData>
    <row r="2" spans="1:19" ht="16.5" x14ac:dyDescent="0.25">
      <c r="A2" s="242" t="s">
        <v>480</v>
      </c>
      <c r="B2" s="243"/>
      <c r="C2" s="242"/>
      <c r="D2" s="242"/>
      <c r="E2" s="243"/>
      <c r="F2" s="243"/>
      <c r="G2" s="244"/>
      <c r="H2" s="243" t="s">
        <v>174</v>
      </c>
      <c r="I2" s="243"/>
      <c r="J2" s="243"/>
      <c r="K2" s="243"/>
      <c r="L2" s="243"/>
      <c r="M2" s="242"/>
      <c r="N2" s="242"/>
      <c r="O2" s="109"/>
      <c r="Q2" s="235" t="s">
        <v>565</v>
      </c>
      <c r="R2" s="109"/>
      <c r="S2" s="109"/>
    </row>
    <row r="3" spans="1:19" ht="17.25" thickBot="1" x14ac:dyDescent="0.3">
      <c r="A3" s="242"/>
      <c r="B3" s="242"/>
      <c r="C3" s="242"/>
      <c r="D3" s="242"/>
      <c r="E3" s="242"/>
      <c r="F3" s="242"/>
      <c r="G3" s="245" t="s">
        <v>481</v>
      </c>
      <c r="I3" s="242"/>
      <c r="J3" s="242"/>
      <c r="K3" s="242"/>
      <c r="L3" s="242"/>
      <c r="M3" s="242"/>
      <c r="N3" s="242"/>
      <c r="O3" s="109"/>
      <c r="P3" s="109"/>
      <c r="Q3" s="266" t="s">
        <v>298</v>
      </c>
      <c r="R3" s="46"/>
      <c r="S3" s="245" t="str">
        <f>'A-1 Estimated Revenue Req.'!$E$1</f>
        <v>20190156-EI</v>
      </c>
    </row>
    <row r="4" spans="1:19" ht="16.5" x14ac:dyDescent="0.25">
      <c r="A4" s="112"/>
      <c r="B4" s="112"/>
      <c r="C4" s="112"/>
      <c r="D4" s="112"/>
      <c r="E4" s="112"/>
      <c r="F4" s="112"/>
      <c r="G4" s="112"/>
      <c r="H4" s="112"/>
      <c r="I4" s="112"/>
      <c r="J4" s="112"/>
      <c r="K4" s="112"/>
      <c r="L4" s="112"/>
      <c r="M4" s="112"/>
      <c r="N4" s="112"/>
      <c r="O4" s="112"/>
      <c r="P4" s="112"/>
      <c r="Q4" s="112"/>
      <c r="R4" s="112"/>
      <c r="S4" s="112"/>
    </row>
    <row r="5" spans="1:19" ht="16.5" x14ac:dyDescent="0.25">
      <c r="A5" s="109" t="s">
        <v>110</v>
      </c>
      <c r="B5" s="109"/>
      <c r="C5" s="109"/>
      <c r="D5" s="109"/>
      <c r="G5" s="109" t="s">
        <v>111</v>
      </c>
      <c r="H5" s="109"/>
      <c r="I5" s="110" t="s">
        <v>175</v>
      </c>
      <c r="J5" s="110"/>
      <c r="K5" s="110"/>
      <c r="L5" s="110"/>
      <c r="M5" s="109"/>
      <c r="N5" s="109"/>
      <c r="O5" s="109"/>
      <c r="P5" s="109" t="s">
        <v>113</v>
      </c>
      <c r="Q5" s="109"/>
      <c r="R5" s="109"/>
      <c r="S5" s="109"/>
    </row>
    <row r="6" spans="1:19" ht="16.5" x14ac:dyDescent="0.25">
      <c r="A6" s="109"/>
      <c r="B6" s="109"/>
      <c r="C6" s="109"/>
      <c r="D6" s="109"/>
      <c r="G6" s="110"/>
      <c r="H6" s="110"/>
      <c r="I6" s="110" t="s">
        <v>176</v>
      </c>
      <c r="J6" s="110"/>
      <c r="K6" s="110"/>
      <c r="L6" s="110"/>
      <c r="M6" s="109"/>
      <c r="N6" s="109"/>
      <c r="O6" s="203"/>
      <c r="P6" s="158" t="str">
        <f>'B-1'!O5</f>
        <v>Projected Test Year Ended December 31, 2020</v>
      </c>
      <c r="R6" s="109"/>
      <c r="S6" s="109"/>
    </row>
    <row r="7" spans="1:19" ht="16.5" x14ac:dyDescent="0.25">
      <c r="A7" s="109" t="s">
        <v>177</v>
      </c>
      <c r="B7" s="109"/>
      <c r="C7" s="109"/>
      <c r="D7" s="109"/>
      <c r="E7" s="110"/>
      <c r="F7" s="110"/>
      <c r="G7" s="110"/>
      <c r="H7" s="110"/>
      <c r="I7" s="110" t="s">
        <v>178</v>
      </c>
      <c r="J7" s="110"/>
      <c r="K7" s="110"/>
      <c r="L7" s="110"/>
      <c r="M7" s="109"/>
      <c r="N7" s="109"/>
      <c r="O7" s="109"/>
      <c r="P7" s="113"/>
      <c r="Q7" s="109"/>
      <c r="R7" s="109"/>
      <c r="S7" s="109"/>
    </row>
    <row r="8" spans="1:19" ht="16.5" x14ac:dyDescent="0.25">
      <c r="A8" s="109">
        <f>'B-1'!B7</f>
        <v>0</v>
      </c>
      <c r="B8" s="109"/>
      <c r="C8" s="109"/>
      <c r="D8" s="109"/>
      <c r="E8" s="110"/>
      <c r="F8" s="110"/>
      <c r="G8" s="110"/>
      <c r="H8" s="110"/>
      <c r="I8" s="110"/>
      <c r="J8" s="114"/>
      <c r="K8" s="110"/>
      <c r="L8" s="110"/>
      <c r="M8" s="109"/>
      <c r="N8" s="109"/>
      <c r="O8" s="109"/>
      <c r="P8" s="113"/>
      <c r="Q8" s="109"/>
      <c r="R8" s="109"/>
      <c r="S8" s="109"/>
    </row>
    <row r="9" spans="1:19" ht="16.5" x14ac:dyDescent="0.25">
      <c r="A9" s="109"/>
      <c r="B9" s="109"/>
      <c r="C9" s="109"/>
      <c r="D9" s="109"/>
      <c r="E9" s="110"/>
      <c r="F9" s="110"/>
      <c r="G9" s="110"/>
      <c r="H9" s="110"/>
      <c r="I9" s="110"/>
      <c r="J9" s="110"/>
      <c r="K9" s="110"/>
      <c r="L9" s="110"/>
      <c r="M9" s="109"/>
      <c r="N9" s="109"/>
      <c r="O9" s="109"/>
      <c r="P9" s="109"/>
      <c r="Q9" s="109"/>
      <c r="R9" s="109"/>
      <c r="S9" s="109"/>
    </row>
    <row r="10" spans="1:19" ht="17.25" thickBot="1" x14ac:dyDescent="0.3">
      <c r="A10" s="109"/>
      <c r="B10" s="109"/>
      <c r="C10" s="109"/>
      <c r="D10" s="109"/>
      <c r="E10" s="110"/>
      <c r="F10" s="110"/>
      <c r="G10" s="110"/>
      <c r="H10" s="110"/>
      <c r="I10" s="110"/>
      <c r="J10" s="110"/>
      <c r="K10" s="110"/>
      <c r="L10" s="110"/>
      <c r="M10" s="109"/>
      <c r="N10" s="109"/>
      <c r="O10" s="109"/>
      <c r="P10" s="109"/>
      <c r="Q10" s="109"/>
      <c r="R10" s="109"/>
      <c r="S10" s="109"/>
    </row>
    <row r="11" spans="1:19" ht="16.5" x14ac:dyDescent="0.25">
      <c r="A11" s="112"/>
      <c r="B11" s="112"/>
      <c r="C11" s="112"/>
      <c r="D11" s="112"/>
      <c r="E11" s="112"/>
      <c r="F11" s="112"/>
      <c r="G11" s="112"/>
      <c r="H11" s="112"/>
      <c r="I11" s="112"/>
      <c r="J11" s="112"/>
      <c r="K11" s="112"/>
      <c r="L11" s="112"/>
      <c r="M11" s="112"/>
      <c r="N11" s="112"/>
      <c r="O11" s="112"/>
      <c r="P11" s="112"/>
      <c r="Q11" s="112"/>
      <c r="R11" s="112"/>
      <c r="S11" s="112"/>
    </row>
    <row r="12" spans="1:19" ht="16.5" x14ac:dyDescent="0.25">
      <c r="A12" s="110"/>
      <c r="B12" s="110"/>
      <c r="C12" s="110"/>
      <c r="D12" s="109"/>
      <c r="E12" s="115" t="s">
        <v>22</v>
      </c>
      <c r="F12" s="110"/>
      <c r="G12" s="115" t="s">
        <v>23</v>
      </c>
      <c r="H12" s="109"/>
      <c r="I12" s="115" t="s">
        <v>24</v>
      </c>
      <c r="J12" s="109"/>
      <c r="K12" s="115" t="s">
        <v>25</v>
      </c>
      <c r="L12" s="109"/>
      <c r="M12" s="115" t="s">
        <v>26</v>
      </c>
      <c r="N12" s="109"/>
      <c r="O12" s="115" t="s">
        <v>118</v>
      </c>
      <c r="Q12" s="114" t="s">
        <v>119</v>
      </c>
      <c r="R12" s="109"/>
      <c r="S12" s="115"/>
    </row>
    <row r="13" spans="1:19" ht="16.5" x14ac:dyDescent="0.25">
      <c r="A13" s="109"/>
      <c r="B13" s="110"/>
      <c r="C13" s="110"/>
      <c r="D13" s="109"/>
      <c r="E13" s="109"/>
      <c r="F13" s="110"/>
      <c r="G13" s="109"/>
      <c r="H13" s="109"/>
      <c r="I13" s="109"/>
      <c r="J13" s="110"/>
      <c r="K13" s="110"/>
      <c r="L13" s="109"/>
      <c r="M13" s="109"/>
      <c r="N13" s="109"/>
      <c r="O13" s="116"/>
      <c r="P13" s="109"/>
      <c r="Q13" s="115" t="s">
        <v>179</v>
      </c>
      <c r="R13" s="109"/>
    </row>
    <row r="14" spans="1:19" ht="16.5" x14ac:dyDescent="0.25">
      <c r="A14" s="109"/>
      <c r="B14" s="110"/>
      <c r="C14" s="110"/>
      <c r="D14" s="109"/>
      <c r="E14" s="109"/>
      <c r="F14" s="110"/>
      <c r="G14" s="114" t="s">
        <v>180</v>
      </c>
      <c r="H14" s="110"/>
      <c r="I14" s="114" t="s">
        <v>7</v>
      </c>
      <c r="J14" s="110"/>
      <c r="K14" s="109"/>
      <c r="L14" s="109"/>
      <c r="M14" s="115" t="s">
        <v>162</v>
      </c>
      <c r="N14" s="109"/>
      <c r="O14" s="114" t="s">
        <v>162</v>
      </c>
      <c r="P14" s="109"/>
      <c r="Q14" s="115" t="s">
        <v>162</v>
      </c>
      <c r="R14" s="109"/>
    </row>
    <row r="15" spans="1:19" ht="16.5" x14ac:dyDescent="0.25">
      <c r="A15" s="110" t="s">
        <v>131</v>
      </c>
      <c r="B15" s="110"/>
      <c r="C15" s="110"/>
      <c r="D15" s="109"/>
      <c r="E15" s="114" t="s">
        <v>181</v>
      </c>
      <c r="F15" s="110"/>
      <c r="G15" s="114" t="s">
        <v>182</v>
      </c>
      <c r="H15" s="110"/>
      <c r="I15" s="114" t="s">
        <v>182</v>
      </c>
      <c r="J15" s="110"/>
      <c r="K15" s="115" t="s">
        <v>162</v>
      </c>
      <c r="L15" s="109"/>
      <c r="M15" s="115" t="s">
        <v>166</v>
      </c>
      <c r="N15" s="109"/>
      <c r="O15" s="114" t="s">
        <v>183</v>
      </c>
      <c r="P15" s="109"/>
      <c r="Q15" s="115" t="s">
        <v>166</v>
      </c>
      <c r="R15" s="109"/>
    </row>
    <row r="16" spans="1:19" ht="16.5" x14ac:dyDescent="0.25">
      <c r="A16" s="110" t="s">
        <v>141</v>
      </c>
      <c r="B16" s="109"/>
      <c r="C16" s="109"/>
      <c r="D16" s="110"/>
      <c r="E16" s="114" t="s">
        <v>184</v>
      </c>
      <c r="F16" s="109"/>
      <c r="G16" s="114" t="s">
        <v>138</v>
      </c>
      <c r="H16" s="110"/>
      <c r="I16" s="114" t="s">
        <v>185</v>
      </c>
      <c r="J16" s="109"/>
      <c r="K16" s="114" t="s">
        <v>6</v>
      </c>
      <c r="L16" s="109"/>
      <c r="M16" s="115" t="s">
        <v>186</v>
      </c>
      <c r="N16" s="109"/>
      <c r="O16" s="115" t="s">
        <v>187</v>
      </c>
      <c r="P16" s="109"/>
      <c r="Q16" s="115" t="s">
        <v>188</v>
      </c>
      <c r="R16" s="109"/>
    </row>
    <row r="17" spans="1:20" ht="17.25" thickBot="1" x14ac:dyDescent="0.3">
      <c r="A17" s="109"/>
      <c r="B17" s="110"/>
      <c r="C17" s="110"/>
      <c r="D17" s="109"/>
      <c r="E17" s="109"/>
      <c r="F17" s="110"/>
      <c r="G17" s="110"/>
      <c r="H17" s="110"/>
      <c r="I17" s="110"/>
      <c r="J17" s="110"/>
      <c r="K17" s="110"/>
      <c r="L17" s="110"/>
      <c r="M17" s="110"/>
      <c r="N17" s="110"/>
      <c r="O17" s="110"/>
      <c r="P17" s="110"/>
      <c r="Q17" s="109"/>
      <c r="R17" s="109"/>
      <c r="S17" s="109"/>
    </row>
    <row r="18" spans="1:20" ht="16.5" x14ac:dyDescent="0.25">
      <c r="A18" s="112"/>
      <c r="B18" s="117"/>
      <c r="C18" s="117"/>
      <c r="D18" s="112"/>
      <c r="E18" s="112"/>
      <c r="F18" s="117"/>
      <c r="G18" s="117"/>
      <c r="H18" s="117"/>
      <c r="I18" s="117"/>
      <c r="J18" s="117"/>
      <c r="K18" s="117"/>
      <c r="L18" s="117"/>
      <c r="M18" s="117"/>
      <c r="N18" s="117"/>
      <c r="O18" s="117"/>
      <c r="P18" s="117"/>
      <c r="Q18" s="112"/>
      <c r="R18" s="112"/>
      <c r="S18" s="112"/>
    </row>
    <row r="19" spans="1:20" ht="16.5" x14ac:dyDescent="0.25">
      <c r="A19" s="115">
        <v>1</v>
      </c>
      <c r="B19" s="110" t="s">
        <v>189</v>
      </c>
      <c r="C19" s="110"/>
      <c r="D19" s="110"/>
      <c r="E19" s="109"/>
      <c r="F19" s="110"/>
      <c r="G19" s="110"/>
      <c r="H19" s="110"/>
      <c r="I19" s="110"/>
      <c r="J19" s="110"/>
      <c r="K19" s="110"/>
      <c r="L19" s="110"/>
      <c r="M19" s="110"/>
      <c r="N19" s="110"/>
      <c r="O19" s="110"/>
      <c r="P19" s="110"/>
      <c r="Q19" s="109"/>
      <c r="R19" s="109"/>
      <c r="S19" s="109"/>
    </row>
    <row r="20" spans="1:20" ht="16.5" x14ac:dyDescent="0.25">
      <c r="A20" s="115">
        <v>2</v>
      </c>
      <c r="B20" s="110" t="s">
        <v>190</v>
      </c>
      <c r="C20" s="110"/>
      <c r="D20" s="110"/>
      <c r="E20" s="118">
        <f>'C-2'!M18</f>
        <v>-335172</v>
      </c>
      <c r="F20" s="119"/>
      <c r="G20" s="119"/>
      <c r="H20" s="119"/>
      <c r="I20" s="119">
        <f>E20-G20</f>
        <v>-335172</v>
      </c>
      <c r="J20" s="109"/>
      <c r="K20" s="120">
        <v>1</v>
      </c>
      <c r="L20" s="109"/>
      <c r="M20" s="119">
        <f>K20*I20</f>
        <v>-335172</v>
      </c>
      <c r="N20" s="119"/>
      <c r="O20" s="119"/>
      <c r="P20" s="119"/>
      <c r="Q20" s="119">
        <f>M20+O20</f>
        <v>-335172</v>
      </c>
      <c r="R20" s="109"/>
      <c r="S20" s="109"/>
    </row>
    <row r="21" spans="1:20" ht="16.5" x14ac:dyDescent="0.25">
      <c r="A21" s="115">
        <v>3</v>
      </c>
      <c r="B21" s="110" t="s">
        <v>191</v>
      </c>
      <c r="C21" s="110"/>
      <c r="D21" s="109"/>
      <c r="E21" s="118">
        <f>'C-2'!M19</f>
        <v>0</v>
      </c>
      <c r="F21" s="119"/>
      <c r="G21" s="119"/>
      <c r="H21" s="119"/>
      <c r="I21" s="119">
        <f t="shared" ref="I21:I39" si="0">E21-G21</f>
        <v>0</v>
      </c>
      <c r="J21" s="109"/>
      <c r="K21" s="120">
        <v>1</v>
      </c>
      <c r="L21" s="109"/>
      <c r="M21" s="119">
        <f t="shared" ref="M21:M39" si="1">K21*I21</f>
        <v>0</v>
      </c>
      <c r="N21" s="119"/>
      <c r="O21" s="119"/>
      <c r="P21" s="119"/>
      <c r="Q21" s="119">
        <f>M21+O21</f>
        <v>0</v>
      </c>
      <c r="R21" s="109"/>
      <c r="S21" s="109"/>
    </row>
    <row r="22" spans="1:20" ht="16.5" x14ac:dyDescent="0.25">
      <c r="A22" s="115">
        <v>4</v>
      </c>
      <c r="B22" s="110" t="s">
        <v>192</v>
      </c>
      <c r="C22" s="110"/>
      <c r="D22" s="109"/>
      <c r="E22" s="121">
        <f>E20+E21</f>
        <v>-335172</v>
      </c>
      <c r="F22" s="119"/>
      <c r="G22" s="119"/>
      <c r="H22" s="119"/>
      <c r="I22" s="121">
        <f t="shared" si="0"/>
        <v>-335172</v>
      </c>
      <c r="J22" s="109"/>
      <c r="K22" s="120">
        <v>1</v>
      </c>
      <c r="L22" s="109"/>
      <c r="M22" s="121">
        <f t="shared" si="1"/>
        <v>-335172</v>
      </c>
      <c r="N22" s="119"/>
      <c r="O22" s="121"/>
      <c r="P22" s="119"/>
      <c r="Q22" s="121">
        <f>M22+O22</f>
        <v>-335172</v>
      </c>
      <c r="R22" s="109"/>
      <c r="S22" s="109"/>
    </row>
    <row r="23" spans="1:20" ht="16.5" x14ac:dyDescent="0.25">
      <c r="A23" s="115">
        <v>5</v>
      </c>
      <c r="B23" s="109"/>
      <c r="C23" s="110"/>
      <c r="D23" s="109"/>
      <c r="E23" s="119"/>
      <c r="F23" s="119"/>
      <c r="G23" s="119"/>
      <c r="H23" s="119"/>
      <c r="I23" s="119"/>
      <c r="J23" s="109"/>
      <c r="K23" s="109"/>
      <c r="L23" s="109"/>
      <c r="M23" s="119"/>
      <c r="N23" s="119"/>
      <c r="O23" s="119"/>
      <c r="P23" s="119"/>
      <c r="Q23" s="119"/>
      <c r="R23" s="109"/>
      <c r="S23" s="109"/>
    </row>
    <row r="24" spans="1:20" ht="16.5" x14ac:dyDescent="0.25">
      <c r="A24" s="115">
        <v>6</v>
      </c>
      <c r="B24" s="110" t="s">
        <v>193</v>
      </c>
      <c r="C24" s="110"/>
      <c r="D24" s="109"/>
      <c r="E24" s="122"/>
      <c r="F24" s="119"/>
      <c r="G24" s="122"/>
      <c r="H24" s="122"/>
      <c r="I24" s="119"/>
      <c r="J24" s="109"/>
      <c r="K24" s="120"/>
      <c r="L24" s="110"/>
      <c r="M24" s="119"/>
      <c r="N24" s="119"/>
      <c r="O24" s="122"/>
      <c r="P24" s="122"/>
      <c r="Q24" s="119"/>
      <c r="R24" s="123" t="s">
        <v>194</v>
      </c>
      <c r="S24" s="123" t="s">
        <v>194</v>
      </c>
      <c r="T24" s="124" t="s">
        <v>194</v>
      </c>
    </row>
    <row r="25" spans="1:20" ht="16.5" x14ac:dyDescent="0.25">
      <c r="A25" s="115">
        <v>7</v>
      </c>
      <c r="B25" s="110" t="s">
        <v>195</v>
      </c>
      <c r="C25" s="110"/>
      <c r="D25" s="110"/>
      <c r="E25" s="119"/>
      <c r="F25" s="122"/>
      <c r="G25" s="122"/>
      <c r="H25" s="122"/>
      <c r="I25" s="119"/>
      <c r="J25" s="110"/>
      <c r="K25" s="120"/>
      <c r="L25" s="110"/>
      <c r="M25" s="119"/>
      <c r="N25" s="122"/>
      <c r="O25" s="122"/>
      <c r="P25" s="122"/>
      <c r="Q25" s="119"/>
      <c r="R25" s="109"/>
      <c r="S25" s="109"/>
    </row>
    <row r="26" spans="1:20" ht="16.5" x14ac:dyDescent="0.25">
      <c r="A26" s="115">
        <v>8</v>
      </c>
      <c r="B26" s="109" t="s">
        <v>196</v>
      </c>
      <c r="C26" s="110"/>
      <c r="D26" s="110"/>
      <c r="E26" s="118">
        <f>'C-2'!M24</f>
        <v>0</v>
      </c>
      <c r="F26" s="122"/>
      <c r="G26" s="122"/>
      <c r="H26" s="122"/>
      <c r="I26" s="119">
        <f>E26-G26</f>
        <v>0</v>
      </c>
      <c r="J26" s="110"/>
      <c r="K26" s="120">
        <v>1</v>
      </c>
      <c r="L26" s="110"/>
      <c r="M26" s="119">
        <f t="shared" si="1"/>
        <v>0</v>
      </c>
      <c r="N26" s="122"/>
      <c r="O26" s="122"/>
      <c r="P26" s="122"/>
      <c r="Q26" s="119">
        <f t="shared" ref="Q26:Q36" si="2">M26+O26</f>
        <v>0</v>
      </c>
      <c r="R26" s="109"/>
      <c r="S26" s="109"/>
    </row>
    <row r="27" spans="1:20" ht="16.5" x14ac:dyDescent="0.25">
      <c r="A27" s="115">
        <v>9</v>
      </c>
      <c r="B27" s="109" t="s">
        <v>197</v>
      </c>
      <c r="C27" s="110"/>
      <c r="D27" s="110"/>
      <c r="E27" s="118">
        <f>'C-2'!M25</f>
        <v>0</v>
      </c>
      <c r="F27" s="122"/>
      <c r="G27" s="122"/>
      <c r="H27" s="122"/>
      <c r="I27" s="119">
        <f>E27-G27</f>
        <v>0</v>
      </c>
      <c r="J27" s="110"/>
      <c r="K27" s="120">
        <v>1</v>
      </c>
      <c r="L27" s="110"/>
      <c r="M27" s="119">
        <f t="shared" si="1"/>
        <v>0</v>
      </c>
      <c r="N27" s="122"/>
      <c r="O27" s="122"/>
      <c r="P27" s="122"/>
      <c r="Q27" s="119">
        <f t="shared" si="2"/>
        <v>0</v>
      </c>
      <c r="R27" s="109"/>
      <c r="S27" s="109"/>
    </row>
    <row r="28" spans="1:20" ht="16.5" x14ac:dyDescent="0.25">
      <c r="A28" s="115">
        <v>10</v>
      </c>
      <c r="B28" s="109" t="s">
        <v>198</v>
      </c>
      <c r="C28" s="110"/>
      <c r="D28" s="110"/>
      <c r="E28" s="118">
        <f>'C-2'!M26</f>
        <v>0</v>
      </c>
      <c r="F28" s="122"/>
      <c r="G28" s="122"/>
      <c r="H28" s="122"/>
      <c r="I28" s="119">
        <f t="shared" si="0"/>
        <v>0</v>
      </c>
      <c r="J28" s="110"/>
      <c r="K28" s="120">
        <v>1</v>
      </c>
      <c r="L28" s="110"/>
      <c r="M28" s="119">
        <f t="shared" si="1"/>
        <v>0</v>
      </c>
      <c r="N28" s="122"/>
      <c r="O28" s="122"/>
      <c r="P28" s="122"/>
      <c r="Q28" s="119">
        <f t="shared" si="2"/>
        <v>0</v>
      </c>
      <c r="R28" s="109"/>
      <c r="S28" s="109"/>
    </row>
    <row r="29" spans="1:20" ht="16.5" x14ac:dyDescent="0.25">
      <c r="A29" s="115">
        <v>11</v>
      </c>
      <c r="B29" s="110" t="s">
        <v>199</v>
      </c>
      <c r="C29" s="110"/>
      <c r="D29" s="110"/>
      <c r="E29" s="118">
        <f>'C-2'!M27</f>
        <v>687569.54219999991</v>
      </c>
      <c r="F29" s="122"/>
      <c r="G29" s="122"/>
      <c r="H29" s="122"/>
      <c r="I29" s="119">
        <f t="shared" si="0"/>
        <v>687569.54219999991</v>
      </c>
      <c r="J29" s="110"/>
      <c r="K29" s="120">
        <v>1</v>
      </c>
      <c r="L29" s="110"/>
      <c r="M29" s="119">
        <f t="shared" si="1"/>
        <v>687569.54219999991</v>
      </c>
      <c r="N29" s="122"/>
      <c r="O29" s="122"/>
      <c r="P29" s="122"/>
      <c r="Q29" s="119">
        <f t="shared" si="2"/>
        <v>687569.54219999991</v>
      </c>
      <c r="R29" s="109"/>
      <c r="S29" s="109"/>
    </row>
    <row r="30" spans="1:20" ht="16.5" x14ac:dyDescent="0.25">
      <c r="A30" s="115">
        <v>12</v>
      </c>
      <c r="B30" s="110" t="s">
        <v>200</v>
      </c>
      <c r="C30" s="110"/>
      <c r="D30" s="110"/>
      <c r="E30" s="118">
        <f>'C-2'!M28</f>
        <v>5256669.1039678939</v>
      </c>
      <c r="F30" s="122"/>
      <c r="G30" s="122"/>
      <c r="H30" s="122"/>
      <c r="I30" s="119">
        <f>E30-G30</f>
        <v>5256669.1039678939</v>
      </c>
      <c r="J30" s="110"/>
      <c r="K30" s="120">
        <v>1</v>
      </c>
      <c r="L30" s="110"/>
      <c r="M30" s="119">
        <f>K30*I30</f>
        <v>5256669.1039678939</v>
      </c>
      <c r="N30" s="122"/>
      <c r="O30" s="122"/>
      <c r="P30" s="122"/>
      <c r="Q30" s="119">
        <f>M30+O30</f>
        <v>5256669.1039678939</v>
      </c>
      <c r="R30" s="109"/>
      <c r="S30" s="109"/>
    </row>
    <row r="31" spans="1:20" ht="16.5" x14ac:dyDescent="0.25">
      <c r="A31" s="115">
        <v>13</v>
      </c>
      <c r="B31" s="109" t="s">
        <v>201</v>
      </c>
      <c r="C31" s="110"/>
      <c r="D31" s="110"/>
      <c r="E31" s="118">
        <f>'C-2'!M29</f>
        <v>0</v>
      </c>
      <c r="F31" s="122"/>
      <c r="G31" s="122"/>
      <c r="H31" s="122"/>
      <c r="I31" s="119">
        <f t="shared" si="0"/>
        <v>0</v>
      </c>
      <c r="J31" s="110"/>
      <c r="K31" s="120">
        <v>1</v>
      </c>
      <c r="L31" s="110"/>
      <c r="M31" s="119">
        <f t="shared" si="1"/>
        <v>0</v>
      </c>
      <c r="N31" s="122"/>
      <c r="O31" s="122"/>
      <c r="P31" s="122"/>
      <c r="Q31" s="119">
        <f t="shared" si="2"/>
        <v>0</v>
      </c>
      <c r="R31" s="109"/>
      <c r="S31" s="109"/>
    </row>
    <row r="32" spans="1:20" ht="16.5" x14ac:dyDescent="0.25">
      <c r="A32" s="115">
        <v>14</v>
      </c>
      <c r="B32" s="110" t="s">
        <v>202</v>
      </c>
      <c r="C32" s="110"/>
      <c r="D32" s="110"/>
      <c r="E32" s="118">
        <f>'C-2'!M30</f>
        <v>371719.55044000002</v>
      </c>
      <c r="F32" s="122"/>
      <c r="G32" s="122"/>
      <c r="H32" s="122"/>
      <c r="I32" s="119">
        <f t="shared" si="0"/>
        <v>371719.55044000002</v>
      </c>
      <c r="J32" s="110"/>
      <c r="K32" s="120">
        <v>1</v>
      </c>
      <c r="L32" s="110"/>
      <c r="M32" s="119">
        <f t="shared" si="1"/>
        <v>371719.55044000002</v>
      </c>
      <c r="N32" s="122"/>
      <c r="O32" s="122"/>
      <c r="P32" s="122"/>
      <c r="Q32" s="119">
        <f t="shared" si="2"/>
        <v>371719.55044000002</v>
      </c>
      <c r="R32" s="109"/>
      <c r="S32" s="109"/>
    </row>
    <row r="33" spans="1:19" ht="16.5" x14ac:dyDescent="0.25">
      <c r="A33" s="115">
        <v>15</v>
      </c>
      <c r="B33" s="110" t="s">
        <v>203</v>
      </c>
      <c r="C33" s="110"/>
      <c r="D33" s="110"/>
      <c r="E33" s="118">
        <f>'C-2'!M31</f>
        <v>-1930025.8955834867</v>
      </c>
      <c r="F33" s="122"/>
      <c r="G33" s="122"/>
      <c r="H33" s="122"/>
      <c r="I33" s="119">
        <f t="shared" si="0"/>
        <v>-1930025.8955834867</v>
      </c>
      <c r="J33" s="110"/>
      <c r="K33" s="120">
        <v>1</v>
      </c>
      <c r="L33" s="110"/>
      <c r="M33" s="119">
        <f t="shared" si="1"/>
        <v>-1930025.8955834867</v>
      </c>
      <c r="N33" s="122"/>
      <c r="O33" s="122"/>
      <c r="P33" s="122"/>
      <c r="Q33" s="119">
        <f t="shared" si="2"/>
        <v>-1930025.8955834867</v>
      </c>
      <c r="R33" s="109"/>
      <c r="S33" s="109"/>
    </row>
    <row r="34" spans="1:19" ht="16.5" x14ac:dyDescent="0.25">
      <c r="A34" s="115">
        <v>16</v>
      </c>
      <c r="B34" s="110" t="s">
        <v>204</v>
      </c>
      <c r="C34" s="110"/>
      <c r="D34" s="110"/>
      <c r="E34" s="118">
        <f>'C-2'!E32</f>
        <v>0</v>
      </c>
      <c r="F34" s="122"/>
      <c r="G34" s="122"/>
      <c r="H34" s="122"/>
      <c r="I34" s="119">
        <f t="shared" si="0"/>
        <v>0</v>
      </c>
      <c r="J34" s="110"/>
      <c r="K34" s="120">
        <v>1</v>
      </c>
      <c r="L34" s="110"/>
      <c r="M34" s="119">
        <f t="shared" si="1"/>
        <v>0</v>
      </c>
      <c r="N34" s="122"/>
      <c r="O34" s="122"/>
      <c r="P34" s="122"/>
      <c r="Q34" s="119">
        <f t="shared" si="2"/>
        <v>0</v>
      </c>
      <c r="R34" s="109"/>
      <c r="S34" s="109"/>
    </row>
    <row r="35" spans="1:19" ht="16.5" x14ac:dyDescent="0.25">
      <c r="A35" s="115">
        <v>17</v>
      </c>
      <c r="B35" s="109" t="s">
        <v>205</v>
      </c>
      <c r="C35" s="110"/>
      <c r="D35" s="110"/>
      <c r="E35" s="118">
        <f>'C-2'!E33</f>
        <v>0</v>
      </c>
      <c r="F35" s="122"/>
      <c r="G35" s="122"/>
      <c r="H35" s="122"/>
      <c r="I35" s="119">
        <f t="shared" si="0"/>
        <v>0</v>
      </c>
      <c r="J35" s="110"/>
      <c r="K35" s="120">
        <v>1</v>
      </c>
      <c r="L35" s="110"/>
      <c r="M35" s="119">
        <f t="shared" si="1"/>
        <v>0</v>
      </c>
      <c r="N35" s="122"/>
      <c r="O35" s="122"/>
      <c r="P35" s="122"/>
      <c r="Q35" s="119">
        <f t="shared" si="2"/>
        <v>0</v>
      </c>
      <c r="R35" s="109"/>
      <c r="S35" s="109"/>
    </row>
    <row r="36" spans="1:19" ht="16.5" x14ac:dyDescent="0.25">
      <c r="A36" s="115">
        <v>18</v>
      </c>
      <c r="B36" s="110" t="s">
        <v>206</v>
      </c>
      <c r="C36" s="110"/>
      <c r="D36" s="110"/>
      <c r="E36" s="118">
        <f>'C-2'!E34</f>
        <v>0</v>
      </c>
      <c r="F36" s="122"/>
      <c r="G36" s="122"/>
      <c r="H36" s="122"/>
      <c r="I36" s="119">
        <f t="shared" si="0"/>
        <v>0</v>
      </c>
      <c r="J36" s="110"/>
      <c r="K36" s="120">
        <v>1</v>
      </c>
      <c r="L36" s="110"/>
      <c r="M36" s="119">
        <f t="shared" si="1"/>
        <v>0</v>
      </c>
      <c r="N36" s="122"/>
      <c r="O36" s="122"/>
      <c r="P36" s="122"/>
      <c r="Q36" s="119">
        <f t="shared" si="2"/>
        <v>0</v>
      </c>
      <c r="R36" s="109"/>
      <c r="S36" s="109"/>
    </row>
    <row r="37" spans="1:19" ht="16.5" x14ac:dyDescent="0.25">
      <c r="A37" s="115">
        <v>19</v>
      </c>
      <c r="B37" s="110" t="s">
        <v>207</v>
      </c>
      <c r="C37" s="110"/>
      <c r="D37" s="110"/>
      <c r="E37" s="125">
        <f>SUM(E26:E36)</f>
        <v>4385932.3010244071</v>
      </c>
      <c r="F37" s="122"/>
      <c r="G37" s="122"/>
      <c r="H37" s="122"/>
      <c r="I37" s="126">
        <f t="shared" si="0"/>
        <v>4385932.3010244071</v>
      </c>
      <c r="J37" s="110"/>
      <c r="K37" s="120">
        <v>1</v>
      </c>
      <c r="L37" s="110"/>
      <c r="M37" s="126">
        <f t="shared" si="1"/>
        <v>4385932.3010244071</v>
      </c>
      <c r="N37" s="122"/>
      <c r="O37" s="126">
        <f>SUM(O26:O36)</f>
        <v>0</v>
      </c>
      <c r="P37" s="122"/>
      <c r="Q37" s="126">
        <f>SUM(Q26:Q36)</f>
        <v>4385932.3010244071</v>
      </c>
      <c r="R37" s="109"/>
      <c r="S37" s="109"/>
    </row>
    <row r="38" spans="1:19" ht="16.5" x14ac:dyDescent="0.25">
      <c r="A38" s="115">
        <v>20</v>
      </c>
      <c r="B38" s="110"/>
      <c r="C38" s="110"/>
      <c r="D38" s="110"/>
      <c r="E38" s="118"/>
      <c r="F38" s="122"/>
      <c r="G38" s="122"/>
      <c r="H38" s="122"/>
      <c r="I38" s="119"/>
      <c r="J38" s="110"/>
      <c r="K38" s="110"/>
      <c r="L38" s="110"/>
      <c r="M38" s="119"/>
      <c r="N38" s="122"/>
      <c r="O38" s="122"/>
      <c r="P38" s="122"/>
      <c r="Q38" s="119"/>
      <c r="R38" s="109"/>
      <c r="S38" s="109"/>
    </row>
    <row r="39" spans="1:19" ht="17.25" thickBot="1" x14ac:dyDescent="0.3">
      <c r="A39" s="115">
        <v>21</v>
      </c>
      <c r="B39" s="110" t="s">
        <v>208</v>
      </c>
      <c r="C39" s="110"/>
      <c r="D39" s="110"/>
      <c r="E39" s="127">
        <f>E22-E37</f>
        <v>-4721104.3010244071</v>
      </c>
      <c r="F39" s="122"/>
      <c r="G39" s="122"/>
      <c r="H39" s="122"/>
      <c r="I39" s="128">
        <f t="shared" si="0"/>
        <v>-4721104.3010244071</v>
      </c>
      <c r="J39" s="110"/>
      <c r="K39" s="120">
        <v>1</v>
      </c>
      <c r="L39" s="110"/>
      <c r="M39" s="128">
        <f t="shared" si="1"/>
        <v>-4721104.3010244071</v>
      </c>
      <c r="N39" s="122"/>
      <c r="O39" s="129">
        <f>O22-O37</f>
        <v>0</v>
      </c>
      <c r="P39" s="122"/>
      <c r="Q39" s="128">
        <f>Q22-Q37</f>
        <v>-4721104.3010244071</v>
      </c>
      <c r="R39" s="109"/>
      <c r="S39" s="109"/>
    </row>
    <row r="40" spans="1:19" ht="17.25" thickTop="1" x14ac:dyDescent="0.25">
      <c r="A40" s="115">
        <v>22</v>
      </c>
      <c r="B40" s="116"/>
      <c r="C40" s="110"/>
      <c r="D40" s="110"/>
      <c r="E40" s="130"/>
      <c r="F40" s="110"/>
      <c r="G40" s="110"/>
      <c r="H40" s="110"/>
      <c r="I40" s="110"/>
      <c r="J40" s="110"/>
      <c r="K40" s="110"/>
      <c r="L40" s="110"/>
      <c r="M40" s="110"/>
      <c r="N40" s="110"/>
      <c r="O40" s="110"/>
      <c r="P40" s="110"/>
      <c r="Q40" s="109"/>
      <c r="R40" s="109"/>
      <c r="S40" s="109"/>
    </row>
    <row r="41" spans="1:19" ht="16.5" x14ac:dyDescent="0.25">
      <c r="A41" s="115">
        <v>23</v>
      </c>
      <c r="B41" s="116"/>
      <c r="C41" s="110"/>
      <c r="D41" s="110"/>
      <c r="E41" s="119"/>
      <c r="F41" s="110"/>
      <c r="G41" s="110"/>
      <c r="H41" s="110"/>
      <c r="I41" s="110"/>
      <c r="J41" s="110"/>
      <c r="K41" s="110"/>
      <c r="L41" s="110"/>
      <c r="M41" s="110"/>
      <c r="N41" s="110"/>
      <c r="O41" s="110"/>
      <c r="P41" s="110"/>
      <c r="Q41" s="119"/>
      <c r="R41" s="109"/>
      <c r="S41" s="109"/>
    </row>
    <row r="42" spans="1:19" ht="16.5" x14ac:dyDescent="0.25">
      <c r="A42" s="115">
        <v>24</v>
      </c>
      <c r="B42" s="110"/>
      <c r="C42" s="110"/>
      <c r="D42" s="110"/>
      <c r="E42" s="109"/>
      <c r="F42" s="110"/>
      <c r="G42" s="110"/>
      <c r="H42" s="110"/>
      <c r="I42" s="110"/>
      <c r="J42" s="110"/>
      <c r="K42" s="110"/>
      <c r="L42" s="110"/>
      <c r="M42" s="110"/>
      <c r="N42" s="110"/>
      <c r="O42" s="110"/>
      <c r="P42" s="110"/>
      <c r="Q42" s="109"/>
      <c r="R42" s="109"/>
      <c r="S42" s="109"/>
    </row>
    <row r="43" spans="1:19" ht="16.5" x14ac:dyDescent="0.25">
      <c r="A43" s="115">
        <v>25</v>
      </c>
      <c r="B43" s="109"/>
      <c r="C43" s="110"/>
      <c r="D43" s="110"/>
      <c r="E43" s="109"/>
      <c r="F43" s="110"/>
      <c r="G43" s="110"/>
      <c r="H43" s="110"/>
      <c r="I43" s="110"/>
      <c r="J43" s="110"/>
      <c r="K43" s="110"/>
      <c r="L43" s="110"/>
      <c r="M43" s="110"/>
      <c r="N43" s="110"/>
      <c r="O43" s="110"/>
      <c r="P43" s="110"/>
      <c r="Q43" s="119"/>
      <c r="R43" s="109"/>
      <c r="S43" s="109"/>
    </row>
    <row r="44" spans="1:19" ht="16.5" x14ac:dyDescent="0.25">
      <c r="A44" s="115">
        <v>26</v>
      </c>
      <c r="B44" s="109"/>
      <c r="C44" s="110"/>
      <c r="D44" s="110"/>
      <c r="E44" s="109"/>
      <c r="F44" s="110"/>
      <c r="G44" s="110"/>
      <c r="H44" s="110"/>
      <c r="I44" s="110"/>
      <c r="J44" s="110"/>
      <c r="K44" s="110"/>
      <c r="L44" s="110"/>
      <c r="M44" s="110"/>
      <c r="N44" s="110"/>
      <c r="O44" s="110"/>
      <c r="P44" s="110"/>
      <c r="Q44" s="109"/>
      <c r="R44" s="109"/>
      <c r="S44" s="109"/>
    </row>
    <row r="45" spans="1:19" ht="16.5" x14ac:dyDescent="0.25">
      <c r="A45" s="115">
        <v>27</v>
      </c>
      <c r="B45" s="109"/>
      <c r="C45" s="110"/>
      <c r="D45" s="110"/>
      <c r="E45" s="109"/>
      <c r="F45" s="110"/>
      <c r="G45" s="110"/>
      <c r="H45" s="110"/>
      <c r="I45" s="110"/>
      <c r="J45" s="110"/>
      <c r="K45" s="110"/>
      <c r="L45" s="110"/>
      <c r="M45" s="110"/>
      <c r="N45" s="110"/>
      <c r="O45" s="110"/>
      <c r="P45" s="110"/>
      <c r="Q45" s="109"/>
      <c r="R45" s="109"/>
      <c r="S45" s="109"/>
    </row>
    <row r="46" spans="1:19" ht="16.5" x14ac:dyDescent="0.25">
      <c r="A46" s="115">
        <v>28</v>
      </c>
      <c r="B46" s="109"/>
      <c r="C46" s="110"/>
      <c r="D46" s="110"/>
      <c r="E46" s="109"/>
      <c r="F46" s="110"/>
      <c r="G46" s="110"/>
      <c r="H46" s="110"/>
      <c r="I46" s="110"/>
      <c r="J46" s="110"/>
      <c r="K46" s="110"/>
      <c r="L46" s="110"/>
      <c r="M46" s="110"/>
      <c r="N46" s="110"/>
      <c r="O46" s="110"/>
      <c r="P46" s="110"/>
      <c r="Q46" s="109"/>
      <c r="R46" s="109"/>
      <c r="S46" s="109"/>
    </row>
    <row r="47" spans="1:19" ht="16.5" x14ac:dyDescent="0.25">
      <c r="A47" s="115">
        <v>29</v>
      </c>
      <c r="B47" s="109"/>
      <c r="C47" s="110"/>
      <c r="D47" s="110"/>
      <c r="E47" s="109"/>
      <c r="F47" s="110"/>
      <c r="G47" s="110"/>
      <c r="H47" s="110"/>
      <c r="I47" s="110"/>
      <c r="J47" s="110"/>
      <c r="K47" s="110"/>
      <c r="L47" s="110"/>
      <c r="M47" s="110"/>
      <c r="N47" s="110"/>
      <c r="O47" s="110"/>
      <c r="P47" s="110"/>
      <c r="Q47" s="109"/>
      <c r="R47" s="109"/>
      <c r="S47" s="109"/>
    </row>
    <row r="48" spans="1:19" ht="16.5" x14ac:dyDescent="0.25">
      <c r="A48" s="115">
        <v>30</v>
      </c>
      <c r="B48" s="109"/>
      <c r="C48" s="110"/>
      <c r="D48" s="110"/>
      <c r="E48" s="109"/>
      <c r="F48" s="110"/>
      <c r="G48" s="110"/>
      <c r="H48" s="110"/>
      <c r="I48" s="110"/>
      <c r="J48" s="110"/>
      <c r="K48" s="110"/>
      <c r="L48" s="110"/>
      <c r="M48" s="110"/>
      <c r="N48" s="110"/>
      <c r="O48" s="110"/>
      <c r="P48" s="110"/>
      <c r="Q48" s="109"/>
      <c r="R48" s="109"/>
      <c r="S48" s="109"/>
    </row>
    <row r="49" spans="1:19" ht="16.5" x14ac:dyDescent="0.25">
      <c r="A49" s="115">
        <v>31</v>
      </c>
      <c r="B49" s="109"/>
      <c r="C49" s="109"/>
      <c r="D49" s="110"/>
      <c r="E49" s="109"/>
      <c r="F49" s="109"/>
      <c r="G49" s="109"/>
      <c r="H49" s="109"/>
      <c r="I49" s="109"/>
      <c r="J49" s="109"/>
      <c r="K49" s="109"/>
      <c r="L49" s="109"/>
      <c r="M49" s="109"/>
      <c r="N49" s="109"/>
      <c r="O49" s="109"/>
      <c r="P49" s="109"/>
      <c r="Q49" s="109"/>
      <c r="R49" s="109"/>
      <c r="S49" s="109"/>
    </row>
    <row r="50" spans="1:19" ht="16.5" x14ac:dyDescent="0.25">
      <c r="A50" s="115">
        <v>32</v>
      </c>
      <c r="B50" s="109"/>
      <c r="C50" s="109"/>
      <c r="D50" s="109"/>
      <c r="E50" s="109"/>
      <c r="F50" s="109"/>
      <c r="G50" s="109"/>
      <c r="H50" s="109"/>
      <c r="I50" s="109"/>
      <c r="J50" s="109"/>
      <c r="K50" s="109"/>
      <c r="L50" s="109"/>
      <c r="M50" s="109"/>
      <c r="N50" s="109"/>
      <c r="O50" s="109"/>
      <c r="P50" s="109"/>
      <c r="Q50" s="109"/>
      <c r="R50" s="109"/>
      <c r="S50" s="109"/>
    </row>
    <row r="51" spans="1:19" ht="17.25" thickBot="1" x14ac:dyDescent="0.3">
      <c r="A51" s="109"/>
      <c r="B51" s="109"/>
      <c r="C51" s="109"/>
      <c r="D51" s="109"/>
      <c r="E51" s="109"/>
      <c r="F51" s="109"/>
      <c r="G51" s="109"/>
      <c r="H51" s="109"/>
      <c r="I51" s="109"/>
      <c r="J51" s="109"/>
      <c r="K51" s="109"/>
      <c r="L51" s="109"/>
      <c r="M51" s="109"/>
      <c r="N51" s="109"/>
      <c r="O51" s="109"/>
      <c r="P51" s="109"/>
      <c r="Q51" s="109"/>
      <c r="R51" s="109"/>
      <c r="S51" s="109"/>
    </row>
    <row r="52" spans="1:19" ht="16.5" x14ac:dyDescent="0.25">
      <c r="A52" s="112"/>
      <c r="B52" s="112"/>
      <c r="C52" s="112"/>
      <c r="D52" s="117"/>
      <c r="E52" s="117"/>
      <c r="F52" s="117" t="s">
        <v>108</v>
      </c>
      <c r="G52" s="117"/>
      <c r="H52" s="117"/>
      <c r="I52" s="117"/>
      <c r="J52" s="117"/>
      <c r="K52" s="117"/>
      <c r="L52" s="117"/>
      <c r="M52" s="112"/>
      <c r="N52" s="112"/>
      <c r="O52" s="117" t="s">
        <v>108</v>
      </c>
      <c r="P52" s="117"/>
      <c r="Q52" s="112"/>
      <c r="R52" s="112"/>
      <c r="S52" s="112"/>
    </row>
    <row r="53" spans="1:19" ht="16.5" x14ac:dyDescent="0.25">
      <c r="A53" s="109"/>
      <c r="B53" s="109"/>
      <c r="C53" s="109"/>
      <c r="D53" s="109"/>
      <c r="E53" s="109"/>
      <c r="F53" s="109"/>
      <c r="G53" s="109"/>
      <c r="H53" s="109"/>
      <c r="I53" s="109"/>
      <c r="J53" s="109"/>
      <c r="K53" s="109"/>
      <c r="L53" s="109"/>
      <c r="M53" s="109"/>
      <c r="N53" s="109"/>
      <c r="O53" s="109"/>
      <c r="P53" s="109"/>
      <c r="Q53" s="109"/>
      <c r="R53" s="109"/>
      <c r="S53" s="109"/>
    </row>
    <row r="57" spans="1:19" x14ac:dyDescent="0.2">
      <c r="B57" s="111" t="s">
        <v>209</v>
      </c>
      <c r="G57" s="131" t="s">
        <v>288</v>
      </c>
      <c r="M57" s="111" t="s">
        <v>466</v>
      </c>
    </row>
    <row r="58" spans="1:19" x14ac:dyDescent="0.2">
      <c r="E58" s="229"/>
      <c r="G58" s="111" t="s">
        <v>211</v>
      </c>
      <c r="I58" s="131">
        <f>-SUM('C-2'!E24:E30)+'C-2'!E18</f>
        <v>-1403571.2226399998</v>
      </c>
      <c r="M58" s="111" t="s">
        <v>211</v>
      </c>
      <c r="O58" s="131">
        <f>-Q26-Q27-Q28-Q29-Q30-Q32+Q22-Q36</f>
        <v>-6651130.1966078943</v>
      </c>
    </row>
    <row r="59" spans="1:19" x14ac:dyDescent="0.2">
      <c r="E59" s="230"/>
      <c r="G59" s="111" t="s">
        <v>212</v>
      </c>
      <c r="I59" s="132">
        <v>0.24521999999999999</v>
      </c>
      <c r="M59" s="111" t="s">
        <v>467</v>
      </c>
      <c r="O59" s="331">
        <f>'D-1a'!O29</f>
        <v>1219459.0521625427</v>
      </c>
    </row>
    <row r="60" spans="1:19" x14ac:dyDescent="0.2">
      <c r="E60" s="231"/>
      <c r="G60" s="111" t="s">
        <v>213</v>
      </c>
      <c r="I60" s="133">
        <f>I58*I59</f>
        <v>-344183.73521578073</v>
      </c>
      <c r="M60" s="111" t="s">
        <v>7</v>
      </c>
      <c r="O60" s="332">
        <f>O58-O59</f>
        <v>-7870589.2487704372</v>
      </c>
    </row>
    <row r="61" spans="1:19" x14ac:dyDescent="0.2">
      <c r="E61" s="230"/>
      <c r="M61" s="111" t="s">
        <v>212</v>
      </c>
      <c r="O61" s="111">
        <v>0.24521999999999999</v>
      </c>
    </row>
    <row r="62" spans="1:19" x14ac:dyDescent="0.2">
      <c r="M62" s="111" t="s">
        <v>213</v>
      </c>
      <c r="O62" s="332">
        <f>O60*O61</f>
        <v>-1930025.8955834867</v>
      </c>
    </row>
    <row r="63" spans="1:19" x14ac:dyDescent="0.2">
      <c r="M63" s="111" t="s">
        <v>471</v>
      </c>
      <c r="O63" s="133">
        <f>+'C-2'!E31+'C-2'!F31</f>
        <v>-1633224.1328907877</v>
      </c>
    </row>
    <row r="64" spans="1:19" x14ac:dyDescent="0.2">
      <c r="M64" s="111" t="s">
        <v>468</v>
      </c>
      <c r="O64" s="332">
        <f>O62-O63</f>
        <v>-296801.76269269898</v>
      </c>
    </row>
  </sheetData>
  <pageMargins left="0.7" right="0.7" top="0.75" bottom="0.75" header="0.3" footer="0.3"/>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M54"/>
  <sheetViews>
    <sheetView topLeftCell="F13" workbookViewId="0">
      <selection activeCell="H27" sqref="H27"/>
    </sheetView>
  </sheetViews>
  <sheetFormatPr defaultColWidth="12.5703125" defaultRowHeight="15" x14ac:dyDescent="0.2"/>
  <cols>
    <col min="1" max="1" width="10" style="111" customWidth="1"/>
    <col min="2" max="3" width="12.5703125" style="111" customWidth="1"/>
    <col min="4" max="4" width="11.7109375" style="111" customWidth="1"/>
    <col min="5" max="5" width="16.7109375" style="111" customWidth="1"/>
    <col min="6" max="6" width="17.42578125" style="111" customWidth="1"/>
    <col min="7" max="7" width="16.140625" style="111" customWidth="1"/>
    <col min="8" max="8" width="18.42578125" style="111" customWidth="1"/>
    <col min="9" max="9" width="19" style="111" customWidth="1"/>
    <col min="10" max="10" width="23.28515625" style="111" customWidth="1"/>
    <col min="11" max="11" width="4.28515625" style="111" customWidth="1"/>
    <col min="12" max="12" width="20.140625" style="111" customWidth="1"/>
    <col min="13" max="13" width="17.5703125" style="111" customWidth="1"/>
    <col min="14" max="256" width="12.5703125" style="111"/>
    <col min="257" max="257" width="10" style="111" customWidth="1"/>
    <col min="258" max="259" width="12.5703125" style="111" customWidth="1"/>
    <col min="260" max="260" width="11.7109375" style="111" customWidth="1"/>
    <col min="261" max="261" width="16.7109375" style="111" customWidth="1"/>
    <col min="262" max="262" width="17.42578125" style="111" customWidth="1"/>
    <col min="263" max="263" width="15.42578125" style="111" bestFit="1" customWidth="1"/>
    <col min="264" max="264" width="21" style="111" customWidth="1"/>
    <col min="265" max="265" width="19" style="111" customWidth="1"/>
    <col min="266" max="266" width="23.28515625" style="111" customWidth="1"/>
    <col min="267" max="267" width="12.5703125" style="111" customWidth="1"/>
    <col min="268" max="268" width="16.5703125" style="111" customWidth="1"/>
    <col min="269" max="269" width="17.5703125" style="111" customWidth="1"/>
    <col min="270" max="512" width="12.5703125" style="111"/>
    <col min="513" max="513" width="10" style="111" customWidth="1"/>
    <col min="514" max="515" width="12.5703125" style="111" customWidth="1"/>
    <col min="516" max="516" width="11.7109375" style="111" customWidth="1"/>
    <col min="517" max="517" width="16.7109375" style="111" customWidth="1"/>
    <col min="518" max="518" width="17.42578125" style="111" customWidth="1"/>
    <col min="519" max="519" width="15.42578125" style="111" bestFit="1" customWidth="1"/>
    <col min="520" max="520" width="21" style="111" customWidth="1"/>
    <col min="521" max="521" width="19" style="111" customWidth="1"/>
    <col min="522" max="522" width="23.28515625" style="111" customWidth="1"/>
    <col min="523" max="523" width="12.5703125" style="111" customWidth="1"/>
    <col min="524" max="524" width="16.5703125" style="111" customWidth="1"/>
    <col min="525" max="525" width="17.5703125" style="111" customWidth="1"/>
    <col min="526" max="768" width="12.5703125" style="111"/>
    <col min="769" max="769" width="10" style="111" customWidth="1"/>
    <col min="770" max="771" width="12.5703125" style="111" customWidth="1"/>
    <col min="772" max="772" width="11.7109375" style="111" customWidth="1"/>
    <col min="773" max="773" width="16.7109375" style="111" customWidth="1"/>
    <col min="774" max="774" width="17.42578125" style="111" customWidth="1"/>
    <col min="775" max="775" width="15.42578125" style="111" bestFit="1" customWidth="1"/>
    <col min="776" max="776" width="21" style="111" customWidth="1"/>
    <col min="777" max="777" width="19" style="111" customWidth="1"/>
    <col min="778" max="778" width="23.28515625" style="111" customWidth="1"/>
    <col min="779" max="779" width="12.5703125" style="111" customWidth="1"/>
    <col min="780" max="780" width="16.5703125" style="111" customWidth="1"/>
    <col min="781" max="781" width="17.5703125" style="111" customWidth="1"/>
    <col min="782" max="1024" width="12.5703125" style="111"/>
    <col min="1025" max="1025" width="10" style="111" customWidth="1"/>
    <col min="1026" max="1027" width="12.5703125" style="111" customWidth="1"/>
    <col min="1028" max="1028" width="11.7109375" style="111" customWidth="1"/>
    <col min="1029" max="1029" width="16.7109375" style="111" customWidth="1"/>
    <col min="1030" max="1030" width="17.42578125" style="111" customWidth="1"/>
    <col min="1031" max="1031" width="15.42578125" style="111" bestFit="1" customWidth="1"/>
    <col min="1032" max="1032" width="21" style="111" customWidth="1"/>
    <col min="1033" max="1033" width="19" style="111" customWidth="1"/>
    <col min="1034" max="1034" width="23.28515625" style="111" customWidth="1"/>
    <col min="1035" max="1035" width="12.5703125" style="111" customWidth="1"/>
    <col min="1036" max="1036" width="16.5703125" style="111" customWidth="1"/>
    <col min="1037" max="1037" width="17.5703125" style="111" customWidth="1"/>
    <col min="1038" max="1280" width="12.5703125" style="111"/>
    <col min="1281" max="1281" width="10" style="111" customWidth="1"/>
    <col min="1282" max="1283" width="12.5703125" style="111" customWidth="1"/>
    <col min="1284" max="1284" width="11.7109375" style="111" customWidth="1"/>
    <col min="1285" max="1285" width="16.7109375" style="111" customWidth="1"/>
    <col min="1286" max="1286" width="17.42578125" style="111" customWidth="1"/>
    <col min="1287" max="1287" width="15.42578125" style="111" bestFit="1" customWidth="1"/>
    <col min="1288" max="1288" width="21" style="111" customWidth="1"/>
    <col min="1289" max="1289" width="19" style="111" customWidth="1"/>
    <col min="1290" max="1290" width="23.28515625" style="111" customWidth="1"/>
    <col min="1291" max="1291" width="12.5703125" style="111" customWidth="1"/>
    <col min="1292" max="1292" width="16.5703125" style="111" customWidth="1"/>
    <col min="1293" max="1293" width="17.5703125" style="111" customWidth="1"/>
    <col min="1294" max="1536" width="12.5703125" style="111"/>
    <col min="1537" max="1537" width="10" style="111" customWidth="1"/>
    <col min="1538" max="1539" width="12.5703125" style="111" customWidth="1"/>
    <col min="1540" max="1540" width="11.7109375" style="111" customWidth="1"/>
    <col min="1541" max="1541" width="16.7109375" style="111" customWidth="1"/>
    <col min="1542" max="1542" width="17.42578125" style="111" customWidth="1"/>
    <col min="1543" max="1543" width="15.42578125" style="111" bestFit="1" customWidth="1"/>
    <col min="1544" max="1544" width="21" style="111" customWidth="1"/>
    <col min="1545" max="1545" width="19" style="111" customWidth="1"/>
    <col min="1546" max="1546" width="23.28515625" style="111" customWidth="1"/>
    <col min="1547" max="1547" width="12.5703125" style="111" customWidth="1"/>
    <col min="1548" max="1548" width="16.5703125" style="111" customWidth="1"/>
    <col min="1549" max="1549" width="17.5703125" style="111" customWidth="1"/>
    <col min="1550" max="1792" width="12.5703125" style="111"/>
    <col min="1793" max="1793" width="10" style="111" customWidth="1"/>
    <col min="1794" max="1795" width="12.5703125" style="111" customWidth="1"/>
    <col min="1796" max="1796" width="11.7109375" style="111" customWidth="1"/>
    <col min="1797" max="1797" width="16.7109375" style="111" customWidth="1"/>
    <col min="1798" max="1798" width="17.42578125" style="111" customWidth="1"/>
    <col min="1799" max="1799" width="15.42578125" style="111" bestFit="1" customWidth="1"/>
    <col min="1800" max="1800" width="21" style="111" customWidth="1"/>
    <col min="1801" max="1801" width="19" style="111" customWidth="1"/>
    <col min="1802" max="1802" width="23.28515625" style="111" customWidth="1"/>
    <col min="1803" max="1803" width="12.5703125" style="111" customWidth="1"/>
    <col min="1804" max="1804" width="16.5703125" style="111" customWidth="1"/>
    <col min="1805" max="1805" width="17.5703125" style="111" customWidth="1"/>
    <col min="1806" max="2048" width="12.5703125" style="111"/>
    <col min="2049" max="2049" width="10" style="111" customWidth="1"/>
    <col min="2050" max="2051" width="12.5703125" style="111" customWidth="1"/>
    <col min="2052" max="2052" width="11.7109375" style="111" customWidth="1"/>
    <col min="2053" max="2053" width="16.7109375" style="111" customWidth="1"/>
    <col min="2054" max="2054" width="17.42578125" style="111" customWidth="1"/>
    <col min="2055" max="2055" width="15.42578125" style="111" bestFit="1" customWidth="1"/>
    <col min="2056" max="2056" width="21" style="111" customWidth="1"/>
    <col min="2057" max="2057" width="19" style="111" customWidth="1"/>
    <col min="2058" max="2058" width="23.28515625" style="111" customWidth="1"/>
    <col min="2059" max="2059" width="12.5703125" style="111" customWidth="1"/>
    <col min="2060" max="2060" width="16.5703125" style="111" customWidth="1"/>
    <col min="2061" max="2061" width="17.5703125" style="111" customWidth="1"/>
    <col min="2062" max="2304" width="12.5703125" style="111"/>
    <col min="2305" max="2305" width="10" style="111" customWidth="1"/>
    <col min="2306" max="2307" width="12.5703125" style="111" customWidth="1"/>
    <col min="2308" max="2308" width="11.7109375" style="111" customWidth="1"/>
    <col min="2309" max="2309" width="16.7109375" style="111" customWidth="1"/>
    <col min="2310" max="2310" width="17.42578125" style="111" customWidth="1"/>
    <col min="2311" max="2311" width="15.42578125" style="111" bestFit="1" customWidth="1"/>
    <col min="2312" max="2312" width="21" style="111" customWidth="1"/>
    <col min="2313" max="2313" width="19" style="111" customWidth="1"/>
    <col min="2314" max="2314" width="23.28515625" style="111" customWidth="1"/>
    <col min="2315" max="2315" width="12.5703125" style="111" customWidth="1"/>
    <col min="2316" max="2316" width="16.5703125" style="111" customWidth="1"/>
    <col min="2317" max="2317" width="17.5703125" style="111" customWidth="1"/>
    <col min="2318" max="2560" width="12.5703125" style="111"/>
    <col min="2561" max="2561" width="10" style="111" customWidth="1"/>
    <col min="2562" max="2563" width="12.5703125" style="111" customWidth="1"/>
    <col min="2564" max="2564" width="11.7109375" style="111" customWidth="1"/>
    <col min="2565" max="2565" width="16.7109375" style="111" customWidth="1"/>
    <col min="2566" max="2566" width="17.42578125" style="111" customWidth="1"/>
    <col min="2567" max="2567" width="15.42578125" style="111" bestFit="1" customWidth="1"/>
    <col min="2568" max="2568" width="21" style="111" customWidth="1"/>
    <col min="2569" max="2569" width="19" style="111" customWidth="1"/>
    <col min="2570" max="2570" width="23.28515625" style="111" customWidth="1"/>
    <col min="2571" max="2571" width="12.5703125" style="111" customWidth="1"/>
    <col min="2572" max="2572" width="16.5703125" style="111" customWidth="1"/>
    <col min="2573" max="2573" width="17.5703125" style="111" customWidth="1"/>
    <col min="2574" max="2816" width="12.5703125" style="111"/>
    <col min="2817" max="2817" width="10" style="111" customWidth="1"/>
    <col min="2818" max="2819" width="12.5703125" style="111" customWidth="1"/>
    <col min="2820" max="2820" width="11.7109375" style="111" customWidth="1"/>
    <col min="2821" max="2821" width="16.7109375" style="111" customWidth="1"/>
    <col min="2822" max="2822" width="17.42578125" style="111" customWidth="1"/>
    <col min="2823" max="2823" width="15.42578125" style="111" bestFit="1" customWidth="1"/>
    <col min="2824" max="2824" width="21" style="111" customWidth="1"/>
    <col min="2825" max="2825" width="19" style="111" customWidth="1"/>
    <col min="2826" max="2826" width="23.28515625" style="111" customWidth="1"/>
    <col min="2827" max="2827" width="12.5703125" style="111" customWidth="1"/>
    <col min="2828" max="2828" width="16.5703125" style="111" customWidth="1"/>
    <col min="2829" max="2829" width="17.5703125" style="111" customWidth="1"/>
    <col min="2830" max="3072" width="12.5703125" style="111"/>
    <col min="3073" max="3073" width="10" style="111" customWidth="1"/>
    <col min="3074" max="3075" width="12.5703125" style="111" customWidth="1"/>
    <col min="3076" max="3076" width="11.7109375" style="111" customWidth="1"/>
    <col min="3077" max="3077" width="16.7109375" style="111" customWidth="1"/>
    <col min="3078" max="3078" width="17.42578125" style="111" customWidth="1"/>
    <col min="3079" max="3079" width="15.42578125" style="111" bestFit="1" customWidth="1"/>
    <col min="3080" max="3080" width="21" style="111" customWidth="1"/>
    <col min="3081" max="3081" width="19" style="111" customWidth="1"/>
    <col min="3082" max="3082" width="23.28515625" style="111" customWidth="1"/>
    <col min="3083" max="3083" width="12.5703125" style="111" customWidth="1"/>
    <col min="3084" max="3084" width="16.5703125" style="111" customWidth="1"/>
    <col min="3085" max="3085" width="17.5703125" style="111" customWidth="1"/>
    <col min="3086" max="3328" width="12.5703125" style="111"/>
    <col min="3329" max="3329" width="10" style="111" customWidth="1"/>
    <col min="3330" max="3331" width="12.5703125" style="111" customWidth="1"/>
    <col min="3332" max="3332" width="11.7109375" style="111" customWidth="1"/>
    <col min="3333" max="3333" width="16.7109375" style="111" customWidth="1"/>
    <col min="3334" max="3334" width="17.42578125" style="111" customWidth="1"/>
    <col min="3335" max="3335" width="15.42578125" style="111" bestFit="1" customWidth="1"/>
    <col min="3336" max="3336" width="21" style="111" customWidth="1"/>
    <col min="3337" max="3337" width="19" style="111" customWidth="1"/>
    <col min="3338" max="3338" width="23.28515625" style="111" customWidth="1"/>
    <col min="3339" max="3339" width="12.5703125" style="111" customWidth="1"/>
    <col min="3340" max="3340" width="16.5703125" style="111" customWidth="1"/>
    <col min="3341" max="3341" width="17.5703125" style="111" customWidth="1"/>
    <col min="3342" max="3584" width="12.5703125" style="111"/>
    <col min="3585" max="3585" width="10" style="111" customWidth="1"/>
    <col min="3586" max="3587" width="12.5703125" style="111" customWidth="1"/>
    <col min="3588" max="3588" width="11.7109375" style="111" customWidth="1"/>
    <col min="3589" max="3589" width="16.7109375" style="111" customWidth="1"/>
    <col min="3590" max="3590" width="17.42578125" style="111" customWidth="1"/>
    <col min="3591" max="3591" width="15.42578125" style="111" bestFit="1" customWidth="1"/>
    <col min="3592" max="3592" width="21" style="111" customWidth="1"/>
    <col min="3593" max="3593" width="19" style="111" customWidth="1"/>
    <col min="3594" max="3594" width="23.28515625" style="111" customWidth="1"/>
    <col min="3595" max="3595" width="12.5703125" style="111" customWidth="1"/>
    <col min="3596" max="3596" width="16.5703125" style="111" customWidth="1"/>
    <col min="3597" max="3597" width="17.5703125" style="111" customWidth="1"/>
    <col min="3598" max="3840" width="12.5703125" style="111"/>
    <col min="3841" max="3841" width="10" style="111" customWidth="1"/>
    <col min="3842" max="3843" width="12.5703125" style="111" customWidth="1"/>
    <col min="3844" max="3844" width="11.7109375" style="111" customWidth="1"/>
    <col min="3845" max="3845" width="16.7109375" style="111" customWidth="1"/>
    <col min="3846" max="3846" width="17.42578125" style="111" customWidth="1"/>
    <col min="3847" max="3847" width="15.42578125" style="111" bestFit="1" customWidth="1"/>
    <col min="3848" max="3848" width="21" style="111" customWidth="1"/>
    <col min="3849" max="3849" width="19" style="111" customWidth="1"/>
    <col min="3850" max="3850" width="23.28515625" style="111" customWidth="1"/>
    <col min="3851" max="3851" width="12.5703125" style="111" customWidth="1"/>
    <col min="3852" max="3852" width="16.5703125" style="111" customWidth="1"/>
    <col min="3853" max="3853" width="17.5703125" style="111" customWidth="1"/>
    <col min="3854" max="4096" width="12.5703125" style="111"/>
    <col min="4097" max="4097" width="10" style="111" customWidth="1"/>
    <col min="4098" max="4099" width="12.5703125" style="111" customWidth="1"/>
    <col min="4100" max="4100" width="11.7109375" style="111" customWidth="1"/>
    <col min="4101" max="4101" width="16.7109375" style="111" customWidth="1"/>
    <col min="4102" max="4102" width="17.42578125" style="111" customWidth="1"/>
    <col min="4103" max="4103" width="15.42578125" style="111" bestFit="1" customWidth="1"/>
    <col min="4104" max="4104" width="21" style="111" customWidth="1"/>
    <col min="4105" max="4105" width="19" style="111" customWidth="1"/>
    <col min="4106" max="4106" width="23.28515625" style="111" customWidth="1"/>
    <col min="4107" max="4107" width="12.5703125" style="111" customWidth="1"/>
    <col min="4108" max="4108" width="16.5703125" style="111" customWidth="1"/>
    <col min="4109" max="4109" width="17.5703125" style="111" customWidth="1"/>
    <col min="4110" max="4352" width="12.5703125" style="111"/>
    <col min="4353" max="4353" width="10" style="111" customWidth="1"/>
    <col min="4354" max="4355" width="12.5703125" style="111" customWidth="1"/>
    <col min="4356" max="4356" width="11.7109375" style="111" customWidth="1"/>
    <col min="4357" max="4357" width="16.7109375" style="111" customWidth="1"/>
    <col min="4358" max="4358" width="17.42578125" style="111" customWidth="1"/>
    <col min="4359" max="4359" width="15.42578125" style="111" bestFit="1" customWidth="1"/>
    <col min="4360" max="4360" width="21" style="111" customWidth="1"/>
    <col min="4361" max="4361" width="19" style="111" customWidth="1"/>
    <col min="4362" max="4362" width="23.28515625" style="111" customWidth="1"/>
    <col min="4363" max="4363" width="12.5703125" style="111" customWidth="1"/>
    <col min="4364" max="4364" width="16.5703125" style="111" customWidth="1"/>
    <col min="4365" max="4365" width="17.5703125" style="111" customWidth="1"/>
    <col min="4366" max="4608" width="12.5703125" style="111"/>
    <col min="4609" max="4609" width="10" style="111" customWidth="1"/>
    <col min="4610" max="4611" width="12.5703125" style="111" customWidth="1"/>
    <col min="4612" max="4612" width="11.7109375" style="111" customWidth="1"/>
    <col min="4613" max="4613" width="16.7109375" style="111" customWidth="1"/>
    <col min="4614" max="4614" width="17.42578125" style="111" customWidth="1"/>
    <col min="4615" max="4615" width="15.42578125" style="111" bestFit="1" customWidth="1"/>
    <col min="4616" max="4616" width="21" style="111" customWidth="1"/>
    <col min="4617" max="4617" width="19" style="111" customWidth="1"/>
    <col min="4618" max="4618" width="23.28515625" style="111" customWidth="1"/>
    <col min="4619" max="4619" width="12.5703125" style="111" customWidth="1"/>
    <col min="4620" max="4620" width="16.5703125" style="111" customWidth="1"/>
    <col min="4621" max="4621" width="17.5703125" style="111" customWidth="1"/>
    <col min="4622" max="4864" width="12.5703125" style="111"/>
    <col min="4865" max="4865" width="10" style="111" customWidth="1"/>
    <col min="4866" max="4867" width="12.5703125" style="111" customWidth="1"/>
    <col min="4868" max="4868" width="11.7109375" style="111" customWidth="1"/>
    <col min="4869" max="4869" width="16.7109375" style="111" customWidth="1"/>
    <col min="4870" max="4870" width="17.42578125" style="111" customWidth="1"/>
    <col min="4871" max="4871" width="15.42578125" style="111" bestFit="1" customWidth="1"/>
    <col min="4872" max="4872" width="21" style="111" customWidth="1"/>
    <col min="4873" max="4873" width="19" style="111" customWidth="1"/>
    <col min="4874" max="4874" width="23.28515625" style="111" customWidth="1"/>
    <col min="4875" max="4875" width="12.5703125" style="111" customWidth="1"/>
    <col min="4876" max="4876" width="16.5703125" style="111" customWidth="1"/>
    <col min="4877" max="4877" width="17.5703125" style="111" customWidth="1"/>
    <col min="4878" max="5120" width="12.5703125" style="111"/>
    <col min="5121" max="5121" width="10" style="111" customWidth="1"/>
    <col min="5122" max="5123" width="12.5703125" style="111" customWidth="1"/>
    <col min="5124" max="5124" width="11.7109375" style="111" customWidth="1"/>
    <col min="5125" max="5125" width="16.7109375" style="111" customWidth="1"/>
    <col min="5126" max="5126" width="17.42578125" style="111" customWidth="1"/>
    <col min="5127" max="5127" width="15.42578125" style="111" bestFit="1" customWidth="1"/>
    <col min="5128" max="5128" width="21" style="111" customWidth="1"/>
    <col min="5129" max="5129" width="19" style="111" customWidth="1"/>
    <col min="5130" max="5130" width="23.28515625" style="111" customWidth="1"/>
    <col min="5131" max="5131" width="12.5703125" style="111" customWidth="1"/>
    <col min="5132" max="5132" width="16.5703125" style="111" customWidth="1"/>
    <col min="5133" max="5133" width="17.5703125" style="111" customWidth="1"/>
    <col min="5134" max="5376" width="12.5703125" style="111"/>
    <col min="5377" max="5377" width="10" style="111" customWidth="1"/>
    <col min="5378" max="5379" width="12.5703125" style="111" customWidth="1"/>
    <col min="5380" max="5380" width="11.7109375" style="111" customWidth="1"/>
    <col min="5381" max="5381" width="16.7109375" style="111" customWidth="1"/>
    <col min="5382" max="5382" width="17.42578125" style="111" customWidth="1"/>
    <col min="5383" max="5383" width="15.42578125" style="111" bestFit="1" customWidth="1"/>
    <col min="5384" max="5384" width="21" style="111" customWidth="1"/>
    <col min="5385" max="5385" width="19" style="111" customWidth="1"/>
    <col min="5386" max="5386" width="23.28515625" style="111" customWidth="1"/>
    <col min="5387" max="5387" width="12.5703125" style="111" customWidth="1"/>
    <col min="5388" max="5388" width="16.5703125" style="111" customWidth="1"/>
    <col min="5389" max="5389" width="17.5703125" style="111" customWidth="1"/>
    <col min="5390" max="5632" width="12.5703125" style="111"/>
    <col min="5633" max="5633" width="10" style="111" customWidth="1"/>
    <col min="5634" max="5635" width="12.5703125" style="111" customWidth="1"/>
    <col min="5636" max="5636" width="11.7109375" style="111" customWidth="1"/>
    <col min="5637" max="5637" width="16.7109375" style="111" customWidth="1"/>
    <col min="5638" max="5638" width="17.42578125" style="111" customWidth="1"/>
    <col min="5639" max="5639" width="15.42578125" style="111" bestFit="1" customWidth="1"/>
    <col min="5640" max="5640" width="21" style="111" customWidth="1"/>
    <col min="5641" max="5641" width="19" style="111" customWidth="1"/>
    <col min="5642" max="5642" width="23.28515625" style="111" customWidth="1"/>
    <col min="5643" max="5643" width="12.5703125" style="111" customWidth="1"/>
    <col min="5644" max="5644" width="16.5703125" style="111" customWidth="1"/>
    <col min="5645" max="5645" width="17.5703125" style="111" customWidth="1"/>
    <col min="5646" max="5888" width="12.5703125" style="111"/>
    <col min="5889" max="5889" width="10" style="111" customWidth="1"/>
    <col min="5890" max="5891" width="12.5703125" style="111" customWidth="1"/>
    <col min="5892" max="5892" width="11.7109375" style="111" customWidth="1"/>
    <col min="5893" max="5893" width="16.7109375" style="111" customWidth="1"/>
    <col min="5894" max="5894" width="17.42578125" style="111" customWidth="1"/>
    <col min="5895" max="5895" width="15.42578125" style="111" bestFit="1" customWidth="1"/>
    <col min="5896" max="5896" width="21" style="111" customWidth="1"/>
    <col min="5897" max="5897" width="19" style="111" customWidth="1"/>
    <col min="5898" max="5898" width="23.28515625" style="111" customWidth="1"/>
    <col min="5899" max="5899" width="12.5703125" style="111" customWidth="1"/>
    <col min="5900" max="5900" width="16.5703125" style="111" customWidth="1"/>
    <col min="5901" max="5901" width="17.5703125" style="111" customWidth="1"/>
    <col min="5902" max="6144" width="12.5703125" style="111"/>
    <col min="6145" max="6145" width="10" style="111" customWidth="1"/>
    <col min="6146" max="6147" width="12.5703125" style="111" customWidth="1"/>
    <col min="6148" max="6148" width="11.7109375" style="111" customWidth="1"/>
    <col min="6149" max="6149" width="16.7109375" style="111" customWidth="1"/>
    <col min="6150" max="6150" width="17.42578125" style="111" customWidth="1"/>
    <col min="6151" max="6151" width="15.42578125" style="111" bestFit="1" customWidth="1"/>
    <col min="6152" max="6152" width="21" style="111" customWidth="1"/>
    <col min="6153" max="6153" width="19" style="111" customWidth="1"/>
    <col min="6154" max="6154" width="23.28515625" style="111" customWidth="1"/>
    <col min="6155" max="6155" width="12.5703125" style="111" customWidth="1"/>
    <col min="6156" max="6156" width="16.5703125" style="111" customWidth="1"/>
    <col min="6157" max="6157" width="17.5703125" style="111" customWidth="1"/>
    <col min="6158" max="6400" width="12.5703125" style="111"/>
    <col min="6401" max="6401" width="10" style="111" customWidth="1"/>
    <col min="6402" max="6403" width="12.5703125" style="111" customWidth="1"/>
    <col min="6404" max="6404" width="11.7109375" style="111" customWidth="1"/>
    <col min="6405" max="6405" width="16.7109375" style="111" customWidth="1"/>
    <col min="6406" max="6406" width="17.42578125" style="111" customWidth="1"/>
    <col min="6407" max="6407" width="15.42578125" style="111" bestFit="1" customWidth="1"/>
    <col min="6408" max="6408" width="21" style="111" customWidth="1"/>
    <col min="6409" max="6409" width="19" style="111" customWidth="1"/>
    <col min="6410" max="6410" width="23.28515625" style="111" customWidth="1"/>
    <col min="6411" max="6411" width="12.5703125" style="111" customWidth="1"/>
    <col min="6412" max="6412" width="16.5703125" style="111" customWidth="1"/>
    <col min="6413" max="6413" width="17.5703125" style="111" customWidth="1"/>
    <col min="6414" max="6656" width="12.5703125" style="111"/>
    <col min="6657" max="6657" width="10" style="111" customWidth="1"/>
    <col min="6658" max="6659" width="12.5703125" style="111" customWidth="1"/>
    <col min="6660" max="6660" width="11.7109375" style="111" customWidth="1"/>
    <col min="6661" max="6661" width="16.7109375" style="111" customWidth="1"/>
    <col min="6662" max="6662" width="17.42578125" style="111" customWidth="1"/>
    <col min="6663" max="6663" width="15.42578125" style="111" bestFit="1" customWidth="1"/>
    <col min="6664" max="6664" width="21" style="111" customWidth="1"/>
    <col min="6665" max="6665" width="19" style="111" customWidth="1"/>
    <col min="6666" max="6666" width="23.28515625" style="111" customWidth="1"/>
    <col min="6667" max="6667" width="12.5703125" style="111" customWidth="1"/>
    <col min="6668" max="6668" width="16.5703125" style="111" customWidth="1"/>
    <col min="6669" max="6669" width="17.5703125" style="111" customWidth="1"/>
    <col min="6670" max="6912" width="12.5703125" style="111"/>
    <col min="6913" max="6913" width="10" style="111" customWidth="1"/>
    <col min="6914" max="6915" width="12.5703125" style="111" customWidth="1"/>
    <col min="6916" max="6916" width="11.7109375" style="111" customWidth="1"/>
    <col min="6917" max="6917" width="16.7109375" style="111" customWidth="1"/>
    <col min="6918" max="6918" width="17.42578125" style="111" customWidth="1"/>
    <col min="6919" max="6919" width="15.42578125" style="111" bestFit="1" customWidth="1"/>
    <col min="6920" max="6920" width="21" style="111" customWidth="1"/>
    <col min="6921" max="6921" width="19" style="111" customWidth="1"/>
    <col min="6922" max="6922" width="23.28515625" style="111" customWidth="1"/>
    <col min="6923" max="6923" width="12.5703125" style="111" customWidth="1"/>
    <col min="6924" max="6924" width="16.5703125" style="111" customWidth="1"/>
    <col min="6925" max="6925" width="17.5703125" style="111" customWidth="1"/>
    <col min="6926" max="7168" width="12.5703125" style="111"/>
    <col min="7169" max="7169" width="10" style="111" customWidth="1"/>
    <col min="7170" max="7171" width="12.5703125" style="111" customWidth="1"/>
    <col min="7172" max="7172" width="11.7109375" style="111" customWidth="1"/>
    <col min="7173" max="7173" width="16.7109375" style="111" customWidth="1"/>
    <col min="7174" max="7174" width="17.42578125" style="111" customWidth="1"/>
    <col min="7175" max="7175" width="15.42578125" style="111" bestFit="1" customWidth="1"/>
    <col min="7176" max="7176" width="21" style="111" customWidth="1"/>
    <col min="7177" max="7177" width="19" style="111" customWidth="1"/>
    <col min="7178" max="7178" width="23.28515625" style="111" customWidth="1"/>
    <col min="7179" max="7179" width="12.5703125" style="111" customWidth="1"/>
    <col min="7180" max="7180" width="16.5703125" style="111" customWidth="1"/>
    <col min="7181" max="7181" width="17.5703125" style="111" customWidth="1"/>
    <col min="7182" max="7424" width="12.5703125" style="111"/>
    <col min="7425" max="7425" width="10" style="111" customWidth="1"/>
    <col min="7426" max="7427" width="12.5703125" style="111" customWidth="1"/>
    <col min="7428" max="7428" width="11.7109375" style="111" customWidth="1"/>
    <col min="7429" max="7429" width="16.7109375" style="111" customWidth="1"/>
    <col min="7430" max="7430" width="17.42578125" style="111" customWidth="1"/>
    <col min="7431" max="7431" width="15.42578125" style="111" bestFit="1" customWidth="1"/>
    <col min="7432" max="7432" width="21" style="111" customWidth="1"/>
    <col min="7433" max="7433" width="19" style="111" customWidth="1"/>
    <col min="7434" max="7434" width="23.28515625" style="111" customWidth="1"/>
    <col min="7435" max="7435" width="12.5703125" style="111" customWidth="1"/>
    <col min="7436" max="7436" width="16.5703125" style="111" customWidth="1"/>
    <col min="7437" max="7437" width="17.5703125" style="111" customWidth="1"/>
    <col min="7438" max="7680" width="12.5703125" style="111"/>
    <col min="7681" max="7681" width="10" style="111" customWidth="1"/>
    <col min="7682" max="7683" width="12.5703125" style="111" customWidth="1"/>
    <col min="7684" max="7684" width="11.7109375" style="111" customWidth="1"/>
    <col min="7685" max="7685" width="16.7109375" style="111" customWidth="1"/>
    <col min="7686" max="7686" width="17.42578125" style="111" customWidth="1"/>
    <col min="7687" max="7687" width="15.42578125" style="111" bestFit="1" customWidth="1"/>
    <col min="7688" max="7688" width="21" style="111" customWidth="1"/>
    <col min="7689" max="7689" width="19" style="111" customWidth="1"/>
    <col min="7690" max="7690" width="23.28515625" style="111" customWidth="1"/>
    <col min="7691" max="7691" width="12.5703125" style="111" customWidth="1"/>
    <col min="7692" max="7692" width="16.5703125" style="111" customWidth="1"/>
    <col min="7693" max="7693" width="17.5703125" style="111" customWidth="1"/>
    <col min="7694" max="7936" width="12.5703125" style="111"/>
    <col min="7937" max="7937" width="10" style="111" customWidth="1"/>
    <col min="7938" max="7939" width="12.5703125" style="111" customWidth="1"/>
    <col min="7940" max="7940" width="11.7109375" style="111" customWidth="1"/>
    <col min="7941" max="7941" width="16.7109375" style="111" customWidth="1"/>
    <col min="7942" max="7942" width="17.42578125" style="111" customWidth="1"/>
    <col min="7943" max="7943" width="15.42578125" style="111" bestFit="1" customWidth="1"/>
    <col min="7944" max="7944" width="21" style="111" customWidth="1"/>
    <col min="7945" max="7945" width="19" style="111" customWidth="1"/>
    <col min="7946" max="7946" width="23.28515625" style="111" customWidth="1"/>
    <col min="7947" max="7947" width="12.5703125" style="111" customWidth="1"/>
    <col min="7948" max="7948" width="16.5703125" style="111" customWidth="1"/>
    <col min="7949" max="7949" width="17.5703125" style="111" customWidth="1"/>
    <col min="7950" max="8192" width="12.5703125" style="111"/>
    <col min="8193" max="8193" width="10" style="111" customWidth="1"/>
    <col min="8194" max="8195" width="12.5703125" style="111" customWidth="1"/>
    <col min="8196" max="8196" width="11.7109375" style="111" customWidth="1"/>
    <col min="8197" max="8197" width="16.7109375" style="111" customWidth="1"/>
    <col min="8198" max="8198" width="17.42578125" style="111" customWidth="1"/>
    <col min="8199" max="8199" width="15.42578125" style="111" bestFit="1" customWidth="1"/>
    <col min="8200" max="8200" width="21" style="111" customWidth="1"/>
    <col min="8201" max="8201" width="19" style="111" customWidth="1"/>
    <col min="8202" max="8202" width="23.28515625" style="111" customWidth="1"/>
    <col min="8203" max="8203" width="12.5703125" style="111" customWidth="1"/>
    <col min="8204" max="8204" width="16.5703125" style="111" customWidth="1"/>
    <col min="8205" max="8205" width="17.5703125" style="111" customWidth="1"/>
    <col min="8206" max="8448" width="12.5703125" style="111"/>
    <col min="8449" max="8449" width="10" style="111" customWidth="1"/>
    <col min="8450" max="8451" width="12.5703125" style="111" customWidth="1"/>
    <col min="8452" max="8452" width="11.7109375" style="111" customWidth="1"/>
    <col min="8453" max="8453" width="16.7109375" style="111" customWidth="1"/>
    <col min="8454" max="8454" width="17.42578125" style="111" customWidth="1"/>
    <col min="8455" max="8455" width="15.42578125" style="111" bestFit="1" customWidth="1"/>
    <col min="8456" max="8456" width="21" style="111" customWidth="1"/>
    <col min="8457" max="8457" width="19" style="111" customWidth="1"/>
    <col min="8458" max="8458" width="23.28515625" style="111" customWidth="1"/>
    <col min="8459" max="8459" width="12.5703125" style="111" customWidth="1"/>
    <col min="8460" max="8460" width="16.5703125" style="111" customWidth="1"/>
    <col min="8461" max="8461" width="17.5703125" style="111" customWidth="1"/>
    <col min="8462" max="8704" width="12.5703125" style="111"/>
    <col min="8705" max="8705" width="10" style="111" customWidth="1"/>
    <col min="8706" max="8707" width="12.5703125" style="111" customWidth="1"/>
    <col min="8708" max="8708" width="11.7109375" style="111" customWidth="1"/>
    <col min="8709" max="8709" width="16.7109375" style="111" customWidth="1"/>
    <col min="8710" max="8710" width="17.42578125" style="111" customWidth="1"/>
    <col min="8711" max="8711" width="15.42578125" style="111" bestFit="1" customWidth="1"/>
    <col min="8712" max="8712" width="21" style="111" customWidth="1"/>
    <col min="8713" max="8713" width="19" style="111" customWidth="1"/>
    <col min="8714" max="8714" width="23.28515625" style="111" customWidth="1"/>
    <col min="8715" max="8715" width="12.5703125" style="111" customWidth="1"/>
    <col min="8716" max="8716" width="16.5703125" style="111" customWidth="1"/>
    <col min="8717" max="8717" width="17.5703125" style="111" customWidth="1"/>
    <col min="8718" max="8960" width="12.5703125" style="111"/>
    <col min="8961" max="8961" width="10" style="111" customWidth="1"/>
    <col min="8962" max="8963" width="12.5703125" style="111" customWidth="1"/>
    <col min="8964" max="8964" width="11.7109375" style="111" customWidth="1"/>
    <col min="8965" max="8965" width="16.7109375" style="111" customWidth="1"/>
    <col min="8966" max="8966" width="17.42578125" style="111" customWidth="1"/>
    <col min="8967" max="8967" width="15.42578125" style="111" bestFit="1" customWidth="1"/>
    <col min="8968" max="8968" width="21" style="111" customWidth="1"/>
    <col min="8969" max="8969" width="19" style="111" customWidth="1"/>
    <col min="8970" max="8970" width="23.28515625" style="111" customWidth="1"/>
    <col min="8971" max="8971" width="12.5703125" style="111" customWidth="1"/>
    <col min="8972" max="8972" width="16.5703125" style="111" customWidth="1"/>
    <col min="8973" max="8973" width="17.5703125" style="111" customWidth="1"/>
    <col min="8974" max="9216" width="12.5703125" style="111"/>
    <col min="9217" max="9217" width="10" style="111" customWidth="1"/>
    <col min="9218" max="9219" width="12.5703125" style="111" customWidth="1"/>
    <col min="9220" max="9220" width="11.7109375" style="111" customWidth="1"/>
    <col min="9221" max="9221" width="16.7109375" style="111" customWidth="1"/>
    <col min="9222" max="9222" width="17.42578125" style="111" customWidth="1"/>
    <col min="9223" max="9223" width="15.42578125" style="111" bestFit="1" customWidth="1"/>
    <col min="9224" max="9224" width="21" style="111" customWidth="1"/>
    <col min="9225" max="9225" width="19" style="111" customWidth="1"/>
    <col min="9226" max="9226" width="23.28515625" style="111" customWidth="1"/>
    <col min="9227" max="9227" width="12.5703125" style="111" customWidth="1"/>
    <col min="9228" max="9228" width="16.5703125" style="111" customWidth="1"/>
    <col min="9229" max="9229" width="17.5703125" style="111" customWidth="1"/>
    <col min="9230" max="9472" width="12.5703125" style="111"/>
    <col min="9473" max="9473" width="10" style="111" customWidth="1"/>
    <col min="9474" max="9475" width="12.5703125" style="111" customWidth="1"/>
    <col min="9476" max="9476" width="11.7109375" style="111" customWidth="1"/>
    <col min="9477" max="9477" width="16.7109375" style="111" customWidth="1"/>
    <col min="9478" max="9478" width="17.42578125" style="111" customWidth="1"/>
    <col min="9479" max="9479" width="15.42578125" style="111" bestFit="1" customWidth="1"/>
    <col min="9480" max="9480" width="21" style="111" customWidth="1"/>
    <col min="9481" max="9481" width="19" style="111" customWidth="1"/>
    <col min="9482" max="9482" width="23.28515625" style="111" customWidth="1"/>
    <col min="9483" max="9483" width="12.5703125" style="111" customWidth="1"/>
    <col min="9484" max="9484" width="16.5703125" style="111" customWidth="1"/>
    <col min="9485" max="9485" width="17.5703125" style="111" customWidth="1"/>
    <col min="9486" max="9728" width="12.5703125" style="111"/>
    <col min="9729" max="9729" width="10" style="111" customWidth="1"/>
    <col min="9730" max="9731" width="12.5703125" style="111" customWidth="1"/>
    <col min="9732" max="9732" width="11.7109375" style="111" customWidth="1"/>
    <col min="9733" max="9733" width="16.7109375" style="111" customWidth="1"/>
    <col min="9734" max="9734" width="17.42578125" style="111" customWidth="1"/>
    <col min="9735" max="9735" width="15.42578125" style="111" bestFit="1" customWidth="1"/>
    <col min="9736" max="9736" width="21" style="111" customWidth="1"/>
    <col min="9737" max="9737" width="19" style="111" customWidth="1"/>
    <col min="9738" max="9738" width="23.28515625" style="111" customWidth="1"/>
    <col min="9739" max="9739" width="12.5703125" style="111" customWidth="1"/>
    <col min="9740" max="9740" width="16.5703125" style="111" customWidth="1"/>
    <col min="9741" max="9741" width="17.5703125" style="111" customWidth="1"/>
    <col min="9742" max="9984" width="12.5703125" style="111"/>
    <col min="9985" max="9985" width="10" style="111" customWidth="1"/>
    <col min="9986" max="9987" width="12.5703125" style="111" customWidth="1"/>
    <col min="9988" max="9988" width="11.7109375" style="111" customWidth="1"/>
    <col min="9989" max="9989" width="16.7109375" style="111" customWidth="1"/>
    <col min="9990" max="9990" width="17.42578125" style="111" customWidth="1"/>
    <col min="9991" max="9991" width="15.42578125" style="111" bestFit="1" customWidth="1"/>
    <col min="9992" max="9992" width="21" style="111" customWidth="1"/>
    <col min="9993" max="9993" width="19" style="111" customWidth="1"/>
    <col min="9994" max="9994" width="23.28515625" style="111" customWidth="1"/>
    <col min="9995" max="9995" width="12.5703125" style="111" customWidth="1"/>
    <col min="9996" max="9996" width="16.5703125" style="111" customWidth="1"/>
    <col min="9997" max="9997" width="17.5703125" style="111" customWidth="1"/>
    <col min="9998" max="10240" width="12.5703125" style="111"/>
    <col min="10241" max="10241" width="10" style="111" customWidth="1"/>
    <col min="10242" max="10243" width="12.5703125" style="111" customWidth="1"/>
    <col min="10244" max="10244" width="11.7109375" style="111" customWidth="1"/>
    <col min="10245" max="10245" width="16.7109375" style="111" customWidth="1"/>
    <col min="10246" max="10246" width="17.42578125" style="111" customWidth="1"/>
    <col min="10247" max="10247" width="15.42578125" style="111" bestFit="1" customWidth="1"/>
    <col min="10248" max="10248" width="21" style="111" customWidth="1"/>
    <col min="10249" max="10249" width="19" style="111" customWidth="1"/>
    <col min="10250" max="10250" width="23.28515625" style="111" customWidth="1"/>
    <col min="10251" max="10251" width="12.5703125" style="111" customWidth="1"/>
    <col min="10252" max="10252" width="16.5703125" style="111" customWidth="1"/>
    <col min="10253" max="10253" width="17.5703125" style="111" customWidth="1"/>
    <col min="10254" max="10496" width="12.5703125" style="111"/>
    <col min="10497" max="10497" width="10" style="111" customWidth="1"/>
    <col min="10498" max="10499" width="12.5703125" style="111" customWidth="1"/>
    <col min="10500" max="10500" width="11.7109375" style="111" customWidth="1"/>
    <col min="10501" max="10501" width="16.7109375" style="111" customWidth="1"/>
    <col min="10502" max="10502" width="17.42578125" style="111" customWidth="1"/>
    <col min="10503" max="10503" width="15.42578125" style="111" bestFit="1" customWidth="1"/>
    <col min="10504" max="10504" width="21" style="111" customWidth="1"/>
    <col min="10505" max="10505" width="19" style="111" customWidth="1"/>
    <col min="10506" max="10506" width="23.28515625" style="111" customWidth="1"/>
    <col min="10507" max="10507" width="12.5703125" style="111" customWidth="1"/>
    <col min="10508" max="10508" width="16.5703125" style="111" customWidth="1"/>
    <col min="10509" max="10509" width="17.5703125" style="111" customWidth="1"/>
    <col min="10510" max="10752" width="12.5703125" style="111"/>
    <col min="10753" max="10753" width="10" style="111" customWidth="1"/>
    <col min="10754" max="10755" width="12.5703125" style="111" customWidth="1"/>
    <col min="10756" max="10756" width="11.7109375" style="111" customWidth="1"/>
    <col min="10757" max="10757" width="16.7109375" style="111" customWidth="1"/>
    <col min="10758" max="10758" width="17.42578125" style="111" customWidth="1"/>
    <col min="10759" max="10759" width="15.42578125" style="111" bestFit="1" customWidth="1"/>
    <col min="10760" max="10760" width="21" style="111" customWidth="1"/>
    <col min="10761" max="10761" width="19" style="111" customWidth="1"/>
    <col min="10762" max="10762" width="23.28515625" style="111" customWidth="1"/>
    <col min="10763" max="10763" width="12.5703125" style="111" customWidth="1"/>
    <col min="10764" max="10764" width="16.5703125" style="111" customWidth="1"/>
    <col min="10765" max="10765" width="17.5703125" style="111" customWidth="1"/>
    <col min="10766" max="11008" width="12.5703125" style="111"/>
    <col min="11009" max="11009" width="10" style="111" customWidth="1"/>
    <col min="11010" max="11011" width="12.5703125" style="111" customWidth="1"/>
    <col min="11012" max="11012" width="11.7109375" style="111" customWidth="1"/>
    <col min="11013" max="11013" width="16.7109375" style="111" customWidth="1"/>
    <col min="11014" max="11014" width="17.42578125" style="111" customWidth="1"/>
    <col min="11015" max="11015" width="15.42578125" style="111" bestFit="1" customWidth="1"/>
    <col min="11016" max="11016" width="21" style="111" customWidth="1"/>
    <col min="11017" max="11017" width="19" style="111" customWidth="1"/>
    <col min="11018" max="11018" width="23.28515625" style="111" customWidth="1"/>
    <col min="11019" max="11019" width="12.5703125" style="111" customWidth="1"/>
    <col min="11020" max="11020" width="16.5703125" style="111" customWidth="1"/>
    <col min="11021" max="11021" width="17.5703125" style="111" customWidth="1"/>
    <col min="11022" max="11264" width="12.5703125" style="111"/>
    <col min="11265" max="11265" width="10" style="111" customWidth="1"/>
    <col min="11266" max="11267" width="12.5703125" style="111" customWidth="1"/>
    <col min="11268" max="11268" width="11.7109375" style="111" customWidth="1"/>
    <col min="11269" max="11269" width="16.7109375" style="111" customWidth="1"/>
    <col min="11270" max="11270" width="17.42578125" style="111" customWidth="1"/>
    <col min="11271" max="11271" width="15.42578125" style="111" bestFit="1" customWidth="1"/>
    <col min="11272" max="11272" width="21" style="111" customWidth="1"/>
    <col min="11273" max="11273" width="19" style="111" customWidth="1"/>
    <col min="11274" max="11274" width="23.28515625" style="111" customWidth="1"/>
    <col min="11275" max="11275" width="12.5703125" style="111" customWidth="1"/>
    <col min="11276" max="11276" width="16.5703125" style="111" customWidth="1"/>
    <col min="11277" max="11277" width="17.5703125" style="111" customWidth="1"/>
    <col min="11278" max="11520" width="12.5703125" style="111"/>
    <col min="11521" max="11521" width="10" style="111" customWidth="1"/>
    <col min="11522" max="11523" width="12.5703125" style="111" customWidth="1"/>
    <col min="11524" max="11524" width="11.7109375" style="111" customWidth="1"/>
    <col min="11525" max="11525" width="16.7109375" style="111" customWidth="1"/>
    <col min="11526" max="11526" width="17.42578125" style="111" customWidth="1"/>
    <col min="11527" max="11527" width="15.42578125" style="111" bestFit="1" customWidth="1"/>
    <col min="11528" max="11528" width="21" style="111" customWidth="1"/>
    <col min="11529" max="11529" width="19" style="111" customWidth="1"/>
    <col min="11530" max="11530" width="23.28515625" style="111" customWidth="1"/>
    <col min="11531" max="11531" width="12.5703125" style="111" customWidth="1"/>
    <col min="11532" max="11532" width="16.5703125" style="111" customWidth="1"/>
    <col min="11533" max="11533" width="17.5703125" style="111" customWidth="1"/>
    <col min="11534" max="11776" width="12.5703125" style="111"/>
    <col min="11777" max="11777" width="10" style="111" customWidth="1"/>
    <col min="11778" max="11779" width="12.5703125" style="111" customWidth="1"/>
    <col min="11780" max="11780" width="11.7109375" style="111" customWidth="1"/>
    <col min="11781" max="11781" width="16.7109375" style="111" customWidth="1"/>
    <col min="11782" max="11782" width="17.42578125" style="111" customWidth="1"/>
    <col min="11783" max="11783" width="15.42578125" style="111" bestFit="1" customWidth="1"/>
    <col min="11784" max="11784" width="21" style="111" customWidth="1"/>
    <col min="11785" max="11785" width="19" style="111" customWidth="1"/>
    <col min="11786" max="11786" width="23.28515625" style="111" customWidth="1"/>
    <col min="11787" max="11787" width="12.5703125" style="111" customWidth="1"/>
    <col min="11788" max="11788" width="16.5703125" style="111" customWidth="1"/>
    <col min="11789" max="11789" width="17.5703125" style="111" customWidth="1"/>
    <col min="11790" max="12032" width="12.5703125" style="111"/>
    <col min="12033" max="12033" width="10" style="111" customWidth="1"/>
    <col min="12034" max="12035" width="12.5703125" style="111" customWidth="1"/>
    <col min="12036" max="12036" width="11.7109375" style="111" customWidth="1"/>
    <col min="12037" max="12037" width="16.7109375" style="111" customWidth="1"/>
    <col min="12038" max="12038" width="17.42578125" style="111" customWidth="1"/>
    <col min="12039" max="12039" width="15.42578125" style="111" bestFit="1" customWidth="1"/>
    <col min="12040" max="12040" width="21" style="111" customWidth="1"/>
    <col min="12041" max="12041" width="19" style="111" customWidth="1"/>
    <col min="12042" max="12042" width="23.28515625" style="111" customWidth="1"/>
    <col min="12043" max="12043" width="12.5703125" style="111" customWidth="1"/>
    <col min="12044" max="12044" width="16.5703125" style="111" customWidth="1"/>
    <col min="12045" max="12045" width="17.5703125" style="111" customWidth="1"/>
    <col min="12046" max="12288" width="12.5703125" style="111"/>
    <col min="12289" max="12289" width="10" style="111" customWidth="1"/>
    <col min="12290" max="12291" width="12.5703125" style="111" customWidth="1"/>
    <col min="12292" max="12292" width="11.7109375" style="111" customWidth="1"/>
    <col min="12293" max="12293" width="16.7109375" style="111" customWidth="1"/>
    <col min="12294" max="12294" width="17.42578125" style="111" customWidth="1"/>
    <col min="12295" max="12295" width="15.42578125" style="111" bestFit="1" customWidth="1"/>
    <col min="12296" max="12296" width="21" style="111" customWidth="1"/>
    <col min="12297" max="12297" width="19" style="111" customWidth="1"/>
    <col min="12298" max="12298" width="23.28515625" style="111" customWidth="1"/>
    <col min="12299" max="12299" width="12.5703125" style="111" customWidth="1"/>
    <col min="12300" max="12300" width="16.5703125" style="111" customWidth="1"/>
    <col min="12301" max="12301" width="17.5703125" style="111" customWidth="1"/>
    <col min="12302" max="12544" width="12.5703125" style="111"/>
    <col min="12545" max="12545" width="10" style="111" customWidth="1"/>
    <col min="12546" max="12547" width="12.5703125" style="111" customWidth="1"/>
    <col min="12548" max="12548" width="11.7109375" style="111" customWidth="1"/>
    <col min="12549" max="12549" width="16.7109375" style="111" customWidth="1"/>
    <col min="12550" max="12550" width="17.42578125" style="111" customWidth="1"/>
    <col min="12551" max="12551" width="15.42578125" style="111" bestFit="1" customWidth="1"/>
    <col min="12552" max="12552" width="21" style="111" customWidth="1"/>
    <col min="12553" max="12553" width="19" style="111" customWidth="1"/>
    <col min="12554" max="12554" width="23.28515625" style="111" customWidth="1"/>
    <col min="12555" max="12555" width="12.5703125" style="111" customWidth="1"/>
    <col min="12556" max="12556" width="16.5703125" style="111" customWidth="1"/>
    <col min="12557" max="12557" width="17.5703125" style="111" customWidth="1"/>
    <col min="12558" max="12800" width="12.5703125" style="111"/>
    <col min="12801" max="12801" width="10" style="111" customWidth="1"/>
    <col min="12802" max="12803" width="12.5703125" style="111" customWidth="1"/>
    <col min="12804" max="12804" width="11.7109375" style="111" customWidth="1"/>
    <col min="12805" max="12805" width="16.7109375" style="111" customWidth="1"/>
    <col min="12806" max="12806" width="17.42578125" style="111" customWidth="1"/>
    <col min="12807" max="12807" width="15.42578125" style="111" bestFit="1" customWidth="1"/>
    <col min="12808" max="12808" width="21" style="111" customWidth="1"/>
    <col min="12809" max="12809" width="19" style="111" customWidth="1"/>
    <col min="12810" max="12810" width="23.28515625" style="111" customWidth="1"/>
    <col min="12811" max="12811" width="12.5703125" style="111" customWidth="1"/>
    <col min="12812" max="12812" width="16.5703125" style="111" customWidth="1"/>
    <col min="12813" max="12813" width="17.5703125" style="111" customWidth="1"/>
    <col min="12814" max="13056" width="12.5703125" style="111"/>
    <col min="13057" max="13057" width="10" style="111" customWidth="1"/>
    <col min="13058" max="13059" width="12.5703125" style="111" customWidth="1"/>
    <col min="13060" max="13060" width="11.7109375" style="111" customWidth="1"/>
    <col min="13061" max="13061" width="16.7109375" style="111" customWidth="1"/>
    <col min="13062" max="13062" width="17.42578125" style="111" customWidth="1"/>
    <col min="13063" max="13063" width="15.42578125" style="111" bestFit="1" customWidth="1"/>
    <col min="13064" max="13064" width="21" style="111" customWidth="1"/>
    <col min="13065" max="13065" width="19" style="111" customWidth="1"/>
    <col min="13066" max="13066" width="23.28515625" style="111" customWidth="1"/>
    <col min="13067" max="13067" width="12.5703125" style="111" customWidth="1"/>
    <col min="13068" max="13068" width="16.5703125" style="111" customWidth="1"/>
    <col min="13069" max="13069" width="17.5703125" style="111" customWidth="1"/>
    <col min="13070" max="13312" width="12.5703125" style="111"/>
    <col min="13313" max="13313" width="10" style="111" customWidth="1"/>
    <col min="13314" max="13315" width="12.5703125" style="111" customWidth="1"/>
    <col min="13316" max="13316" width="11.7109375" style="111" customWidth="1"/>
    <col min="13317" max="13317" width="16.7109375" style="111" customWidth="1"/>
    <col min="13318" max="13318" width="17.42578125" style="111" customWidth="1"/>
    <col min="13319" max="13319" width="15.42578125" style="111" bestFit="1" customWidth="1"/>
    <col min="13320" max="13320" width="21" style="111" customWidth="1"/>
    <col min="13321" max="13321" width="19" style="111" customWidth="1"/>
    <col min="13322" max="13322" width="23.28515625" style="111" customWidth="1"/>
    <col min="13323" max="13323" width="12.5703125" style="111" customWidth="1"/>
    <col min="13324" max="13324" width="16.5703125" style="111" customWidth="1"/>
    <col min="13325" max="13325" width="17.5703125" style="111" customWidth="1"/>
    <col min="13326" max="13568" width="12.5703125" style="111"/>
    <col min="13569" max="13569" width="10" style="111" customWidth="1"/>
    <col min="13570" max="13571" width="12.5703125" style="111" customWidth="1"/>
    <col min="13572" max="13572" width="11.7109375" style="111" customWidth="1"/>
    <col min="13573" max="13573" width="16.7109375" style="111" customWidth="1"/>
    <col min="13574" max="13574" width="17.42578125" style="111" customWidth="1"/>
    <col min="13575" max="13575" width="15.42578125" style="111" bestFit="1" customWidth="1"/>
    <col min="13576" max="13576" width="21" style="111" customWidth="1"/>
    <col min="13577" max="13577" width="19" style="111" customWidth="1"/>
    <col min="13578" max="13578" width="23.28515625" style="111" customWidth="1"/>
    <col min="13579" max="13579" width="12.5703125" style="111" customWidth="1"/>
    <col min="13580" max="13580" width="16.5703125" style="111" customWidth="1"/>
    <col min="13581" max="13581" width="17.5703125" style="111" customWidth="1"/>
    <col min="13582" max="13824" width="12.5703125" style="111"/>
    <col min="13825" max="13825" width="10" style="111" customWidth="1"/>
    <col min="13826" max="13827" width="12.5703125" style="111" customWidth="1"/>
    <col min="13828" max="13828" width="11.7109375" style="111" customWidth="1"/>
    <col min="13829" max="13829" width="16.7109375" style="111" customWidth="1"/>
    <col min="13830" max="13830" width="17.42578125" style="111" customWidth="1"/>
    <col min="13831" max="13831" width="15.42578125" style="111" bestFit="1" customWidth="1"/>
    <col min="13832" max="13832" width="21" style="111" customWidth="1"/>
    <col min="13833" max="13833" width="19" style="111" customWidth="1"/>
    <col min="13834" max="13834" width="23.28515625" style="111" customWidth="1"/>
    <col min="13835" max="13835" width="12.5703125" style="111" customWidth="1"/>
    <col min="13836" max="13836" width="16.5703125" style="111" customWidth="1"/>
    <col min="13837" max="13837" width="17.5703125" style="111" customWidth="1"/>
    <col min="13838" max="14080" width="12.5703125" style="111"/>
    <col min="14081" max="14081" width="10" style="111" customWidth="1"/>
    <col min="14082" max="14083" width="12.5703125" style="111" customWidth="1"/>
    <col min="14084" max="14084" width="11.7109375" style="111" customWidth="1"/>
    <col min="14085" max="14085" width="16.7109375" style="111" customWidth="1"/>
    <col min="14086" max="14086" width="17.42578125" style="111" customWidth="1"/>
    <col min="14087" max="14087" width="15.42578125" style="111" bestFit="1" customWidth="1"/>
    <col min="14088" max="14088" width="21" style="111" customWidth="1"/>
    <col min="14089" max="14089" width="19" style="111" customWidth="1"/>
    <col min="14090" max="14090" width="23.28515625" style="111" customWidth="1"/>
    <col min="14091" max="14091" width="12.5703125" style="111" customWidth="1"/>
    <col min="14092" max="14092" width="16.5703125" style="111" customWidth="1"/>
    <col min="14093" max="14093" width="17.5703125" style="111" customWidth="1"/>
    <col min="14094" max="14336" width="12.5703125" style="111"/>
    <col min="14337" max="14337" width="10" style="111" customWidth="1"/>
    <col min="14338" max="14339" width="12.5703125" style="111" customWidth="1"/>
    <col min="14340" max="14340" width="11.7109375" style="111" customWidth="1"/>
    <col min="14341" max="14341" width="16.7109375" style="111" customWidth="1"/>
    <col min="14342" max="14342" width="17.42578125" style="111" customWidth="1"/>
    <col min="14343" max="14343" width="15.42578125" style="111" bestFit="1" customWidth="1"/>
    <col min="14344" max="14344" width="21" style="111" customWidth="1"/>
    <col min="14345" max="14345" width="19" style="111" customWidth="1"/>
    <col min="14346" max="14346" width="23.28515625" style="111" customWidth="1"/>
    <col min="14347" max="14347" width="12.5703125" style="111" customWidth="1"/>
    <col min="14348" max="14348" width="16.5703125" style="111" customWidth="1"/>
    <col min="14349" max="14349" width="17.5703125" style="111" customWidth="1"/>
    <col min="14350" max="14592" width="12.5703125" style="111"/>
    <col min="14593" max="14593" width="10" style="111" customWidth="1"/>
    <col min="14594" max="14595" width="12.5703125" style="111" customWidth="1"/>
    <col min="14596" max="14596" width="11.7109375" style="111" customWidth="1"/>
    <col min="14597" max="14597" width="16.7109375" style="111" customWidth="1"/>
    <col min="14598" max="14598" width="17.42578125" style="111" customWidth="1"/>
    <col min="14599" max="14599" width="15.42578125" style="111" bestFit="1" customWidth="1"/>
    <col min="14600" max="14600" width="21" style="111" customWidth="1"/>
    <col min="14601" max="14601" width="19" style="111" customWidth="1"/>
    <col min="14602" max="14602" width="23.28515625" style="111" customWidth="1"/>
    <col min="14603" max="14603" width="12.5703125" style="111" customWidth="1"/>
    <col min="14604" max="14604" width="16.5703125" style="111" customWidth="1"/>
    <col min="14605" max="14605" width="17.5703125" style="111" customWidth="1"/>
    <col min="14606" max="14848" width="12.5703125" style="111"/>
    <col min="14849" max="14849" width="10" style="111" customWidth="1"/>
    <col min="14850" max="14851" width="12.5703125" style="111" customWidth="1"/>
    <col min="14852" max="14852" width="11.7109375" style="111" customWidth="1"/>
    <col min="14853" max="14853" width="16.7109375" style="111" customWidth="1"/>
    <col min="14854" max="14854" width="17.42578125" style="111" customWidth="1"/>
    <col min="14855" max="14855" width="15.42578125" style="111" bestFit="1" customWidth="1"/>
    <col min="14856" max="14856" width="21" style="111" customWidth="1"/>
    <col min="14857" max="14857" width="19" style="111" customWidth="1"/>
    <col min="14858" max="14858" width="23.28515625" style="111" customWidth="1"/>
    <col min="14859" max="14859" width="12.5703125" style="111" customWidth="1"/>
    <col min="14860" max="14860" width="16.5703125" style="111" customWidth="1"/>
    <col min="14861" max="14861" width="17.5703125" style="111" customWidth="1"/>
    <col min="14862" max="15104" width="12.5703125" style="111"/>
    <col min="15105" max="15105" width="10" style="111" customWidth="1"/>
    <col min="15106" max="15107" width="12.5703125" style="111" customWidth="1"/>
    <col min="15108" max="15108" width="11.7109375" style="111" customWidth="1"/>
    <col min="15109" max="15109" width="16.7109375" style="111" customWidth="1"/>
    <col min="15110" max="15110" width="17.42578125" style="111" customWidth="1"/>
    <col min="15111" max="15111" width="15.42578125" style="111" bestFit="1" customWidth="1"/>
    <col min="15112" max="15112" width="21" style="111" customWidth="1"/>
    <col min="15113" max="15113" width="19" style="111" customWidth="1"/>
    <col min="15114" max="15114" width="23.28515625" style="111" customWidth="1"/>
    <col min="15115" max="15115" width="12.5703125" style="111" customWidth="1"/>
    <col min="15116" max="15116" width="16.5703125" style="111" customWidth="1"/>
    <col min="15117" max="15117" width="17.5703125" style="111" customWidth="1"/>
    <col min="15118" max="15360" width="12.5703125" style="111"/>
    <col min="15361" max="15361" width="10" style="111" customWidth="1"/>
    <col min="15362" max="15363" width="12.5703125" style="111" customWidth="1"/>
    <col min="15364" max="15364" width="11.7109375" style="111" customWidth="1"/>
    <col min="15365" max="15365" width="16.7109375" style="111" customWidth="1"/>
    <col min="15366" max="15366" width="17.42578125" style="111" customWidth="1"/>
    <col min="15367" max="15367" width="15.42578125" style="111" bestFit="1" customWidth="1"/>
    <col min="15368" max="15368" width="21" style="111" customWidth="1"/>
    <col min="15369" max="15369" width="19" style="111" customWidth="1"/>
    <col min="15370" max="15370" width="23.28515625" style="111" customWidth="1"/>
    <col min="15371" max="15371" width="12.5703125" style="111" customWidth="1"/>
    <col min="15372" max="15372" width="16.5703125" style="111" customWidth="1"/>
    <col min="15373" max="15373" width="17.5703125" style="111" customWidth="1"/>
    <col min="15374" max="15616" width="12.5703125" style="111"/>
    <col min="15617" max="15617" width="10" style="111" customWidth="1"/>
    <col min="15618" max="15619" width="12.5703125" style="111" customWidth="1"/>
    <col min="15620" max="15620" width="11.7109375" style="111" customWidth="1"/>
    <col min="15621" max="15621" width="16.7109375" style="111" customWidth="1"/>
    <col min="15622" max="15622" width="17.42578125" style="111" customWidth="1"/>
    <col min="15623" max="15623" width="15.42578125" style="111" bestFit="1" customWidth="1"/>
    <col min="15624" max="15624" width="21" style="111" customWidth="1"/>
    <col min="15625" max="15625" width="19" style="111" customWidth="1"/>
    <col min="15626" max="15626" width="23.28515625" style="111" customWidth="1"/>
    <col min="15627" max="15627" width="12.5703125" style="111" customWidth="1"/>
    <col min="15628" max="15628" width="16.5703125" style="111" customWidth="1"/>
    <col min="15629" max="15629" width="17.5703125" style="111" customWidth="1"/>
    <col min="15630" max="15872" width="12.5703125" style="111"/>
    <col min="15873" max="15873" width="10" style="111" customWidth="1"/>
    <col min="15874" max="15875" width="12.5703125" style="111" customWidth="1"/>
    <col min="15876" max="15876" width="11.7109375" style="111" customWidth="1"/>
    <col min="15877" max="15877" width="16.7109375" style="111" customWidth="1"/>
    <col min="15878" max="15878" width="17.42578125" style="111" customWidth="1"/>
    <col min="15879" max="15879" width="15.42578125" style="111" bestFit="1" customWidth="1"/>
    <col min="15880" max="15880" width="21" style="111" customWidth="1"/>
    <col min="15881" max="15881" width="19" style="111" customWidth="1"/>
    <col min="15882" max="15882" width="23.28515625" style="111" customWidth="1"/>
    <col min="15883" max="15883" width="12.5703125" style="111" customWidth="1"/>
    <col min="15884" max="15884" width="16.5703125" style="111" customWidth="1"/>
    <col min="15885" max="15885" width="17.5703125" style="111" customWidth="1"/>
    <col min="15886" max="16128" width="12.5703125" style="111"/>
    <col min="16129" max="16129" width="10" style="111" customWidth="1"/>
    <col min="16130" max="16131" width="12.5703125" style="111" customWidth="1"/>
    <col min="16132" max="16132" width="11.7109375" style="111" customWidth="1"/>
    <col min="16133" max="16133" width="16.7109375" style="111" customWidth="1"/>
    <col min="16134" max="16134" width="17.42578125" style="111" customWidth="1"/>
    <col min="16135" max="16135" width="15.42578125" style="111" bestFit="1" customWidth="1"/>
    <col min="16136" max="16136" width="21" style="111" customWidth="1"/>
    <col min="16137" max="16137" width="19" style="111" customWidth="1"/>
    <col min="16138" max="16138" width="23.28515625" style="111" customWidth="1"/>
    <col min="16139" max="16139" width="12.5703125" style="111" customWidth="1"/>
    <col min="16140" max="16140" width="16.5703125" style="111" customWidth="1"/>
    <col min="16141" max="16141" width="17.5703125" style="111" customWidth="1"/>
    <col min="16142" max="16384" width="12.5703125" style="111"/>
  </cols>
  <sheetData>
    <row r="1" spans="1:13" ht="16.5" x14ac:dyDescent="0.25">
      <c r="A1" s="242" t="s">
        <v>287</v>
      </c>
      <c r="B1" s="243"/>
      <c r="C1" s="242"/>
      <c r="D1" s="242"/>
      <c r="E1" s="243"/>
      <c r="F1" s="243"/>
      <c r="G1" s="243" t="s">
        <v>483</v>
      </c>
      <c r="I1" s="242"/>
      <c r="J1" s="242"/>
      <c r="K1" s="244"/>
      <c r="L1" s="235" t="s">
        <v>564</v>
      </c>
      <c r="M1" s="109"/>
    </row>
    <row r="2" spans="1:13" ht="17.25" thickBot="1" x14ac:dyDescent="0.3">
      <c r="A2" s="242"/>
      <c r="B2" s="242"/>
      <c r="C2" s="242"/>
      <c r="D2" s="242"/>
      <c r="E2" s="242"/>
      <c r="F2" s="245" t="s">
        <v>481</v>
      </c>
      <c r="G2" s="245"/>
      <c r="I2" s="242"/>
      <c r="J2" s="242"/>
      <c r="K2" s="242"/>
      <c r="L2" s="266" t="s">
        <v>298</v>
      </c>
      <c r="M2" s="245" t="str">
        <f>'A-1 Estimated Revenue Req.'!$E$1</f>
        <v>20190156-EI</v>
      </c>
    </row>
    <row r="3" spans="1:13" ht="16.5" x14ac:dyDescent="0.25">
      <c r="A3" s="112"/>
      <c r="B3" s="112"/>
      <c r="C3" s="112"/>
      <c r="D3" s="112"/>
      <c r="E3" s="112"/>
      <c r="F3" s="112"/>
      <c r="G3" s="112"/>
      <c r="H3" s="112"/>
      <c r="I3" s="112"/>
      <c r="J3" s="112"/>
      <c r="K3" s="112"/>
      <c r="L3" s="112"/>
      <c r="M3" s="112"/>
    </row>
    <row r="4" spans="1:13" ht="16.5" x14ac:dyDescent="0.25">
      <c r="A4" s="109" t="s">
        <v>110</v>
      </c>
      <c r="B4" s="109"/>
      <c r="C4" s="109"/>
      <c r="D4" s="109"/>
      <c r="F4" s="109" t="s">
        <v>111</v>
      </c>
      <c r="G4" s="109"/>
      <c r="H4" s="110" t="s">
        <v>214</v>
      </c>
      <c r="I4" s="109"/>
      <c r="K4" s="109"/>
      <c r="L4" s="158" t="s">
        <v>113</v>
      </c>
      <c r="M4" s="109"/>
    </row>
    <row r="5" spans="1:13" ht="16.5" x14ac:dyDescent="0.25">
      <c r="A5" s="109"/>
      <c r="B5" s="109"/>
      <c r="C5" s="109"/>
      <c r="D5" s="109"/>
      <c r="G5" s="110"/>
      <c r="H5" s="110" t="s">
        <v>215</v>
      </c>
      <c r="I5" s="109"/>
      <c r="K5" s="203"/>
      <c r="L5" s="158" t="str">
        <f>'B-1'!O5</f>
        <v>Projected Test Year Ended December 31, 2020</v>
      </c>
      <c r="M5" s="109"/>
    </row>
    <row r="6" spans="1:13" ht="16.5" x14ac:dyDescent="0.25">
      <c r="A6" s="109" t="s">
        <v>177</v>
      </c>
      <c r="B6" s="109"/>
      <c r="C6" s="109"/>
      <c r="D6" s="109"/>
      <c r="G6" s="110"/>
      <c r="H6" s="110" t="s">
        <v>216</v>
      </c>
      <c r="I6" s="109"/>
      <c r="K6" s="113"/>
      <c r="L6" s="109"/>
      <c r="M6" s="109"/>
    </row>
    <row r="7" spans="1:13" ht="16.5" x14ac:dyDescent="0.25">
      <c r="A7" s="109"/>
      <c r="B7" s="109"/>
      <c r="C7" s="109"/>
      <c r="D7" s="109"/>
      <c r="E7" s="110"/>
      <c r="F7" s="110"/>
      <c r="G7" s="110"/>
      <c r="H7" s="110" t="s">
        <v>217</v>
      </c>
      <c r="I7" s="109"/>
      <c r="K7" s="113"/>
      <c r="L7" s="109"/>
      <c r="M7" s="109"/>
    </row>
    <row r="8" spans="1:13" ht="16.5" x14ac:dyDescent="0.25">
      <c r="A8" s="109"/>
      <c r="B8" s="109"/>
      <c r="C8" s="109"/>
      <c r="D8" s="109"/>
      <c r="E8" s="110"/>
      <c r="F8" s="110"/>
      <c r="G8" s="110"/>
      <c r="H8" s="110"/>
      <c r="I8" s="109"/>
      <c r="K8" s="109"/>
      <c r="L8" s="109"/>
      <c r="M8" s="109"/>
    </row>
    <row r="9" spans="1:13" ht="17.25" thickBot="1" x14ac:dyDescent="0.3">
      <c r="A9" s="109"/>
      <c r="B9" s="109"/>
      <c r="C9" s="109"/>
      <c r="D9" s="109"/>
      <c r="E9" s="110"/>
      <c r="F9" s="110"/>
      <c r="G9" s="110"/>
      <c r="H9" s="110"/>
      <c r="I9" s="109"/>
      <c r="J9" s="109"/>
      <c r="K9" s="109"/>
      <c r="L9" s="109"/>
      <c r="M9" s="109"/>
    </row>
    <row r="10" spans="1:13" ht="16.5" x14ac:dyDescent="0.25">
      <c r="A10" s="112"/>
      <c r="B10" s="112"/>
      <c r="C10" s="112"/>
      <c r="D10" s="112"/>
      <c r="E10" s="112"/>
      <c r="F10" s="112"/>
      <c r="G10" s="112"/>
      <c r="H10" s="112"/>
      <c r="I10" s="112"/>
      <c r="J10" s="112"/>
      <c r="K10" s="112"/>
      <c r="L10" s="112"/>
      <c r="M10" s="112"/>
    </row>
    <row r="11" spans="1:13" ht="16.5" x14ac:dyDescent="0.25">
      <c r="A11" s="110"/>
      <c r="B11" s="110"/>
      <c r="C11" s="110"/>
      <c r="D11" s="109"/>
      <c r="E11" s="135" t="s">
        <v>183</v>
      </c>
      <c r="F11" s="135"/>
      <c r="G11" s="135"/>
      <c r="H11" s="135"/>
      <c r="I11" s="135"/>
      <c r="J11" s="135"/>
      <c r="K11" s="135"/>
      <c r="L11" s="135"/>
      <c r="M11" s="136"/>
    </row>
    <row r="12" spans="1:13" ht="16.5" x14ac:dyDescent="0.25">
      <c r="A12" s="109"/>
      <c r="B12" s="110"/>
      <c r="C12" s="110"/>
      <c r="D12" s="109"/>
      <c r="E12" s="137" t="s">
        <v>162</v>
      </c>
      <c r="F12" s="138" t="s">
        <v>22</v>
      </c>
      <c r="G12" s="233" t="s">
        <v>23</v>
      </c>
      <c r="H12" s="233" t="s">
        <v>24</v>
      </c>
      <c r="I12" s="139"/>
      <c r="J12" s="140"/>
      <c r="K12" s="141"/>
      <c r="L12" s="142"/>
      <c r="M12" s="137" t="s">
        <v>179</v>
      </c>
    </row>
    <row r="13" spans="1:13" ht="16.5" x14ac:dyDescent="0.25">
      <c r="A13" s="110" t="s">
        <v>218</v>
      </c>
      <c r="B13" s="110"/>
      <c r="C13" s="110"/>
      <c r="D13" s="109"/>
      <c r="E13" s="114" t="s">
        <v>166</v>
      </c>
      <c r="F13" s="143" t="s">
        <v>459</v>
      </c>
      <c r="G13" s="143" t="s">
        <v>244</v>
      </c>
      <c r="H13" s="143" t="s">
        <v>557</v>
      </c>
      <c r="I13" s="143"/>
      <c r="J13" s="115"/>
      <c r="K13" s="110"/>
      <c r="L13" s="115" t="s">
        <v>7</v>
      </c>
      <c r="M13" s="115" t="s">
        <v>162</v>
      </c>
    </row>
    <row r="14" spans="1:13" ht="16.5" x14ac:dyDescent="0.25">
      <c r="A14" s="110" t="s">
        <v>141</v>
      </c>
      <c r="B14" s="109"/>
      <c r="C14" s="109"/>
      <c r="D14" s="110"/>
      <c r="E14" s="114" t="s">
        <v>458</v>
      </c>
      <c r="F14" s="143" t="s">
        <v>460</v>
      </c>
      <c r="G14" s="143" t="s">
        <v>220</v>
      </c>
      <c r="H14" s="143" t="s">
        <v>133</v>
      </c>
      <c r="I14" s="143"/>
      <c r="J14" s="115"/>
      <c r="K14" s="109"/>
      <c r="L14" s="115" t="s">
        <v>183</v>
      </c>
      <c r="M14" s="115" t="s">
        <v>210</v>
      </c>
    </row>
    <row r="15" spans="1:13" ht="17.25" thickBot="1" x14ac:dyDescent="0.3">
      <c r="A15" s="109"/>
      <c r="B15" s="110"/>
      <c r="C15" s="110"/>
      <c r="D15" s="109"/>
      <c r="E15" s="115" t="s">
        <v>219</v>
      </c>
      <c r="F15" s="144" t="s">
        <v>461</v>
      </c>
      <c r="G15" s="144"/>
      <c r="H15" s="144" t="s">
        <v>558</v>
      </c>
      <c r="I15" s="144"/>
      <c r="J15" s="114"/>
      <c r="K15" s="109"/>
      <c r="L15" s="109"/>
      <c r="M15" s="109"/>
    </row>
    <row r="16" spans="1:13" ht="16.5" x14ac:dyDescent="0.25">
      <c r="A16" s="112"/>
      <c r="B16" s="117"/>
      <c r="C16" s="117"/>
      <c r="D16" s="112"/>
      <c r="E16" s="112"/>
      <c r="F16" s="91"/>
      <c r="G16" s="91"/>
      <c r="H16" s="91"/>
      <c r="I16" s="91"/>
      <c r="J16" s="117"/>
      <c r="K16" s="112"/>
      <c r="L16" s="112"/>
      <c r="M16" s="112"/>
    </row>
    <row r="17" spans="1:13" ht="16.5" x14ac:dyDescent="0.25">
      <c r="A17" s="137">
        <v>1</v>
      </c>
      <c r="B17" s="110" t="s">
        <v>189</v>
      </c>
      <c r="C17" s="110"/>
      <c r="D17" s="110"/>
      <c r="E17" s="119"/>
      <c r="F17" s="91"/>
      <c r="G17" s="91"/>
      <c r="H17" s="91"/>
      <c r="I17" s="91"/>
      <c r="J17" s="122"/>
      <c r="K17" s="119"/>
      <c r="L17" s="119"/>
      <c r="M17" s="119"/>
    </row>
    <row r="18" spans="1:13" ht="16.5" x14ac:dyDescent="0.25">
      <c r="A18" s="137">
        <v>2</v>
      </c>
      <c r="B18" s="110" t="s">
        <v>190</v>
      </c>
      <c r="C18" s="110"/>
      <c r="D18" s="110"/>
      <c r="E18" s="119">
        <f>'B-3'!V121</f>
        <v>-335172</v>
      </c>
      <c r="F18" s="145"/>
      <c r="G18" s="107"/>
      <c r="H18" s="107"/>
      <c r="I18" s="91"/>
      <c r="J18" s="119"/>
      <c r="K18" s="119"/>
      <c r="L18" s="119">
        <f>SUM(F18:K18)</f>
        <v>0</v>
      </c>
      <c r="M18" s="119">
        <f>L18+E18</f>
        <v>-335172</v>
      </c>
    </row>
    <row r="19" spans="1:13" ht="16.5" x14ac:dyDescent="0.25">
      <c r="A19" s="137">
        <v>3</v>
      </c>
      <c r="B19" s="110" t="s">
        <v>191</v>
      </c>
      <c r="C19" s="110"/>
      <c r="D19" s="109"/>
      <c r="E19" s="119"/>
      <c r="F19" s="145">
        <v>0</v>
      </c>
      <c r="G19" s="146"/>
      <c r="H19" s="91"/>
      <c r="I19" s="91"/>
      <c r="J19" s="119"/>
      <c r="K19" s="119"/>
      <c r="L19" s="119"/>
      <c r="M19" s="119">
        <f>L19+E19</f>
        <v>0</v>
      </c>
    </row>
    <row r="20" spans="1:13" ht="16.5" x14ac:dyDescent="0.25">
      <c r="A20" s="137">
        <v>4</v>
      </c>
      <c r="B20" s="110" t="s">
        <v>192</v>
      </c>
      <c r="C20" s="110"/>
      <c r="D20" s="109"/>
      <c r="E20" s="121">
        <f>E18+E19</f>
        <v>-335172</v>
      </c>
      <c r="F20" s="147">
        <f>SUM(F18:F19)</f>
        <v>0</v>
      </c>
      <c r="G20" s="147">
        <f>SUM(G18:G19)</f>
        <v>0</v>
      </c>
      <c r="H20" s="147">
        <f>SUM(H18:H19)</f>
        <v>0</v>
      </c>
      <c r="I20" s="147">
        <f>SUM(I18:I19)</f>
        <v>0</v>
      </c>
      <c r="J20" s="148">
        <f>SUM(J18:J19)</f>
        <v>0</v>
      </c>
      <c r="K20" s="148"/>
      <c r="L20" s="121">
        <f>SUM(F20:K20)</f>
        <v>0</v>
      </c>
      <c r="M20" s="121">
        <f>L20+E20</f>
        <v>-335172</v>
      </c>
    </row>
    <row r="21" spans="1:13" ht="16.5" x14ac:dyDescent="0.25">
      <c r="A21" s="137">
        <v>5</v>
      </c>
      <c r="B21" s="109"/>
      <c r="C21" s="110"/>
      <c r="D21" s="109"/>
      <c r="E21" s="119"/>
      <c r="F21" s="91"/>
      <c r="G21" s="91"/>
      <c r="H21" s="91"/>
      <c r="I21" s="91"/>
      <c r="J21" s="119"/>
      <c r="K21" s="119"/>
      <c r="L21" s="119"/>
      <c r="M21" s="119"/>
    </row>
    <row r="22" spans="1:13" ht="16.5" x14ac:dyDescent="0.25">
      <c r="A22" s="137">
        <v>6</v>
      </c>
      <c r="B22" s="110" t="s">
        <v>193</v>
      </c>
      <c r="C22" s="110"/>
      <c r="D22" s="109"/>
      <c r="E22" s="119"/>
      <c r="F22" s="91"/>
      <c r="G22" s="91"/>
      <c r="H22" s="91"/>
      <c r="I22" s="91"/>
      <c r="J22" s="122"/>
      <c r="K22" s="119"/>
      <c r="L22" s="149" t="s">
        <v>194</v>
      </c>
      <c r="M22" s="149" t="s">
        <v>194</v>
      </c>
    </row>
    <row r="23" spans="1:13" ht="16.5" x14ac:dyDescent="0.25">
      <c r="A23" s="137">
        <v>7</v>
      </c>
      <c r="B23" s="110" t="s">
        <v>195</v>
      </c>
      <c r="C23" s="110"/>
      <c r="D23" s="110"/>
      <c r="E23" s="119"/>
      <c r="F23" s="145"/>
      <c r="G23" s="145"/>
      <c r="H23" s="145"/>
      <c r="I23" s="145"/>
      <c r="J23" s="122"/>
      <c r="K23" s="119"/>
      <c r="L23" s="119"/>
      <c r="M23" s="119"/>
    </row>
    <row r="24" spans="1:13" ht="16.5" x14ac:dyDescent="0.25">
      <c r="A24" s="137">
        <v>8</v>
      </c>
      <c r="B24" s="109" t="s">
        <v>221</v>
      </c>
      <c r="C24" s="110"/>
      <c r="D24" s="110"/>
      <c r="E24" s="119">
        <v>0</v>
      </c>
      <c r="F24" s="145"/>
      <c r="G24" s="145"/>
      <c r="H24" s="145"/>
      <c r="I24" s="145"/>
      <c r="J24" s="122"/>
      <c r="K24" s="119"/>
      <c r="L24" s="119">
        <f t="shared" ref="L24:L34" si="0">SUM(F24:K24)</f>
        <v>0</v>
      </c>
      <c r="M24" s="119">
        <f t="shared" ref="M24:M34" si="1">L24+E24</f>
        <v>0</v>
      </c>
    </row>
    <row r="25" spans="1:13" ht="16.5" x14ac:dyDescent="0.25">
      <c r="A25" s="137">
        <v>9</v>
      </c>
      <c r="B25" s="109" t="s">
        <v>197</v>
      </c>
      <c r="C25" s="110"/>
      <c r="D25" s="110"/>
      <c r="E25" s="119">
        <f>-F25</f>
        <v>0</v>
      </c>
      <c r="F25" s="145"/>
      <c r="G25" s="145"/>
      <c r="H25" s="145"/>
      <c r="I25" s="145"/>
      <c r="J25" s="122"/>
      <c r="K25" s="119"/>
      <c r="L25" s="119">
        <f t="shared" si="0"/>
        <v>0</v>
      </c>
      <c r="M25" s="119">
        <f t="shared" si="1"/>
        <v>0</v>
      </c>
    </row>
    <row r="26" spans="1:13" ht="16.5" x14ac:dyDescent="0.25">
      <c r="A26" s="137">
        <v>10</v>
      </c>
      <c r="B26" s="109" t="s">
        <v>198</v>
      </c>
      <c r="C26" s="110"/>
      <c r="D26" s="110"/>
      <c r="E26" s="119"/>
      <c r="F26" s="145"/>
      <c r="G26" s="145"/>
      <c r="H26" s="145"/>
      <c r="I26" s="145"/>
      <c r="J26" s="122"/>
      <c r="K26" s="119"/>
      <c r="L26" s="119">
        <f t="shared" si="0"/>
        <v>0</v>
      </c>
      <c r="M26" s="119">
        <f t="shared" si="1"/>
        <v>0</v>
      </c>
    </row>
    <row r="27" spans="1:13" ht="16.5" x14ac:dyDescent="0.25">
      <c r="A27" s="137">
        <v>11</v>
      </c>
      <c r="B27" s="110" t="s">
        <v>222</v>
      </c>
      <c r="C27" s="110"/>
      <c r="D27" s="110"/>
      <c r="E27" s="119">
        <f>'B-3'!V114</f>
        <v>696679.67219999991</v>
      </c>
      <c r="F27" s="145"/>
      <c r="G27" s="145"/>
      <c r="H27" s="441">
        <f>-9110.13</f>
        <v>-9110.1299999999992</v>
      </c>
      <c r="I27" s="145"/>
      <c r="J27" s="122"/>
      <c r="K27" s="119"/>
      <c r="L27" s="119">
        <f t="shared" si="0"/>
        <v>-9110.1299999999992</v>
      </c>
      <c r="M27" s="119">
        <f t="shared" si="1"/>
        <v>687569.54219999991</v>
      </c>
    </row>
    <row r="28" spans="1:13" ht="16.5" x14ac:dyDescent="0.25">
      <c r="A28" s="137">
        <v>12</v>
      </c>
      <c r="B28" s="110" t="s">
        <v>200</v>
      </c>
      <c r="C28" s="110"/>
      <c r="D28" s="110"/>
      <c r="E28" s="119"/>
      <c r="F28" s="145">
        <f>('Storm Cost Detail'!E48/10)+'Reg Asset Lost Customers'!H9+'Reg Asset Exp Not Rec in Base'!D13+'Regulatory Asset for AD change'!H36</f>
        <v>5256669.1039678939</v>
      </c>
      <c r="G28" s="145"/>
      <c r="H28" s="145"/>
      <c r="I28" s="145"/>
      <c r="J28" s="122"/>
      <c r="K28" s="119"/>
      <c r="L28" s="119">
        <f t="shared" si="0"/>
        <v>5256669.1039678939</v>
      </c>
      <c r="M28" s="119">
        <f t="shared" si="1"/>
        <v>5256669.1039678939</v>
      </c>
    </row>
    <row r="29" spans="1:13" ht="16.5" x14ac:dyDescent="0.25">
      <c r="A29" s="137">
        <v>13</v>
      </c>
      <c r="B29" s="109" t="s">
        <v>201</v>
      </c>
      <c r="C29" s="110"/>
      <c r="D29" s="110"/>
      <c r="E29" s="119">
        <v>0</v>
      </c>
      <c r="F29" s="145"/>
      <c r="G29" s="145"/>
      <c r="H29" s="145"/>
      <c r="I29" s="145"/>
      <c r="J29" s="122"/>
      <c r="K29" s="119"/>
      <c r="L29" s="119">
        <f t="shared" si="0"/>
        <v>0</v>
      </c>
      <c r="M29" s="119">
        <f t="shared" si="1"/>
        <v>0</v>
      </c>
    </row>
    <row r="30" spans="1:13" ht="16.5" x14ac:dyDescent="0.25">
      <c r="A30" s="137">
        <v>14</v>
      </c>
      <c r="B30" s="110" t="s">
        <v>202</v>
      </c>
      <c r="C30" s="110"/>
      <c r="D30" s="110"/>
      <c r="E30" s="119">
        <f>'B-3'!V116+'B-3'!V118</f>
        <v>371719.55044000002</v>
      </c>
      <c r="F30" s="145"/>
      <c r="G30" s="145"/>
      <c r="H30" s="145"/>
      <c r="I30" s="145"/>
      <c r="J30" s="122"/>
      <c r="K30" s="119"/>
      <c r="L30" s="119">
        <f t="shared" si="0"/>
        <v>0</v>
      </c>
      <c r="M30" s="119">
        <f t="shared" si="1"/>
        <v>371719.55044000002</v>
      </c>
    </row>
    <row r="31" spans="1:13" ht="16.5" x14ac:dyDescent="0.25">
      <c r="A31" s="137">
        <v>15</v>
      </c>
      <c r="B31" s="110" t="s">
        <v>203</v>
      </c>
      <c r="C31" s="110"/>
      <c r="D31" s="110"/>
      <c r="E31" s="119">
        <f>'C-1'!I60</f>
        <v>-344183.73521578073</v>
      </c>
      <c r="F31" s="145">
        <f>F28*-0.24522</f>
        <v>-1289040.3976750069</v>
      </c>
      <c r="G31" s="145">
        <f>'C-1'!O64</f>
        <v>-296801.76269269898</v>
      </c>
      <c r="H31" s="145"/>
      <c r="I31" s="145"/>
      <c r="J31" s="150"/>
      <c r="K31" s="119"/>
      <c r="L31" s="119">
        <f t="shared" si="0"/>
        <v>-1585842.1603677059</v>
      </c>
      <c r="M31" s="119">
        <f t="shared" si="1"/>
        <v>-1930025.8955834867</v>
      </c>
    </row>
    <row r="32" spans="1:13" ht="16.5" x14ac:dyDescent="0.25">
      <c r="A32" s="137">
        <v>16</v>
      </c>
      <c r="B32" s="110" t="s">
        <v>204</v>
      </c>
      <c r="C32" s="110"/>
      <c r="D32" s="110"/>
      <c r="E32" s="119"/>
      <c r="F32" s="145"/>
      <c r="G32" s="145"/>
      <c r="H32" s="145"/>
      <c r="I32" s="145"/>
      <c r="J32" s="122"/>
      <c r="K32" s="119"/>
      <c r="L32" s="119">
        <f t="shared" si="0"/>
        <v>0</v>
      </c>
      <c r="M32" s="119">
        <f t="shared" si="1"/>
        <v>0</v>
      </c>
    </row>
    <row r="33" spans="1:13" ht="16.5" x14ac:dyDescent="0.25">
      <c r="A33" s="137">
        <v>17</v>
      </c>
      <c r="B33" s="109" t="s">
        <v>205</v>
      </c>
      <c r="C33" s="110"/>
      <c r="D33" s="110"/>
      <c r="E33" s="119">
        <v>0</v>
      </c>
      <c r="F33" s="145"/>
      <c r="G33" s="145"/>
      <c r="H33" s="145"/>
      <c r="I33" s="145"/>
      <c r="J33" s="122"/>
      <c r="K33" s="119"/>
      <c r="L33" s="119">
        <f t="shared" si="0"/>
        <v>0</v>
      </c>
      <c r="M33" s="119">
        <f t="shared" si="1"/>
        <v>0</v>
      </c>
    </row>
    <row r="34" spans="1:13" ht="16.5" x14ac:dyDescent="0.25">
      <c r="A34" s="137">
        <v>18</v>
      </c>
      <c r="B34" s="110" t="s">
        <v>206</v>
      </c>
      <c r="C34" s="110"/>
      <c r="D34" s="110"/>
      <c r="E34" s="119">
        <v>0</v>
      </c>
      <c r="F34" s="151"/>
      <c r="G34" s="145"/>
      <c r="H34" s="145"/>
      <c r="I34" s="145"/>
      <c r="J34" s="122"/>
      <c r="K34" s="119"/>
      <c r="L34" s="119">
        <f t="shared" si="0"/>
        <v>0</v>
      </c>
      <c r="M34" s="119">
        <f t="shared" si="1"/>
        <v>0</v>
      </c>
    </row>
    <row r="35" spans="1:13" ht="16.5" x14ac:dyDescent="0.25">
      <c r="A35" s="137">
        <v>19</v>
      </c>
      <c r="B35" s="110"/>
      <c r="C35" s="110"/>
      <c r="D35" s="110"/>
      <c r="E35" s="119"/>
      <c r="F35" s="151"/>
      <c r="G35" s="152"/>
      <c r="H35" s="152"/>
      <c r="I35" s="152"/>
      <c r="J35" s="122"/>
      <c r="K35" s="119"/>
      <c r="L35" s="119"/>
      <c r="M35" s="119"/>
    </row>
    <row r="36" spans="1:13" ht="16.5" x14ac:dyDescent="0.25">
      <c r="A36" s="137">
        <v>20</v>
      </c>
      <c r="B36" s="110" t="s">
        <v>207</v>
      </c>
      <c r="C36" s="110"/>
      <c r="D36" s="110"/>
      <c r="E36" s="126">
        <f>SUM(E24:E35)</f>
        <v>724215.48742421903</v>
      </c>
      <c r="F36" s="153">
        <f>SUM(F23:F35)</f>
        <v>3967628.7062928872</v>
      </c>
      <c r="G36" s="153">
        <f>SUM(G23:G35)</f>
        <v>-296801.76269269898</v>
      </c>
      <c r="H36" s="153">
        <f>SUM(H23:H35)</f>
        <v>-9110.1299999999992</v>
      </c>
      <c r="I36" s="153">
        <f>SUM(I23:I35)</f>
        <v>0</v>
      </c>
      <c r="J36" s="153">
        <f>SUM(J23:J35)</f>
        <v>0</v>
      </c>
      <c r="K36" s="126"/>
      <c r="L36" s="126">
        <f>SUM(F36:K36)</f>
        <v>3661716.8136001881</v>
      </c>
      <c r="M36" s="126">
        <f>L36+E36</f>
        <v>4385932.3010244071</v>
      </c>
    </row>
    <row r="37" spans="1:13" ht="16.5" x14ac:dyDescent="0.25">
      <c r="A37" s="137">
        <v>21</v>
      </c>
      <c r="B37" s="110"/>
      <c r="C37" s="110"/>
      <c r="D37" s="110"/>
      <c r="E37" s="119"/>
      <c r="F37" s="122"/>
      <c r="G37" s="122"/>
      <c r="H37" s="122"/>
      <c r="I37" s="122"/>
      <c r="J37" s="122"/>
      <c r="K37" s="119"/>
      <c r="L37" s="119"/>
      <c r="M37" s="119"/>
    </row>
    <row r="38" spans="1:13" ht="17.25" thickBot="1" x14ac:dyDescent="0.3">
      <c r="A38" s="137">
        <v>22</v>
      </c>
      <c r="B38" s="110" t="s">
        <v>208</v>
      </c>
      <c r="C38" s="110"/>
      <c r="D38" s="110"/>
      <c r="E38" s="128">
        <f>E20-E36</f>
        <v>-1059387.487424219</v>
      </c>
      <c r="F38" s="129">
        <f t="shared" ref="F38:K38" si="2">F20-F36</f>
        <v>-3967628.7062928872</v>
      </c>
      <c r="G38" s="129">
        <f t="shared" si="2"/>
        <v>296801.76269269898</v>
      </c>
      <c r="H38" s="129">
        <f t="shared" si="2"/>
        <v>9110.1299999999992</v>
      </c>
      <c r="I38" s="129">
        <f t="shared" si="2"/>
        <v>0</v>
      </c>
      <c r="J38" s="129">
        <f t="shared" si="2"/>
        <v>0</v>
      </c>
      <c r="K38" s="129">
        <f t="shared" si="2"/>
        <v>0</v>
      </c>
      <c r="L38" s="128">
        <f>SUM(F38:K38)</f>
        <v>-3661716.8136001881</v>
      </c>
      <c r="M38" s="128">
        <f>L38+E38</f>
        <v>-4721104.3010244071</v>
      </c>
    </row>
    <row r="39" spans="1:13" ht="17.25" thickTop="1" x14ac:dyDescent="0.25">
      <c r="A39" s="137">
        <v>23</v>
      </c>
      <c r="B39" s="116"/>
      <c r="C39" s="110"/>
      <c r="D39" s="110"/>
      <c r="E39" s="109"/>
      <c r="F39" s="110"/>
      <c r="G39" s="110"/>
      <c r="H39" s="110"/>
      <c r="I39" s="110"/>
      <c r="J39" s="110"/>
      <c r="K39" s="109"/>
      <c r="L39" s="109"/>
      <c r="M39" s="109"/>
    </row>
    <row r="40" spans="1:13" ht="16.5" x14ac:dyDescent="0.25">
      <c r="A40" s="137">
        <v>24</v>
      </c>
      <c r="B40" s="116"/>
      <c r="C40" s="110"/>
      <c r="D40" s="110"/>
      <c r="E40" s="109"/>
      <c r="F40" s="110"/>
      <c r="G40" s="110"/>
      <c r="H40" s="110"/>
      <c r="I40" s="110"/>
      <c r="J40" s="110"/>
      <c r="K40" s="109"/>
      <c r="L40" s="109"/>
      <c r="M40" s="109"/>
    </row>
    <row r="41" spans="1:13" ht="16.5" x14ac:dyDescent="0.25">
      <c r="A41" s="137">
        <v>25</v>
      </c>
      <c r="B41" s="116"/>
      <c r="C41" s="110"/>
      <c r="D41" s="110"/>
      <c r="E41" s="109"/>
      <c r="F41" s="110"/>
      <c r="G41" s="110"/>
      <c r="H41" s="110"/>
      <c r="I41" s="110"/>
      <c r="J41" s="110"/>
      <c r="K41" s="109"/>
      <c r="L41" s="109"/>
      <c r="M41" s="109"/>
    </row>
    <row r="42" spans="1:13" ht="16.5" x14ac:dyDescent="0.25">
      <c r="A42" s="137">
        <v>26</v>
      </c>
      <c r="B42" s="116"/>
      <c r="C42" s="110"/>
      <c r="D42" s="110"/>
      <c r="E42" s="109"/>
      <c r="F42" s="110"/>
      <c r="G42" s="110"/>
      <c r="H42" s="110"/>
      <c r="I42" s="110"/>
      <c r="J42" s="110"/>
      <c r="K42" s="109"/>
      <c r="L42" s="109"/>
      <c r="M42" s="109"/>
    </row>
    <row r="43" spans="1:13" ht="16.5" x14ac:dyDescent="0.25">
      <c r="A43" s="137">
        <v>27</v>
      </c>
      <c r="B43" s="109"/>
      <c r="C43" s="109"/>
      <c r="D43" s="110"/>
      <c r="E43" s="109"/>
      <c r="F43" s="109"/>
      <c r="G43" s="109"/>
      <c r="H43" s="109"/>
      <c r="I43" s="109"/>
      <c r="J43" s="109"/>
      <c r="K43" s="109"/>
      <c r="L43" s="109"/>
      <c r="M43" s="109"/>
    </row>
    <row r="44" spans="1:13" ht="16.5" x14ac:dyDescent="0.25">
      <c r="A44" s="137">
        <v>28</v>
      </c>
      <c r="B44" s="109"/>
      <c r="C44" s="109"/>
      <c r="D44" s="110"/>
      <c r="E44" s="109"/>
      <c r="F44" s="109"/>
      <c r="G44" s="109"/>
      <c r="H44" s="109"/>
      <c r="I44" s="109"/>
      <c r="J44" s="109"/>
      <c r="K44" s="109"/>
      <c r="L44" s="109"/>
      <c r="M44" s="109"/>
    </row>
    <row r="45" spans="1:13" ht="16.5" x14ac:dyDescent="0.25">
      <c r="A45" s="137">
        <v>29</v>
      </c>
      <c r="B45" s="109"/>
      <c r="C45" s="109"/>
      <c r="D45" s="110"/>
      <c r="E45" s="109"/>
      <c r="F45" s="109"/>
      <c r="G45" s="109"/>
      <c r="H45" s="109"/>
      <c r="I45" s="109"/>
      <c r="J45" s="109"/>
      <c r="K45" s="109"/>
      <c r="L45" s="109"/>
      <c r="M45" s="109"/>
    </row>
    <row r="46" spans="1:13" ht="16.5" x14ac:dyDescent="0.25">
      <c r="A46" s="137">
        <v>30</v>
      </c>
      <c r="B46" s="109"/>
      <c r="C46" s="109"/>
      <c r="D46" s="110"/>
      <c r="E46" s="109"/>
      <c r="F46" s="109"/>
      <c r="G46" s="109"/>
      <c r="H46" s="109"/>
      <c r="I46" s="109"/>
      <c r="J46" s="109"/>
      <c r="K46" s="109"/>
      <c r="L46" s="109"/>
      <c r="M46" s="109"/>
    </row>
    <row r="47" spans="1:13" ht="16.5" x14ac:dyDescent="0.25">
      <c r="A47" s="137">
        <v>31</v>
      </c>
      <c r="B47" s="109"/>
      <c r="C47" s="109"/>
      <c r="D47" s="110"/>
      <c r="E47" s="109"/>
      <c r="F47" s="109"/>
      <c r="G47" s="109"/>
      <c r="H47" s="109"/>
      <c r="I47" s="109"/>
      <c r="J47" s="109"/>
      <c r="K47" s="109"/>
      <c r="L47" s="109"/>
      <c r="M47" s="109"/>
    </row>
    <row r="48" spans="1:13" ht="16.5" x14ac:dyDescent="0.25">
      <c r="A48" s="137">
        <v>32</v>
      </c>
      <c r="B48" s="109"/>
      <c r="C48" s="109"/>
      <c r="D48" s="110"/>
      <c r="E48" s="109"/>
      <c r="F48" s="109"/>
      <c r="G48" s="109"/>
      <c r="H48" s="109"/>
      <c r="I48" s="109"/>
      <c r="J48" s="109"/>
      <c r="K48" s="109"/>
      <c r="L48" s="109"/>
      <c r="M48" s="109"/>
    </row>
    <row r="49" spans="1:13" ht="16.5" x14ac:dyDescent="0.25">
      <c r="A49" s="137">
        <v>33</v>
      </c>
      <c r="B49" s="109"/>
      <c r="C49" s="109"/>
      <c r="D49" s="110"/>
      <c r="E49" s="109"/>
      <c r="F49" s="109"/>
      <c r="G49" s="109"/>
      <c r="H49" s="109"/>
      <c r="I49" s="109"/>
      <c r="J49" s="109"/>
      <c r="K49" s="109"/>
      <c r="L49" s="109"/>
      <c r="M49" s="109"/>
    </row>
    <row r="50" spans="1:13" ht="16.5" x14ac:dyDescent="0.25">
      <c r="A50" s="137">
        <v>34</v>
      </c>
      <c r="B50" s="109"/>
      <c r="C50" s="109"/>
      <c r="D50" s="109"/>
      <c r="E50" s="109"/>
      <c r="F50" s="109"/>
      <c r="G50" s="109"/>
      <c r="H50" s="109"/>
      <c r="I50" s="109"/>
      <c r="J50" s="109"/>
      <c r="K50" s="109"/>
      <c r="L50" s="109"/>
      <c r="M50" s="109"/>
    </row>
    <row r="51" spans="1:13" ht="17.25" thickBot="1" x14ac:dyDescent="0.3">
      <c r="A51" s="109"/>
      <c r="B51" s="109"/>
      <c r="C51" s="109"/>
      <c r="D51" s="109"/>
      <c r="E51" s="109"/>
      <c r="F51" s="109"/>
      <c r="G51" s="109"/>
      <c r="H51" s="109"/>
      <c r="I51" s="109"/>
      <c r="J51" s="109"/>
      <c r="K51" s="109"/>
      <c r="L51" s="109"/>
      <c r="M51" s="109"/>
    </row>
    <row r="52" spans="1:13" ht="16.5" x14ac:dyDescent="0.25">
      <c r="A52" s="112"/>
      <c r="B52" s="112"/>
      <c r="C52" s="112"/>
      <c r="D52" s="117"/>
      <c r="E52" s="117"/>
      <c r="F52" s="117"/>
      <c r="G52" s="117"/>
      <c r="H52" s="117"/>
      <c r="I52" s="112"/>
      <c r="J52" s="117"/>
      <c r="K52" s="112"/>
      <c r="L52" s="112"/>
      <c r="M52" s="112"/>
    </row>
    <row r="53" spans="1:13" ht="16.5" x14ac:dyDescent="0.25">
      <c r="A53" s="109"/>
      <c r="B53" s="109"/>
      <c r="C53" s="109"/>
      <c r="D53" s="109"/>
      <c r="E53" s="109"/>
      <c r="F53" s="109"/>
      <c r="G53" s="109"/>
      <c r="H53" s="109"/>
      <c r="I53" s="109"/>
      <c r="J53" s="109"/>
      <c r="K53" s="109"/>
      <c r="L53" s="109"/>
      <c r="M53" s="109"/>
    </row>
    <row r="54" spans="1:13" x14ac:dyDescent="0.2">
      <c r="A54" s="134"/>
      <c r="B54" s="134"/>
      <c r="C54" s="134"/>
      <c r="D54" s="134"/>
      <c r="E54" s="134"/>
      <c r="F54" s="134"/>
      <c r="G54" s="134"/>
      <c r="H54" s="134"/>
      <c r="I54" s="134"/>
      <c r="J54" s="134"/>
      <c r="K54" s="134"/>
      <c r="L54" s="134"/>
      <c r="M54" s="134"/>
    </row>
  </sheetData>
  <pageMargins left="0.7" right="0.7" top="0.75" bottom="0.75" header="0.3" footer="0.3"/>
  <pageSetup scale="5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IT46"/>
  <sheetViews>
    <sheetView topLeftCell="G19" workbookViewId="0">
      <selection activeCell="N31" sqref="N31"/>
    </sheetView>
  </sheetViews>
  <sheetFormatPr defaultColWidth="12.42578125" defaultRowHeight="15" x14ac:dyDescent="0.2"/>
  <cols>
    <col min="1" max="1" width="11.140625" style="155" customWidth="1"/>
    <col min="2" max="2" width="30.5703125" style="155" customWidth="1"/>
    <col min="3" max="3" width="4.7109375" style="155" customWidth="1"/>
    <col min="4" max="4" width="20.140625" style="155" customWidth="1"/>
    <col min="5" max="5" width="21.42578125" style="155" customWidth="1"/>
    <col min="6" max="6" width="16.28515625" style="155" customWidth="1"/>
    <col min="7" max="7" width="17.5703125" style="155" customWidth="1"/>
    <col min="8" max="8" width="15.140625" style="155" customWidth="1"/>
    <col min="9" max="9" width="13.5703125" style="155" customWidth="1"/>
    <col min="10" max="10" width="21.5703125" style="155" customWidth="1"/>
    <col min="11" max="11" width="16.5703125" style="155" customWidth="1"/>
    <col min="12" max="12" width="13" style="155" customWidth="1"/>
    <col min="13" max="13" width="15.5703125" style="155" customWidth="1"/>
    <col min="14" max="14" width="17.7109375" style="155" customWidth="1"/>
    <col min="15" max="15" width="20.140625" style="155" customWidth="1"/>
    <col min="16" max="254" width="12.42578125" style="155"/>
    <col min="255" max="255" width="11.140625" style="155" customWidth="1"/>
    <col min="256" max="256" width="30.5703125" style="155" customWidth="1"/>
    <col min="257" max="257" width="4.7109375" style="155" customWidth="1"/>
    <col min="258" max="258" width="20.140625" style="155" customWidth="1"/>
    <col min="259" max="259" width="21.42578125" style="155" customWidth="1"/>
    <col min="260" max="263" width="16.28515625" style="155" customWidth="1"/>
    <col min="264" max="264" width="21.5703125" style="155" customWidth="1"/>
    <col min="265" max="265" width="16.5703125" style="155" customWidth="1"/>
    <col min="266" max="266" width="16.28515625" style="155" customWidth="1"/>
    <col min="267" max="267" width="17.5703125" style="155" customWidth="1"/>
    <col min="268" max="268" width="9.85546875" style="155" customWidth="1"/>
    <col min="269" max="269" width="14.85546875" style="155" customWidth="1"/>
    <col min="270" max="510" width="12.42578125" style="155"/>
    <col min="511" max="511" width="11.140625" style="155" customWidth="1"/>
    <col min="512" max="512" width="30.5703125" style="155" customWidth="1"/>
    <col min="513" max="513" width="4.7109375" style="155" customWidth="1"/>
    <col min="514" max="514" width="20.140625" style="155" customWidth="1"/>
    <col min="515" max="515" width="21.42578125" style="155" customWidth="1"/>
    <col min="516" max="519" width="16.28515625" style="155" customWidth="1"/>
    <col min="520" max="520" width="21.5703125" style="155" customWidth="1"/>
    <col min="521" max="521" width="16.5703125" style="155" customWidth="1"/>
    <col min="522" max="522" width="16.28515625" style="155" customWidth="1"/>
    <col min="523" max="523" width="17.5703125" style="155" customWidth="1"/>
    <col min="524" max="524" width="9.85546875" style="155" customWidth="1"/>
    <col min="525" max="525" width="14.85546875" style="155" customWidth="1"/>
    <col min="526" max="766" width="12.42578125" style="155"/>
    <col min="767" max="767" width="11.140625" style="155" customWidth="1"/>
    <col min="768" max="768" width="30.5703125" style="155" customWidth="1"/>
    <col min="769" max="769" width="4.7109375" style="155" customWidth="1"/>
    <col min="770" max="770" width="20.140625" style="155" customWidth="1"/>
    <col min="771" max="771" width="21.42578125" style="155" customWidth="1"/>
    <col min="772" max="775" width="16.28515625" style="155" customWidth="1"/>
    <col min="776" max="776" width="21.5703125" style="155" customWidth="1"/>
    <col min="777" max="777" width="16.5703125" style="155" customWidth="1"/>
    <col min="778" max="778" width="16.28515625" style="155" customWidth="1"/>
    <col min="779" max="779" width="17.5703125" style="155" customWidth="1"/>
    <col min="780" max="780" width="9.85546875" style="155" customWidth="1"/>
    <col min="781" max="781" width="14.85546875" style="155" customWidth="1"/>
    <col min="782" max="1022" width="12.42578125" style="155"/>
    <col min="1023" max="1023" width="11.140625" style="155" customWidth="1"/>
    <col min="1024" max="1024" width="30.5703125" style="155" customWidth="1"/>
    <col min="1025" max="1025" width="4.7109375" style="155" customWidth="1"/>
    <col min="1026" max="1026" width="20.140625" style="155" customWidth="1"/>
    <col min="1027" max="1027" width="21.42578125" style="155" customWidth="1"/>
    <col min="1028" max="1031" width="16.28515625" style="155" customWidth="1"/>
    <col min="1032" max="1032" width="21.5703125" style="155" customWidth="1"/>
    <col min="1033" max="1033" width="16.5703125" style="155" customWidth="1"/>
    <col min="1034" max="1034" width="16.28515625" style="155" customWidth="1"/>
    <col min="1035" max="1035" width="17.5703125" style="155" customWidth="1"/>
    <col min="1036" max="1036" width="9.85546875" style="155" customWidth="1"/>
    <col min="1037" max="1037" width="14.85546875" style="155" customWidth="1"/>
    <col min="1038" max="1278" width="12.42578125" style="155"/>
    <col min="1279" max="1279" width="11.140625" style="155" customWidth="1"/>
    <col min="1280" max="1280" width="30.5703125" style="155" customWidth="1"/>
    <col min="1281" max="1281" width="4.7109375" style="155" customWidth="1"/>
    <col min="1282" max="1282" width="20.140625" style="155" customWidth="1"/>
    <col min="1283" max="1283" width="21.42578125" style="155" customWidth="1"/>
    <col min="1284" max="1287" width="16.28515625" style="155" customWidth="1"/>
    <col min="1288" max="1288" width="21.5703125" style="155" customWidth="1"/>
    <col min="1289" max="1289" width="16.5703125" style="155" customWidth="1"/>
    <col min="1290" max="1290" width="16.28515625" style="155" customWidth="1"/>
    <col min="1291" max="1291" width="17.5703125" style="155" customWidth="1"/>
    <col min="1292" max="1292" width="9.85546875" style="155" customWidth="1"/>
    <col min="1293" max="1293" width="14.85546875" style="155" customWidth="1"/>
    <col min="1294" max="1534" width="12.42578125" style="155"/>
    <col min="1535" max="1535" width="11.140625" style="155" customWidth="1"/>
    <col min="1536" max="1536" width="30.5703125" style="155" customWidth="1"/>
    <col min="1537" max="1537" width="4.7109375" style="155" customWidth="1"/>
    <col min="1538" max="1538" width="20.140625" style="155" customWidth="1"/>
    <col min="1539" max="1539" width="21.42578125" style="155" customWidth="1"/>
    <col min="1540" max="1543" width="16.28515625" style="155" customWidth="1"/>
    <col min="1544" max="1544" width="21.5703125" style="155" customWidth="1"/>
    <col min="1545" max="1545" width="16.5703125" style="155" customWidth="1"/>
    <col min="1546" max="1546" width="16.28515625" style="155" customWidth="1"/>
    <col min="1547" max="1547" width="17.5703125" style="155" customWidth="1"/>
    <col min="1548" max="1548" width="9.85546875" style="155" customWidth="1"/>
    <col min="1549" max="1549" width="14.85546875" style="155" customWidth="1"/>
    <col min="1550" max="1790" width="12.42578125" style="155"/>
    <col min="1791" max="1791" width="11.140625" style="155" customWidth="1"/>
    <col min="1792" max="1792" width="30.5703125" style="155" customWidth="1"/>
    <col min="1793" max="1793" width="4.7109375" style="155" customWidth="1"/>
    <col min="1794" max="1794" width="20.140625" style="155" customWidth="1"/>
    <col min="1795" max="1795" width="21.42578125" style="155" customWidth="1"/>
    <col min="1796" max="1799" width="16.28515625" style="155" customWidth="1"/>
    <col min="1800" max="1800" width="21.5703125" style="155" customWidth="1"/>
    <col min="1801" max="1801" width="16.5703125" style="155" customWidth="1"/>
    <col min="1802" max="1802" width="16.28515625" style="155" customWidth="1"/>
    <col min="1803" max="1803" width="17.5703125" style="155" customWidth="1"/>
    <col min="1804" max="1804" width="9.85546875" style="155" customWidth="1"/>
    <col min="1805" max="1805" width="14.85546875" style="155" customWidth="1"/>
    <col min="1806" max="2046" width="12.42578125" style="155"/>
    <col min="2047" max="2047" width="11.140625" style="155" customWidth="1"/>
    <col min="2048" max="2048" width="30.5703125" style="155" customWidth="1"/>
    <col min="2049" max="2049" width="4.7109375" style="155" customWidth="1"/>
    <col min="2050" max="2050" width="20.140625" style="155" customWidth="1"/>
    <col min="2051" max="2051" width="21.42578125" style="155" customWidth="1"/>
    <col min="2052" max="2055" width="16.28515625" style="155" customWidth="1"/>
    <col min="2056" max="2056" width="21.5703125" style="155" customWidth="1"/>
    <col min="2057" max="2057" width="16.5703125" style="155" customWidth="1"/>
    <col min="2058" max="2058" width="16.28515625" style="155" customWidth="1"/>
    <col min="2059" max="2059" width="17.5703125" style="155" customWidth="1"/>
    <col min="2060" max="2060" width="9.85546875" style="155" customWidth="1"/>
    <col min="2061" max="2061" width="14.85546875" style="155" customWidth="1"/>
    <col min="2062" max="2302" width="12.42578125" style="155"/>
    <col min="2303" max="2303" width="11.140625" style="155" customWidth="1"/>
    <col min="2304" max="2304" width="30.5703125" style="155" customWidth="1"/>
    <col min="2305" max="2305" width="4.7109375" style="155" customWidth="1"/>
    <col min="2306" max="2306" width="20.140625" style="155" customWidth="1"/>
    <col min="2307" max="2307" width="21.42578125" style="155" customWidth="1"/>
    <col min="2308" max="2311" width="16.28515625" style="155" customWidth="1"/>
    <col min="2312" max="2312" width="21.5703125" style="155" customWidth="1"/>
    <col min="2313" max="2313" width="16.5703125" style="155" customWidth="1"/>
    <col min="2314" max="2314" width="16.28515625" style="155" customWidth="1"/>
    <col min="2315" max="2315" width="17.5703125" style="155" customWidth="1"/>
    <col min="2316" max="2316" width="9.85546875" style="155" customWidth="1"/>
    <col min="2317" max="2317" width="14.85546875" style="155" customWidth="1"/>
    <col min="2318" max="2558" width="12.42578125" style="155"/>
    <col min="2559" max="2559" width="11.140625" style="155" customWidth="1"/>
    <col min="2560" max="2560" width="30.5703125" style="155" customWidth="1"/>
    <col min="2561" max="2561" width="4.7109375" style="155" customWidth="1"/>
    <col min="2562" max="2562" width="20.140625" style="155" customWidth="1"/>
    <col min="2563" max="2563" width="21.42578125" style="155" customWidth="1"/>
    <col min="2564" max="2567" width="16.28515625" style="155" customWidth="1"/>
    <col min="2568" max="2568" width="21.5703125" style="155" customWidth="1"/>
    <col min="2569" max="2569" width="16.5703125" style="155" customWidth="1"/>
    <col min="2570" max="2570" width="16.28515625" style="155" customWidth="1"/>
    <col min="2571" max="2571" width="17.5703125" style="155" customWidth="1"/>
    <col min="2572" max="2572" width="9.85546875" style="155" customWidth="1"/>
    <col min="2573" max="2573" width="14.85546875" style="155" customWidth="1"/>
    <col min="2574" max="2814" width="12.42578125" style="155"/>
    <col min="2815" max="2815" width="11.140625" style="155" customWidth="1"/>
    <col min="2816" max="2816" width="30.5703125" style="155" customWidth="1"/>
    <col min="2817" max="2817" width="4.7109375" style="155" customWidth="1"/>
    <col min="2818" max="2818" width="20.140625" style="155" customWidth="1"/>
    <col min="2819" max="2819" width="21.42578125" style="155" customWidth="1"/>
    <col min="2820" max="2823" width="16.28515625" style="155" customWidth="1"/>
    <col min="2824" max="2824" width="21.5703125" style="155" customWidth="1"/>
    <col min="2825" max="2825" width="16.5703125" style="155" customWidth="1"/>
    <col min="2826" max="2826" width="16.28515625" style="155" customWidth="1"/>
    <col min="2827" max="2827" width="17.5703125" style="155" customWidth="1"/>
    <col min="2828" max="2828" width="9.85546875" style="155" customWidth="1"/>
    <col min="2829" max="2829" width="14.85546875" style="155" customWidth="1"/>
    <col min="2830" max="3070" width="12.42578125" style="155"/>
    <col min="3071" max="3071" width="11.140625" style="155" customWidth="1"/>
    <col min="3072" max="3072" width="30.5703125" style="155" customWidth="1"/>
    <col min="3073" max="3073" width="4.7109375" style="155" customWidth="1"/>
    <col min="3074" max="3074" width="20.140625" style="155" customWidth="1"/>
    <col min="3075" max="3075" width="21.42578125" style="155" customWidth="1"/>
    <col min="3076" max="3079" width="16.28515625" style="155" customWidth="1"/>
    <col min="3080" max="3080" width="21.5703125" style="155" customWidth="1"/>
    <col min="3081" max="3081" width="16.5703125" style="155" customWidth="1"/>
    <col min="3082" max="3082" width="16.28515625" style="155" customWidth="1"/>
    <col min="3083" max="3083" width="17.5703125" style="155" customWidth="1"/>
    <col min="3084" max="3084" width="9.85546875" style="155" customWidth="1"/>
    <col min="3085" max="3085" width="14.85546875" style="155" customWidth="1"/>
    <col min="3086" max="3326" width="12.42578125" style="155"/>
    <col min="3327" max="3327" width="11.140625" style="155" customWidth="1"/>
    <col min="3328" max="3328" width="30.5703125" style="155" customWidth="1"/>
    <col min="3329" max="3329" width="4.7109375" style="155" customWidth="1"/>
    <col min="3330" max="3330" width="20.140625" style="155" customWidth="1"/>
    <col min="3331" max="3331" width="21.42578125" style="155" customWidth="1"/>
    <col min="3332" max="3335" width="16.28515625" style="155" customWidth="1"/>
    <col min="3336" max="3336" width="21.5703125" style="155" customWidth="1"/>
    <col min="3337" max="3337" width="16.5703125" style="155" customWidth="1"/>
    <col min="3338" max="3338" width="16.28515625" style="155" customWidth="1"/>
    <col min="3339" max="3339" width="17.5703125" style="155" customWidth="1"/>
    <col min="3340" max="3340" width="9.85546875" style="155" customWidth="1"/>
    <col min="3341" max="3341" width="14.85546875" style="155" customWidth="1"/>
    <col min="3342" max="3582" width="12.42578125" style="155"/>
    <col min="3583" max="3583" width="11.140625" style="155" customWidth="1"/>
    <col min="3584" max="3584" width="30.5703125" style="155" customWidth="1"/>
    <col min="3585" max="3585" width="4.7109375" style="155" customWidth="1"/>
    <col min="3586" max="3586" width="20.140625" style="155" customWidth="1"/>
    <col min="3587" max="3587" width="21.42578125" style="155" customWidth="1"/>
    <col min="3588" max="3591" width="16.28515625" style="155" customWidth="1"/>
    <col min="3592" max="3592" width="21.5703125" style="155" customWidth="1"/>
    <col min="3593" max="3593" width="16.5703125" style="155" customWidth="1"/>
    <col min="3594" max="3594" width="16.28515625" style="155" customWidth="1"/>
    <col min="3595" max="3595" width="17.5703125" style="155" customWidth="1"/>
    <col min="3596" max="3596" width="9.85546875" style="155" customWidth="1"/>
    <col min="3597" max="3597" width="14.85546875" style="155" customWidth="1"/>
    <col min="3598" max="3838" width="12.42578125" style="155"/>
    <col min="3839" max="3839" width="11.140625" style="155" customWidth="1"/>
    <col min="3840" max="3840" width="30.5703125" style="155" customWidth="1"/>
    <col min="3841" max="3841" width="4.7109375" style="155" customWidth="1"/>
    <col min="3842" max="3842" width="20.140625" style="155" customWidth="1"/>
    <col min="3843" max="3843" width="21.42578125" style="155" customWidth="1"/>
    <col min="3844" max="3847" width="16.28515625" style="155" customWidth="1"/>
    <col min="3848" max="3848" width="21.5703125" style="155" customWidth="1"/>
    <col min="3849" max="3849" width="16.5703125" style="155" customWidth="1"/>
    <col min="3850" max="3850" width="16.28515625" style="155" customWidth="1"/>
    <col min="3851" max="3851" width="17.5703125" style="155" customWidth="1"/>
    <col min="3852" max="3852" width="9.85546875" style="155" customWidth="1"/>
    <col min="3853" max="3853" width="14.85546875" style="155" customWidth="1"/>
    <col min="3854" max="4094" width="12.42578125" style="155"/>
    <col min="4095" max="4095" width="11.140625" style="155" customWidth="1"/>
    <col min="4096" max="4096" width="30.5703125" style="155" customWidth="1"/>
    <col min="4097" max="4097" width="4.7109375" style="155" customWidth="1"/>
    <col min="4098" max="4098" width="20.140625" style="155" customWidth="1"/>
    <col min="4099" max="4099" width="21.42578125" style="155" customWidth="1"/>
    <col min="4100" max="4103" width="16.28515625" style="155" customWidth="1"/>
    <col min="4104" max="4104" width="21.5703125" style="155" customWidth="1"/>
    <col min="4105" max="4105" width="16.5703125" style="155" customWidth="1"/>
    <col min="4106" max="4106" width="16.28515625" style="155" customWidth="1"/>
    <col min="4107" max="4107" width="17.5703125" style="155" customWidth="1"/>
    <col min="4108" max="4108" width="9.85546875" style="155" customWidth="1"/>
    <col min="4109" max="4109" width="14.85546875" style="155" customWidth="1"/>
    <col min="4110" max="4350" width="12.42578125" style="155"/>
    <col min="4351" max="4351" width="11.140625" style="155" customWidth="1"/>
    <col min="4352" max="4352" width="30.5703125" style="155" customWidth="1"/>
    <col min="4353" max="4353" width="4.7109375" style="155" customWidth="1"/>
    <col min="4354" max="4354" width="20.140625" style="155" customWidth="1"/>
    <col min="4355" max="4355" width="21.42578125" style="155" customWidth="1"/>
    <col min="4356" max="4359" width="16.28515625" style="155" customWidth="1"/>
    <col min="4360" max="4360" width="21.5703125" style="155" customWidth="1"/>
    <col min="4361" max="4361" width="16.5703125" style="155" customWidth="1"/>
    <col min="4362" max="4362" width="16.28515625" style="155" customWidth="1"/>
    <col min="4363" max="4363" width="17.5703125" style="155" customWidth="1"/>
    <col min="4364" max="4364" width="9.85546875" style="155" customWidth="1"/>
    <col min="4365" max="4365" width="14.85546875" style="155" customWidth="1"/>
    <col min="4366" max="4606" width="12.42578125" style="155"/>
    <col min="4607" max="4607" width="11.140625" style="155" customWidth="1"/>
    <col min="4608" max="4608" width="30.5703125" style="155" customWidth="1"/>
    <col min="4609" max="4609" width="4.7109375" style="155" customWidth="1"/>
    <col min="4610" max="4610" width="20.140625" style="155" customWidth="1"/>
    <col min="4611" max="4611" width="21.42578125" style="155" customWidth="1"/>
    <col min="4612" max="4615" width="16.28515625" style="155" customWidth="1"/>
    <col min="4616" max="4616" width="21.5703125" style="155" customWidth="1"/>
    <col min="4617" max="4617" width="16.5703125" style="155" customWidth="1"/>
    <col min="4618" max="4618" width="16.28515625" style="155" customWidth="1"/>
    <col min="4619" max="4619" width="17.5703125" style="155" customWidth="1"/>
    <col min="4620" max="4620" width="9.85546875" style="155" customWidth="1"/>
    <col min="4621" max="4621" width="14.85546875" style="155" customWidth="1"/>
    <col min="4622" max="4862" width="12.42578125" style="155"/>
    <col min="4863" max="4863" width="11.140625" style="155" customWidth="1"/>
    <col min="4864" max="4864" width="30.5703125" style="155" customWidth="1"/>
    <col min="4865" max="4865" width="4.7109375" style="155" customWidth="1"/>
    <col min="4866" max="4866" width="20.140625" style="155" customWidth="1"/>
    <col min="4867" max="4867" width="21.42578125" style="155" customWidth="1"/>
    <col min="4868" max="4871" width="16.28515625" style="155" customWidth="1"/>
    <col min="4872" max="4872" width="21.5703125" style="155" customWidth="1"/>
    <col min="4873" max="4873" width="16.5703125" style="155" customWidth="1"/>
    <col min="4874" max="4874" width="16.28515625" style="155" customWidth="1"/>
    <col min="4875" max="4875" width="17.5703125" style="155" customWidth="1"/>
    <col min="4876" max="4876" width="9.85546875" style="155" customWidth="1"/>
    <col min="4877" max="4877" width="14.85546875" style="155" customWidth="1"/>
    <col min="4878" max="5118" width="12.42578125" style="155"/>
    <col min="5119" max="5119" width="11.140625" style="155" customWidth="1"/>
    <col min="5120" max="5120" width="30.5703125" style="155" customWidth="1"/>
    <col min="5121" max="5121" width="4.7109375" style="155" customWidth="1"/>
    <col min="5122" max="5122" width="20.140625" style="155" customWidth="1"/>
    <col min="5123" max="5123" width="21.42578125" style="155" customWidth="1"/>
    <col min="5124" max="5127" width="16.28515625" style="155" customWidth="1"/>
    <col min="5128" max="5128" width="21.5703125" style="155" customWidth="1"/>
    <col min="5129" max="5129" width="16.5703125" style="155" customWidth="1"/>
    <col min="5130" max="5130" width="16.28515625" style="155" customWidth="1"/>
    <col min="5131" max="5131" width="17.5703125" style="155" customWidth="1"/>
    <col min="5132" max="5132" width="9.85546875" style="155" customWidth="1"/>
    <col min="5133" max="5133" width="14.85546875" style="155" customWidth="1"/>
    <col min="5134" max="5374" width="12.42578125" style="155"/>
    <col min="5375" max="5375" width="11.140625" style="155" customWidth="1"/>
    <col min="5376" max="5376" width="30.5703125" style="155" customWidth="1"/>
    <col min="5377" max="5377" width="4.7109375" style="155" customWidth="1"/>
    <col min="5378" max="5378" width="20.140625" style="155" customWidth="1"/>
    <col min="5379" max="5379" width="21.42578125" style="155" customWidth="1"/>
    <col min="5380" max="5383" width="16.28515625" style="155" customWidth="1"/>
    <col min="5384" max="5384" width="21.5703125" style="155" customWidth="1"/>
    <col min="5385" max="5385" width="16.5703125" style="155" customWidth="1"/>
    <col min="5386" max="5386" width="16.28515625" style="155" customWidth="1"/>
    <col min="5387" max="5387" width="17.5703125" style="155" customWidth="1"/>
    <col min="5388" max="5388" width="9.85546875" style="155" customWidth="1"/>
    <col min="5389" max="5389" width="14.85546875" style="155" customWidth="1"/>
    <col min="5390" max="5630" width="12.42578125" style="155"/>
    <col min="5631" max="5631" width="11.140625" style="155" customWidth="1"/>
    <col min="5632" max="5632" width="30.5703125" style="155" customWidth="1"/>
    <col min="5633" max="5633" width="4.7109375" style="155" customWidth="1"/>
    <col min="5634" max="5634" width="20.140625" style="155" customWidth="1"/>
    <col min="5635" max="5635" width="21.42578125" style="155" customWidth="1"/>
    <col min="5636" max="5639" width="16.28515625" style="155" customWidth="1"/>
    <col min="5640" max="5640" width="21.5703125" style="155" customWidth="1"/>
    <col min="5641" max="5641" width="16.5703125" style="155" customWidth="1"/>
    <col min="5642" max="5642" width="16.28515625" style="155" customWidth="1"/>
    <col min="5643" max="5643" width="17.5703125" style="155" customWidth="1"/>
    <col min="5644" max="5644" width="9.85546875" style="155" customWidth="1"/>
    <col min="5645" max="5645" width="14.85546875" style="155" customWidth="1"/>
    <col min="5646" max="5886" width="12.42578125" style="155"/>
    <col min="5887" max="5887" width="11.140625" style="155" customWidth="1"/>
    <col min="5888" max="5888" width="30.5703125" style="155" customWidth="1"/>
    <col min="5889" max="5889" width="4.7109375" style="155" customWidth="1"/>
    <col min="5890" max="5890" width="20.140625" style="155" customWidth="1"/>
    <col min="5891" max="5891" width="21.42578125" style="155" customWidth="1"/>
    <col min="5892" max="5895" width="16.28515625" style="155" customWidth="1"/>
    <col min="5896" max="5896" width="21.5703125" style="155" customWidth="1"/>
    <col min="5897" max="5897" width="16.5703125" style="155" customWidth="1"/>
    <col min="5898" max="5898" width="16.28515625" style="155" customWidth="1"/>
    <col min="5899" max="5899" width="17.5703125" style="155" customWidth="1"/>
    <col min="5900" max="5900" width="9.85546875" style="155" customWidth="1"/>
    <col min="5901" max="5901" width="14.85546875" style="155" customWidth="1"/>
    <col min="5902" max="6142" width="12.42578125" style="155"/>
    <col min="6143" max="6143" width="11.140625" style="155" customWidth="1"/>
    <col min="6144" max="6144" width="30.5703125" style="155" customWidth="1"/>
    <col min="6145" max="6145" width="4.7109375" style="155" customWidth="1"/>
    <col min="6146" max="6146" width="20.140625" style="155" customWidth="1"/>
    <col min="6147" max="6147" width="21.42578125" style="155" customWidth="1"/>
    <col min="6148" max="6151" width="16.28515625" style="155" customWidth="1"/>
    <col min="6152" max="6152" width="21.5703125" style="155" customWidth="1"/>
    <col min="6153" max="6153" width="16.5703125" style="155" customWidth="1"/>
    <col min="6154" max="6154" width="16.28515625" style="155" customWidth="1"/>
    <col min="6155" max="6155" width="17.5703125" style="155" customWidth="1"/>
    <col min="6156" max="6156" width="9.85546875" style="155" customWidth="1"/>
    <col min="6157" max="6157" width="14.85546875" style="155" customWidth="1"/>
    <col min="6158" max="6398" width="12.42578125" style="155"/>
    <col min="6399" max="6399" width="11.140625" style="155" customWidth="1"/>
    <col min="6400" max="6400" width="30.5703125" style="155" customWidth="1"/>
    <col min="6401" max="6401" width="4.7109375" style="155" customWidth="1"/>
    <col min="6402" max="6402" width="20.140625" style="155" customWidth="1"/>
    <col min="6403" max="6403" width="21.42578125" style="155" customWidth="1"/>
    <col min="6404" max="6407" width="16.28515625" style="155" customWidth="1"/>
    <col min="6408" max="6408" width="21.5703125" style="155" customWidth="1"/>
    <col min="6409" max="6409" width="16.5703125" style="155" customWidth="1"/>
    <col min="6410" max="6410" width="16.28515625" style="155" customWidth="1"/>
    <col min="6411" max="6411" width="17.5703125" style="155" customWidth="1"/>
    <col min="6412" max="6412" width="9.85546875" style="155" customWidth="1"/>
    <col min="6413" max="6413" width="14.85546875" style="155" customWidth="1"/>
    <col min="6414" max="6654" width="12.42578125" style="155"/>
    <col min="6655" max="6655" width="11.140625" style="155" customWidth="1"/>
    <col min="6656" max="6656" width="30.5703125" style="155" customWidth="1"/>
    <col min="6657" max="6657" width="4.7109375" style="155" customWidth="1"/>
    <col min="6658" max="6658" width="20.140625" style="155" customWidth="1"/>
    <col min="6659" max="6659" width="21.42578125" style="155" customWidth="1"/>
    <col min="6660" max="6663" width="16.28515625" style="155" customWidth="1"/>
    <col min="6664" max="6664" width="21.5703125" style="155" customWidth="1"/>
    <col min="6665" max="6665" width="16.5703125" style="155" customWidth="1"/>
    <col min="6666" max="6666" width="16.28515625" style="155" customWidth="1"/>
    <col min="6667" max="6667" width="17.5703125" style="155" customWidth="1"/>
    <col min="6668" max="6668" width="9.85546875" style="155" customWidth="1"/>
    <col min="6669" max="6669" width="14.85546875" style="155" customWidth="1"/>
    <col min="6670" max="6910" width="12.42578125" style="155"/>
    <col min="6911" max="6911" width="11.140625" style="155" customWidth="1"/>
    <col min="6912" max="6912" width="30.5703125" style="155" customWidth="1"/>
    <col min="6913" max="6913" width="4.7109375" style="155" customWidth="1"/>
    <col min="6914" max="6914" width="20.140625" style="155" customWidth="1"/>
    <col min="6915" max="6915" width="21.42578125" style="155" customWidth="1"/>
    <col min="6916" max="6919" width="16.28515625" style="155" customWidth="1"/>
    <col min="6920" max="6920" width="21.5703125" style="155" customWidth="1"/>
    <col min="6921" max="6921" width="16.5703125" style="155" customWidth="1"/>
    <col min="6922" max="6922" width="16.28515625" style="155" customWidth="1"/>
    <col min="6923" max="6923" width="17.5703125" style="155" customWidth="1"/>
    <col min="6924" max="6924" width="9.85546875" style="155" customWidth="1"/>
    <col min="6925" max="6925" width="14.85546875" style="155" customWidth="1"/>
    <col min="6926" max="7166" width="12.42578125" style="155"/>
    <col min="7167" max="7167" width="11.140625" style="155" customWidth="1"/>
    <col min="7168" max="7168" width="30.5703125" style="155" customWidth="1"/>
    <col min="7169" max="7169" width="4.7109375" style="155" customWidth="1"/>
    <col min="7170" max="7170" width="20.140625" style="155" customWidth="1"/>
    <col min="7171" max="7171" width="21.42578125" style="155" customWidth="1"/>
    <col min="7172" max="7175" width="16.28515625" style="155" customWidth="1"/>
    <col min="7176" max="7176" width="21.5703125" style="155" customWidth="1"/>
    <col min="7177" max="7177" width="16.5703125" style="155" customWidth="1"/>
    <col min="7178" max="7178" width="16.28515625" style="155" customWidth="1"/>
    <col min="7179" max="7179" width="17.5703125" style="155" customWidth="1"/>
    <col min="7180" max="7180" width="9.85546875" style="155" customWidth="1"/>
    <col min="7181" max="7181" width="14.85546875" style="155" customWidth="1"/>
    <col min="7182" max="7422" width="12.42578125" style="155"/>
    <col min="7423" max="7423" width="11.140625" style="155" customWidth="1"/>
    <col min="7424" max="7424" width="30.5703125" style="155" customWidth="1"/>
    <col min="7425" max="7425" width="4.7109375" style="155" customWidth="1"/>
    <col min="7426" max="7426" width="20.140625" style="155" customWidth="1"/>
    <col min="7427" max="7427" width="21.42578125" style="155" customWidth="1"/>
    <col min="7428" max="7431" width="16.28515625" style="155" customWidth="1"/>
    <col min="7432" max="7432" width="21.5703125" style="155" customWidth="1"/>
    <col min="7433" max="7433" width="16.5703125" style="155" customWidth="1"/>
    <col min="7434" max="7434" width="16.28515625" style="155" customWidth="1"/>
    <col min="7435" max="7435" width="17.5703125" style="155" customWidth="1"/>
    <col min="7436" max="7436" width="9.85546875" style="155" customWidth="1"/>
    <col min="7437" max="7437" width="14.85546875" style="155" customWidth="1"/>
    <col min="7438" max="7678" width="12.42578125" style="155"/>
    <col min="7679" max="7679" width="11.140625" style="155" customWidth="1"/>
    <col min="7680" max="7680" width="30.5703125" style="155" customWidth="1"/>
    <col min="7681" max="7681" width="4.7109375" style="155" customWidth="1"/>
    <col min="7682" max="7682" width="20.140625" style="155" customWidth="1"/>
    <col min="7683" max="7683" width="21.42578125" style="155" customWidth="1"/>
    <col min="7684" max="7687" width="16.28515625" style="155" customWidth="1"/>
    <col min="7688" max="7688" width="21.5703125" style="155" customWidth="1"/>
    <col min="7689" max="7689" width="16.5703125" style="155" customWidth="1"/>
    <col min="7690" max="7690" width="16.28515625" style="155" customWidth="1"/>
    <col min="7691" max="7691" width="17.5703125" style="155" customWidth="1"/>
    <col min="7692" max="7692" width="9.85546875" style="155" customWidth="1"/>
    <col min="7693" max="7693" width="14.85546875" style="155" customWidth="1"/>
    <col min="7694" max="7934" width="12.42578125" style="155"/>
    <col min="7935" max="7935" width="11.140625" style="155" customWidth="1"/>
    <col min="7936" max="7936" width="30.5703125" style="155" customWidth="1"/>
    <col min="7937" max="7937" width="4.7109375" style="155" customWidth="1"/>
    <col min="7938" max="7938" width="20.140625" style="155" customWidth="1"/>
    <col min="7939" max="7939" width="21.42578125" style="155" customWidth="1"/>
    <col min="7940" max="7943" width="16.28515625" style="155" customWidth="1"/>
    <col min="7944" max="7944" width="21.5703125" style="155" customWidth="1"/>
    <col min="7945" max="7945" width="16.5703125" style="155" customWidth="1"/>
    <col min="7946" max="7946" width="16.28515625" style="155" customWidth="1"/>
    <col min="7947" max="7947" width="17.5703125" style="155" customWidth="1"/>
    <col min="7948" max="7948" width="9.85546875" style="155" customWidth="1"/>
    <col min="7949" max="7949" width="14.85546875" style="155" customWidth="1"/>
    <col min="7950" max="8190" width="12.42578125" style="155"/>
    <col min="8191" max="8191" width="11.140625" style="155" customWidth="1"/>
    <col min="8192" max="8192" width="30.5703125" style="155" customWidth="1"/>
    <col min="8193" max="8193" width="4.7109375" style="155" customWidth="1"/>
    <col min="8194" max="8194" width="20.140625" style="155" customWidth="1"/>
    <col min="8195" max="8195" width="21.42578125" style="155" customWidth="1"/>
    <col min="8196" max="8199" width="16.28515625" style="155" customWidth="1"/>
    <col min="8200" max="8200" width="21.5703125" style="155" customWidth="1"/>
    <col min="8201" max="8201" width="16.5703125" style="155" customWidth="1"/>
    <col min="8202" max="8202" width="16.28515625" style="155" customWidth="1"/>
    <col min="8203" max="8203" width="17.5703125" style="155" customWidth="1"/>
    <col min="8204" max="8204" width="9.85546875" style="155" customWidth="1"/>
    <col min="8205" max="8205" width="14.85546875" style="155" customWidth="1"/>
    <col min="8206" max="8446" width="12.42578125" style="155"/>
    <col min="8447" max="8447" width="11.140625" style="155" customWidth="1"/>
    <col min="8448" max="8448" width="30.5703125" style="155" customWidth="1"/>
    <col min="8449" max="8449" width="4.7109375" style="155" customWidth="1"/>
    <col min="8450" max="8450" width="20.140625" style="155" customWidth="1"/>
    <col min="8451" max="8451" width="21.42578125" style="155" customWidth="1"/>
    <col min="8452" max="8455" width="16.28515625" style="155" customWidth="1"/>
    <col min="8456" max="8456" width="21.5703125" style="155" customWidth="1"/>
    <col min="8457" max="8457" width="16.5703125" style="155" customWidth="1"/>
    <col min="8458" max="8458" width="16.28515625" style="155" customWidth="1"/>
    <col min="8459" max="8459" width="17.5703125" style="155" customWidth="1"/>
    <col min="8460" max="8460" width="9.85546875" style="155" customWidth="1"/>
    <col min="8461" max="8461" width="14.85546875" style="155" customWidth="1"/>
    <col min="8462" max="8702" width="12.42578125" style="155"/>
    <col min="8703" max="8703" width="11.140625" style="155" customWidth="1"/>
    <col min="8704" max="8704" width="30.5703125" style="155" customWidth="1"/>
    <col min="8705" max="8705" width="4.7109375" style="155" customWidth="1"/>
    <col min="8706" max="8706" width="20.140625" style="155" customWidth="1"/>
    <col min="8707" max="8707" width="21.42578125" style="155" customWidth="1"/>
    <col min="8708" max="8711" width="16.28515625" style="155" customWidth="1"/>
    <col min="8712" max="8712" width="21.5703125" style="155" customWidth="1"/>
    <col min="8713" max="8713" width="16.5703125" style="155" customWidth="1"/>
    <col min="8714" max="8714" width="16.28515625" style="155" customWidth="1"/>
    <col min="8715" max="8715" width="17.5703125" style="155" customWidth="1"/>
    <col min="8716" max="8716" width="9.85546875" style="155" customWidth="1"/>
    <col min="8717" max="8717" width="14.85546875" style="155" customWidth="1"/>
    <col min="8718" max="8958" width="12.42578125" style="155"/>
    <col min="8959" max="8959" width="11.140625" style="155" customWidth="1"/>
    <col min="8960" max="8960" width="30.5703125" style="155" customWidth="1"/>
    <col min="8961" max="8961" width="4.7109375" style="155" customWidth="1"/>
    <col min="8962" max="8962" width="20.140625" style="155" customWidth="1"/>
    <col min="8963" max="8963" width="21.42578125" style="155" customWidth="1"/>
    <col min="8964" max="8967" width="16.28515625" style="155" customWidth="1"/>
    <col min="8968" max="8968" width="21.5703125" style="155" customWidth="1"/>
    <col min="8969" max="8969" width="16.5703125" style="155" customWidth="1"/>
    <col min="8970" max="8970" width="16.28515625" style="155" customWidth="1"/>
    <col min="8971" max="8971" width="17.5703125" style="155" customWidth="1"/>
    <col min="8972" max="8972" width="9.85546875" style="155" customWidth="1"/>
    <col min="8973" max="8973" width="14.85546875" style="155" customWidth="1"/>
    <col min="8974" max="9214" width="12.42578125" style="155"/>
    <col min="9215" max="9215" width="11.140625" style="155" customWidth="1"/>
    <col min="9216" max="9216" width="30.5703125" style="155" customWidth="1"/>
    <col min="9217" max="9217" width="4.7109375" style="155" customWidth="1"/>
    <col min="9218" max="9218" width="20.140625" style="155" customWidth="1"/>
    <col min="9219" max="9219" width="21.42578125" style="155" customWidth="1"/>
    <col min="9220" max="9223" width="16.28515625" style="155" customWidth="1"/>
    <col min="9224" max="9224" width="21.5703125" style="155" customWidth="1"/>
    <col min="9225" max="9225" width="16.5703125" style="155" customWidth="1"/>
    <col min="9226" max="9226" width="16.28515625" style="155" customWidth="1"/>
    <col min="9227" max="9227" width="17.5703125" style="155" customWidth="1"/>
    <col min="9228" max="9228" width="9.85546875" style="155" customWidth="1"/>
    <col min="9229" max="9229" width="14.85546875" style="155" customWidth="1"/>
    <col min="9230" max="9470" width="12.42578125" style="155"/>
    <col min="9471" max="9471" width="11.140625" style="155" customWidth="1"/>
    <col min="9472" max="9472" width="30.5703125" style="155" customWidth="1"/>
    <col min="9473" max="9473" width="4.7109375" style="155" customWidth="1"/>
    <col min="9474" max="9474" width="20.140625" style="155" customWidth="1"/>
    <col min="9475" max="9475" width="21.42578125" style="155" customWidth="1"/>
    <col min="9476" max="9479" width="16.28515625" style="155" customWidth="1"/>
    <col min="9480" max="9480" width="21.5703125" style="155" customWidth="1"/>
    <col min="9481" max="9481" width="16.5703125" style="155" customWidth="1"/>
    <col min="9482" max="9482" width="16.28515625" style="155" customWidth="1"/>
    <col min="9483" max="9483" width="17.5703125" style="155" customWidth="1"/>
    <col min="9484" max="9484" width="9.85546875" style="155" customWidth="1"/>
    <col min="9485" max="9485" width="14.85546875" style="155" customWidth="1"/>
    <col min="9486" max="9726" width="12.42578125" style="155"/>
    <col min="9727" max="9727" width="11.140625" style="155" customWidth="1"/>
    <col min="9728" max="9728" width="30.5703125" style="155" customWidth="1"/>
    <col min="9729" max="9729" width="4.7109375" style="155" customWidth="1"/>
    <col min="9730" max="9730" width="20.140625" style="155" customWidth="1"/>
    <col min="9731" max="9731" width="21.42578125" style="155" customWidth="1"/>
    <col min="9732" max="9735" width="16.28515625" style="155" customWidth="1"/>
    <col min="9736" max="9736" width="21.5703125" style="155" customWidth="1"/>
    <col min="9737" max="9737" width="16.5703125" style="155" customWidth="1"/>
    <col min="9738" max="9738" width="16.28515625" style="155" customWidth="1"/>
    <col min="9739" max="9739" width="17.5703125" style="155" customWidth="1"/>
    <col min="9740" max="9740" width="9.85546875" style="155" customWidth="1"/>
    <col min="9741" max="9741" width="14.85546875" style="155" customWidth="1"/>
    <col min="9742" max="9982" width="12.42578125" style="155"/>
    <col min="9983" max="9983" width="11.140625" style="155" customWidth="1"/>
    <col min="9984" max="9984" width="30.5703125" style="155" customWidth="1"/>
    <col min="9985" max="9985" width="4.7109375" style="155" customWidth="1"/>
    <col min="9986" max="9986" width="20.140625" style="155" customWidth="1"/>
    <col min="9987" max="9987" width="21.42578125" style="155" customWidth="1"/>
    <col min="9988" max="9991" width="16.28515625" style="155" customWidth="1"/>
    <col min="9992" max="9992" width="21.5703125" style="155" customWidth="1"/>
    <col min="9993" max="9993" width="16.5703125" style="155" customWidth="1"/>
    <col min="9994" max="9994" width="16.28515625" style="155" customWidth="1"/>
    <col min="9995" max="9995" width="17.5703125" style="155" customWidth="1"/>
    <col min="9996" max="9996" width="9.85546875" style="155" customWidth="1"/>
    <col min="9997" max="9997" width="14.85546875" style="155" customWidth="1"/>
    <col min="9998" max="10238" width="12.42578125" style="155"/>
    <col min="10239" max="10239" width="11.140625" style="155" customWidth="1"/>
    <col min="10240" max="10240" width="30.5703125" style="155" customWidth="1"/>
    <col min="10241" max="10241" width="4.7109375" style="155" customWidth="1"/>
    <col min="10242" max="10242" width="20.140625" style="155" customWidth="1"/>
    <col min="10243" max="10243" width="21.42578125" style="155" customWidth="1"/>
    <col min="10244" max="10247" width="16.28515625" style="155" customWidth="1"/>
    <col min="10248" max="10248" width="21.5703125" style="155" customWidth="1"/>
    <col min="10249" max="10249" width="16.5703125" style="155" customWidth="1"/>
    <col min="10250" max="10250" width="16.28515625" style="155" customWidth="1"/>
    <col min="10251" max="10251" width="17.5703125" style="155" customWidth="1"/>
    <col min="10252" max="10252" width="9.85546875" style="155" customWidth="1"/>
    <col min="10253" max="10253" width="14.85546875" style="155" customWidth="1"/>
    <col min="10254" max="10494" width="12.42578125" style="155"/>
    <col min="10495" max="10495" width="11.140625" style="155" customWidth="1"/>
    <col min="10496" max="10496" width="30.5703125" style="155" customWidth="1"/>
    <col min="10497" max="10497" width="4.7109375" style="155" customWidth="1"/>
    <col min="10498" max="10498" width="20.140625" style="155" customWidth="1"/>
    <col min="10499" max="10499" width="21.42578125" style="155" customWidth="1"/>
    <col min="10500" max="10503" width="16.28515625" style="155" customWidth="1"/>
    <col min="10504" max="10504" width="21.5703125" style="155" customWidth="1"/>
    <col min="10505" max="10505" width="16.5703125" style="155" customWidth="1"/>
    <col min="10506" max="10506" width="16.28515625" style="155" customWidth="1"/>
    <col min="10507" max="10507" width="17.5703125" style="155" customWidth="1"/>
    <col min="10508" max="10508" width="9.85546875" style="155" customWidth="1"/>
    <col min="10509" max="10509" width="14.85546875" style="155" customWidth="1"/>
    <col min="10510" max="10750" width="12.42578125" style="155"/>
    <col min="10751" max="10751" width="11.140625" style="155" customWidth="1"/>
    <col min="10752" max="10752" width="30.5703125" style="155" customWidth="1"/>
    <col min="10753" max="10753" width="4.7109375" style="155" customWidth="1"/>
    <col min="10754" max="10754" width="20.140625" style="155" customWidth="1"/>
    <col min="10755" max="10755" width="21.42578125" style="155" customWidth="1"/>
    <col min="10756" max="10759" width="16.28515625" style="155" customWidth="1"/>
    <col min="10760" max="10760" width="21.5703125" style="155" customWidth="1"/>
    <col min="10761" max="10761" width="16.5703125" style="155" customWidth="1"/>
    <col min="10762" max="10762" width="16.28515625" style="155" customWidth="1"/>
    <col min="10763" max="10763" width="17.5703125" style="155" customWidth="1"/>
    <col min="10764" max="10764" width="9.85546875" style="155" customWidth="1"/>
    <col min="10765" max="10765" width="14.85546875" style="155" customWidth="1"/>
    <col min="10766" max="11006" width="12.42578125" style="155"/>
    <col min="11007" max="11007" width="11.140625" style="155" customWidth="1"/>
    <col min="11008" max="11008" width="30.5703125" style="155" customWidth="1"/>
    <col min="11009" max="11009" width="4.7109375" style="155" customWidth="1"/>
    <col min="11010" max="11010" width="20.140625" style="155" customWidth="1"/>
    <col min="11011" max="11011" width="21.42578125" style="155" customWidth="1"/>
    <col min="11012" max="11015" width="16.28515625" style="155" customWidth="1"/>
    <col min="11016" max="11016" width="21.5703125" style="155" customWidth="1"/>
    <col min="11017" max="11017" width="16.5703125" style="155" customWidth="1"/>
    <col min="11018" max="11018" width="16.28515625" style="155" customWidth="1"/>
    <col min="11019" max="11019" width="17.5703125" style="155" customWidth="1"/>
    <col min="11020" max="11020" width="9.85546875" style="155" customWidth="1"/>
    <col min="11021" max="11021" width="14.85546875" style="155" customWidth="1"/>
    <col min="11022" max="11262" width="12.42578125" style="155"/>
    <col min="11263" max="11263" width="11.140625" style="155" customWidth="1"/>
    <col min="11264" max="11264" width="30.5703125" style="155" customWidth="1"/>
    <col min="11265" max="11265" width="4.7109375" style="155" customWidth="1"/>
    <col min="11266" max="11266" width="20.140625" style="155" customWidth="1"/>
    <col min="11267" max="11267" width="21.42578125" style="155" customWidth="1"/>
    <col min="11268" max="11271" width="16.28515625" style="155" customWidth="1"/>
    <col min="11272" max="11272" width="21.5703125" style="155" customWidth="1"/>
    <col min="11273" max="11273" width="16.5703125" style="155" customWidth="1"/>
    <col min="11274" max="11274" width="16.28515625" style="155" customWidth="1"/>
    <col min="11275" max="11275" width="17.5703125" style="155" customWidth="1"/>
    <col min="11276" max="11276" width="9.85546875" style="155" customWidth="1"/>
    <col min="11277" max="11277" width="14.85546875" style="155" customWidth="1"/>
    <col min="11278" max="11518" width="12.42578125" style="155"/>
    <col min="11519" max="11519" width="11.140625" style="155" customWidth="1"/>
    <col min="11520" max="11520" width="30.5703125" style="155" customWidth="1"/>
    <col min="11521" max="11521" width="4.7109375" style="155" customWidth="1"/>
    <col min="11522" max="11522" width="20.140625" style="155" customWidth="1"/>
    <col min="11523" max="11523" width="21.42578125" style="155" customWidth="1"/>
    <col min="11524" max="11527" width="16.28515625" style="155" customWidth="1"/>
    <col min="11528" max="11528" width="21.5703125" style="155" customWidth="1"/>
    <col min="11529" max="11529" width="16.5703125" style="155" customWidth="1"/>
    <col min="11530" max="11530" width="16.28515625" style="155" customWidth="1"/>
    <col min="11531" max="11531" width="17.5703125" style="155" customWidth="1"/>
    <col min="11532" max="11532" width="9.85546875" style="155" customWidth="1"/>
    <col min="11533" max="11533" width="14.85546875" style="155" customWidth="1"/>
    <col min="11534" max="11774" width="12.42578125" style="155"/>
    <col min="11775" max="11775" width="11.140625" style="155" customWidth="1"/>
    <col min="11776" max="11776" width="30.5703125" style="155" customWidth="1"/>
    <col min="11777" max="11777" width="4.7109375" style="155" customWidth="1"/>
    <col min="11778" max="11778" width="20.140625" style="155" customWidth="1"/>
    <col min="11779" max="11779" width="21.42578125" style="155" customWidth="1"/>
    <col min="11780" max="11783" width="16.28515625" style="155" customWidth="1"/>
    <col min="11784" max="11784" width="21.5703125" style="155" customWidth="1"/>
    <col min="11785" max="11785" width="16.5703125" style="155" customWidth="1"/>
    <col min="11786" max="11786" width="16.28515625" style="155" customWidth="1"/>
    <col min="11787" max="11787" width="17.5703125" style="155" customWidth="1"/>
    <col min="11788" max="11788" width="9.85546875" style="155" customWidth="1"/>
    <col min="11789" max="11789" width="14.85546875" style="155" customWidth="1"/>
    <col min="11790" max="12030" width="12.42578125" style="155"/>
    <col min="12031" max="12031" width="11.140625" style="155" customWidth="1"/>
    <col min="12032" max="12032" width="30.5703125" style="155" customWidth="1"/>
    <col min="12033" max="12033" width="4.7109375" style="155" customWidth="1"/>
    <col min="12034" max="12034" width="20.140625" style="155" customWidth="1"/>
    <col min="12035" max="12035" width="21.42578125" style="155" customWidth="1"/>
    <col min="12036" max="12039" width="16.28515625" style="155" customWidth="1"/>
    <col min="12040" max="12040" width="21.5703125" style="155" customWidth="1"/>
    <col min="12041" max="12041" width="16.5703125" style="155" customWidth="1"/>
    <col min="12042" max="12042" width="16.28515625" style="155" customWidth="1"/>
    <col min="12043" max="12043" width="17.5703125" style="155" customWidth="1"/>
    <col min="12044" max="12044" width="9.85546875" style="155" customWidth="1"/>
    <col min="12045" max="12045" width="14.85546875" style="155" customWidth="1"/>
    <col min="12046" max="12286" width="12.42578125" style="155"/>
    <col min="12287" max="12287" width="11.140625" style="155" customWidth="1"/>
    <col min="12288" max="12288" width="30.5703125" style="155" customWidth="1"/>
    <col min="12289" max="12289" width="4.7109375" style="155" customWidth="1"/>
    <col min="12290" max="12290" width="20.140625" style="155" customWidth="1"/>
    <col min="12291" max="12291" width="21.42578125" style="155" customWidth="1"/>
    <col min="12292" max="12295" width="16.28515625" style="155" customWidth="1"/>
    <col min="12296" max="12296" width="21.5703125" style="155" customWidth="1"/>
    <col min="12297" max="12297" width="16.5703125" style="155" customWidth="1"/>
    <col min="12298" max="12298" width="16.28515625" style="155" customWidth="1"/>
    <col min="12299" max="12299" width="17.5703125" style="155" customWidth="1"/>
    <col min="12300" max="12300" width="9.85546875" style="155" customWidth="1"/>
    <col min="12301" max="12301" width="14.85546875" style="155" customWidth="1"/>
    <col min="12302" max="12542" width="12.42578125" style="155"/>
    <col min="12543" max="12543" width="11.140625" style="155" customWidth="1"/>
    <col min="12544" max="12544" width="30.5703125" style="155" customWidth="1"/>
    <col min="12545" max="12545" width="4.7109375" style="155" customWidth="1"/>
    <col min="12546" max="12546" width="20.140625" style="155" customWidth="1"/>
    <col min="12547" max="12547" width="21.42578125" style="155" customWidth="1"/>
    <col min="12548" max="12551" width="16.28515625" style="155" customWidth="1"/>
    <col min="12552" max="12552" width="21.5703125" style="155" customWidth="1"/>
    <col min="12553" max="12553" width="16.5703125" style="155" customWidth="1"/>
    <col min="12554" max="12554" width="16.28515625" style="155" customWidth="1"/>
    <col min="12555" max="12555" width="17.5703125" style="155" customWidth="1"/>
    <col min="12556" max="12556" width="9.85546875" style="155" customWidth="1"/>
    <col min="12557" max="12557" width="14.85546875" style="155" customWidth="1"/>
    <col min="12558" max="12798" width="12.42578125" style="155"/>
    <col min="12799" max="12799" width="11.140625" style="155" customWidth="1"/>
    <col min="12800" max="12800" width="30.5703125" style="155" customWidth="1"/>
    <col min="12801" max="12801" width="4.7109375" style="155" customWidth="1"/>
    <col min="12802" max="12802" width="20.140625" style="155" customWidth="1"/>
    <col min="12803" max="12803" width="21.42578125" style="155" customWidth="1"/>
    <col min="12804" max="12807" width="16.28515625" style="155" customWidth="1"/>
    <col min="12808" max="12808" width="21.5703125" style="155" customWidth="1"/>
    <col min="12809" max="12809" width="16.5703125" style="155" customWidth="1"/>
    <col min="12810" max="12810" width="16.28515625" style="155" customWidth="1"/>
    <col min="12811" max="12811" width="17.5703125" style="155" customWidth="1"/>
    <col min="12812" max="12812" width="9.85546875" style="155" customWidth="1"/>
    <col min="12813" max="12813" width="14.85546875" style="155" customWidth="1"/>
    <col min="12814" max="13054" width="12.42578125" style="155"/>
    <col min="13055" max="13055" width="11.140625" style="155" customWidth="1"/>
    <col min="13056" max="13056" width="30.5703125" style="155" customWidth="1"/>
    <col min="13057" max="13057" width="4.7109375" style="155" customWidth="1"/>
    <col min="13058" max="13058" width="20.140625" style="155" customWidth="1"/>
    <col min="13059" max="13059" width="21.42578125" style="155" customWidth="1"/>
    <col min="13060" max="13063" width="16.28515625" style="155" customWidth="1"/>
    <col min="13064" max="13064" width="21.5703125" style="155" customWidth="1"/>
    <col min="13065" max="13065" width="16.5703125" style="155" customWidth="1"/>
    <col min="13066" max="13066" width="16.28515625" style="155" customWidth="1"/>
    <col min="13067" max="13067" width="17.5703125" style="155" customWidth="1"/>
    <col min="13068" max="13068" width="9.85546875" style="155" customWidth="1"/>
    <col min="13069" max="13069" width="14.85546875" style="155" customWidth="1"/>
    <col min="13070" max="13310" width="12.42578125" style="155"/>
    <col min="13311" max="13311" width="11.140625" style="155" customWidth="1"/>
    <col min="13312" max="13312" width="30.5703125" style="155" customWidth="1"/>
    <col min="13313" max="13313" width="4.7109375" style="155" customWidth="1"/>
    <col min="13314" max="13314" width="20.140625" style="155" customWidth="1"/>
    <col min="13315" max="13315" width="21.42578125" style="155" customWidth="1"/>
    <col min="13316" max="13319" width="16.28515625" style="155" customWidth="1"/>
    <col min="13320" max="13320" width="21.5703125" style="155" customWidth="1"/>
    <col min="13321" max="13321" width="16.5703125" style="155" customWidth="1"/>
    <col min="13322" max="13322" width="16.28515625" style="155" customWidth="1"/>
    <col min="13323" max="13323" width="17.5703125" style="155" customWidth="1"/>
    <col min="13324" max="13324" width="9.85546875" style="155" customWidth="1"/>
    <col min="13325" max="13325" width="14.85546875" style="155" customWidth="1"/>
    <col min="13326" max="13566" width="12.42578125" style="155"/>
    <col min="13567" max="13567" width="11.140625" style="155" customWidth="1"/>
    <col min="13568" max="13568" width="30.5703125" style="155" customWidth="1"/>
    <col min="13569" max="13569" width="4.7109375" style="155" customWidth="1"/>
    <col min="13570" max="13570" width="20.140625" style="155" customWidth="1"/>
    <col min="13571" max="13571" width="21.42578125" style="155" customWidth="1"/>
    <col min="13572" max="13575" width="16.28515625" style="155" customWidth="1"/>
    <col min="13576" max="13576" width="21.5703125" style="155" customWidth="1"/>
    <col min="13577" max="13577" width="16.5703125" style="155" customWidth="1"/>
    <col min="13578" max="13578" width="16.28515625" style="155" customWidth="1"/>
    <col min="13579" max="13579" width="17.5703125" style="155" customWidth="1"/>
    <col min="13580" max="13580" width="9.85546875" style="155" customWidth="1"/>
    <col min="13581" max="13581" width="14.85546875" style="155" customWidth="1"/>
    <col min="13582" max="13822" width="12.42578125" style="155"/>
    <col min="13823" max="13823" width="11.140625" style="155" customWidth="1"/>
    <col min="13824" max="13824" width="30.5703125" style="155" customWidth="1"/>
    <col min="13825" max="13825" width="4.7109375" style="155" customWidth="1"/>
    <col min="13826" max="13826" width="20.140625" style="155" customWidth="1"/>
    <col min="13827" max="13827" width="21.42578125" style="155" customWidth="1"/>
    <col min="13828" max="13831" width="16.28515625" style="155" customWidth="1"/>
    <col min="13832" max="13832" width="21.5703125" style="155" customWidth="1"/>
    <col min="13833" max="13833" width="16.5703125" style="155" customWidth="1"/>
    <col min="13834" max="13834" width="16.28515625" style="155" customWidth="1"/>
    <col min="13835" max="13835" width="17.5703125" style="155" customWidth="1"/>
    <col min="13836" max="13836" width="9.85546875" style="155" customWidth="1"/>
    <col min="13837" max="13837" width="14.85546875" style="155" customWidth="1"/>
    <col min="13838" max="14078" width="12.42578125" style="155"/>
    <col min="14079" max="14079" width="11.140625" style="155" customWidth="1"/>
    <col min="14080" max="14080" width="30.5703125" style="155" customWidth="1"/>
    <col min="14081" max="14081" width="4.7109375" style="155" customWidth="1"/>
    <col min="14082" max="14082" width="20.140625" style="155" customWidth="1"/>
    <col min="14083" max="14083" width="21.42578125" style="155" customWidth="1"/>
    <col min="14084" max="14087" width="16.28515625" style="155" customWidth="1"/>
    <col min="14088" max="14088" width="21.5703125" style="155" customWidth="1"/>
    <col min="14089" max="14089" width="16.5703125" style="155" customWidth="1"/>
    <col min="14090" max="14090" width="16.28515625" style="155" customWidth="1"/>
    <col min="14091" max="14091" width="17.5703125" style="155" customWidth="1"/>
    <col min="14092" max="14092" width="9.85546875" style="155" customWidth="1"/>
    <col min="14093" max="14093" width="14.85546875" style="155" customWidth="1"/>
    <col min="14094" max="14334" width="12.42578125" style="155"/>
    <col min="14335" max="14335" width="11.140625" style="155" customWidth="1"/>
    <col min="14336" max="14336" width="30.5703125" style="155" customWidth="1"/>
    <col min="14337" max="14337" width="4.7109375" style="155" customWidth="1"/>
    <col min="14338" max="14338" width="20.140625" style="155" customWidth="1"/>
    <col min="14339" max="14339" width="21.42578125" style="155" customWidth="1"/>
    <col min="14340" max="14343" width="16.28515625" style="155" customWidth="1"/>
    <col min="14344" max="14344" width="21.5703125" style="155" customWidth="1"/>
    <col min="14345" max="14345" width="16.5703125" style="155" customWidth="1"/>
    <col min="14346" max="14346" width="16.28515625" style="155" customWidth="1"/>
    <col min="14347" max="14347" width="17.5703125" style="155" customWidth="1"/>
    <col min="14348" max="14348" width="9.85546875" style="155" customWidth="1"/>
    <col min="14349" max="14349" width="14.85546875" style="155" customWidth="1"/>
    <col min="14350" max="14590" width="12.42578125" style="155"/>
    <col min="14591" max="14591" width="11.140625" style="155" customWidth="1"/>
    <col min="14592" max="14592" width="30.5703125" style="155" customWidth="1"/>
    <col min="14593" max="14593" width="4.7109375" style="155" customWidth="1"/>
    <col min="14594" max="14594" width="20.140625" style="155" customWidth="1"/>
    <col min="14595" max="14595" width="21.42578125" style="155" customWidth="1"/>
    <col min="14596" max="14599" width="16.28515625" style="155" customWidth="1"/>
    <col min="14600" max="14600" width="21.5703125" style="155" customWidth="1"/>
    <col min="14601" max="14601" width="16.5703125" style="155" customWidth="1"/>
    <col min="14602" max="14602" width="16.28515625" style="155" customWidth="1"/>
    <col min="14603" max="14603" width="17.5703125" style="155" customWidth="1"/>
    <col min="14604" max="14604" width="9.85546875" style="155" customWidth="1"/>
    <col min="14605" max="14605" width="14.85546875" style="155" customWidth="1"/>
    <col min="14606" max="14846" width="12.42578125" style="155"/>
    <col min="14847" max="14847" width="11.140625" style="155" customWidth="1"/>
    <col min="14848" max="14848" width="30.5703125" style="155" customWidth="1"/>
    <col min="14849" max="14849" width="4.7109375" style="155" customWidth="1"/>
    <col min="14850" max="14850" width="20.140625" style="155" customWidth="1"/>
    <col min="14851" max="14851" width="21.42578125" style="155" customWidth="1"/>
    <col min="14852" max="14855" width="16.28515625" style="155" customWidth="1"/>
    <col min="14856" max="14856" width="21.5703125" style="155" customWidth="1"/>
    <col min="14857" max="14857" width="16.5703125" style="155" customWidth="1"/>
    <col min="14858" max="14858" width="16.28515625" style="155" customWidth="1"/>
    <col min="14859" max="14859" width="17.5703125" style="155" customWidth="1"/>
    <col min="14860" max="14860" width="9.85546875" style="155" customWidth="1"/>
    <col min="14861" max="14861" width="14.85546875" style="155" customWidth="1"/>
    <col min="14862" max="15102" width="12.42578125" style="155"/>
    <col min="15103" max="15103" width="11.140625" style="155" customWidth="1"/>
    <col min="15104" max="15104" width="30.5703125" style="155" customWidth="1"/>
    <col min="15105" max="15105" width="4.7109375" style="155" customWidth="1"/>
    <col min="15106" max="15106" width="20.140625" style="155" customWidth="1"/>
    <col min="15107" max="15107" width="21.42578125" style="155" customWidth="1"/>
    <col min="15108" max="15111" width="16.28515625" style="155" customWidth="1"/>
    <col min="15112" max="15112" width="21.5703125" style="155" customWidth="1"/>
    <col min="15113" max="15113" width="16.5703125" style="155" customWidth="1"/>
    <col min="15114" max="15114" width="16.28515625" style="155" customWidth="1"/>
    <col min="15115" max="15115" width="17.5703125" style="155" customWidth="1"/>
    <col min="15116" max="15116" width="9.85546875" style="155" customWidth="1"/>
    <col min="15117" max="15117" width="14.85546875" style="155" customWidth="1"/>
    <col min="15118" max="15358" width="12.42578125" style="155"/>
    <col min="15359" max="15359" width="11.140625" style="155" customWidth="1"/>
    <col min="15360" max="15360" width="30.5703125" style="155" customWidth="1"/>
    <col min="15361" max="15361" width="4.7109375" style="155" customWidth="1"/>
    <col min="15362" max="15362" width="20.140625" style="155" customWidth="1"/>
    <col min="15363" max="15363" width="21.42578125" style="155" customWidth="1"/>
    <col min="15364" max="15367" width="16.28515625" style="155" customWidth="1"/>
    <col min="15368" max="15368" width="21.5703125" style="155" customWidth="1"/>
    <col min="15369" max="15369" width="16.5703125" style="155" customWidth="1"/>
    <col min="15370" max="15370" width="16.28515625" style="155" customWidth="1"/>
    <col min="15371" max="15371" width="17.5703125" style="155" customWidth="1"/>
    <col min="15372" max="15372" width="9.85546875" style="155" customWidth="1"/>
    <col min="15373" max="15373" width="14.85546875" style="155" customWidth="1"/>
    <col min="15374" max="15614" width="12.42578125" style="155"/>
    <col min="15615" max="15615" width="11.140625" style="155" customWidth="1"/>
    <col min="15616" max="15616" width="30.5703125" style="155" customWidth="1"/>
    <col min="15617" max="15617" width="4.7109375" style="155" customWidth="1"/>
    <col min="15618" max="15618" width="20.140625" style="155" customWidth="1"/>
    <col min="15619" max="15619" width="21.42578125" style="155" customWidth="1"/>
    <col min="15620" max="15623" width="16.28515625" style="155" customWidth="1"/>
    <col min="15624" max="15624" width="21.5703125" style="155" customWidth="1"/>
    <col min="15625" max="15625" width="16.5703125" style="155" customWidth="1"/>
    <col min="15626" max="15626" width="16.28515625" style="155" customWidth="1"/>
    <col min="15627" max="15627" width="17.5703125" style="155" customWidth="1"/>
    <col min="15628" max="15628" width="9.85546875" style="155" customWidth="1"/>
    <col min="15629" max="15629" width="14.85546875" style="155" customWidth="1"/>
    <col min="15630" max="15870" width="12.42578125" style="155"/>
    <col min="15871" max="15871" width="11.140625" style="155" customWidth="1"/>
    <col min="15872" max="15872" width="30.5703125" style="155" customWidth="1"/>
    <col min="15873" max="15873" width="4.7109375" style="155" customWidth="1"/>
    <col min="15874" max="15874" width="20.140625" style="155" customWidth="1"/>
    <col min="15875" max="15875" width="21.42578125" style="155" customWidth="1"/>
    <col min="15876" max="15879" width="16.28515625" style="155" customWidth="1"/>
    <col min="15880" max="15880" width="21.5703125" style="155" customWidth="1"/>
    <col min="15881" max="15881" width="16.5703125" style="155" customWidth="1"/>
    <col min="15882" max="15882" width="16.28515625" style="155" customWidth="1"/>
    <col min="15883" max="15883" width="17.5703125" style="155" customWidth="1"/>
    <col min="15884" max="15884" width="9.85546875" style="155" customWidth="1"/>
    <col min="15885" max="15885" width="14.85546875" style="155" customWidth="1"/>
    <col min="15886" max="16126" width="12.42578125" style="155"/>
    <col min="16127" max="16127" width="11.140625" style="155" customWidth="1"/>
    <col min="16128" max="16128" width="30.5703125" style="155" customWidth="1"/>
    <col min="16129" max="16129" width="4.7109375" style="155" customWidth="1"/>
    <col min="16130" max="16130" width="20.140625" style="155" customWidth="1"/>
    <col min="16131" max="16131" width="21.42578125" style="155" customWidth="1"/>
    <col min="16132" max="16135" width="16.28515625" style="155" customWidth="1"/>
    <col min="16136" max="16136" width="21.5703125" style="155" customWidth="1"/>
    <col min="16137" max="16137" width="16.5703125" style="155" customWidth="1"/>
    <col min="16138" max="16138" width="16.28515625" style="155" customWidth="1"/>
    <col min="16139" max="16139" width="17.5703125" style="155" customWidth="1"/>
    <col min="16140" max="16140" width="9.85546875" style="155" customWidth="1"/>
    <col min="16141" max="16141" width="14.85546875" style="155" customWidth="1"/>
    <col min="16142" max="16384" width="12.42578125" style="155"/>
  </cols>
  <sheetData>
    <row r="1" spans="1:254" ht="16.5" x14ac:dyDescent="0.25">
      <c r="A1" s="240" t="s">
        <v>223</v>
      </c>
      <c r="B1" s="160"/>
      <c r="C1" s="240"/>
      <c r="D1" s="240"/>
      <c r="E1" s="160"/>
      <c r="F1" s="160" t="s">
        <v>224</v>
      </c>
      <c r="G1" s="160"/>
      <c r="H1" s="160"/>
      <c r="I1" s="160"/>
      <c r="J1" s="160"/>
      <c r="K1" s="240"/>
      <c r="L1" s="240"/>
      <c r="M1" s="235" t="s">
        <v>515</v>
      </c>
      <c r="N1" s="241"/>
      <c r="O1" s="241"/>
      <c r="P1" s="241"/>
      <c r="Q1" s="241"/>
      <c r="R1" s="241"/>
      <c r="S1" s="241"/>
      <c r="T1" s="241"/>
    </row>
    <row r="2" spans="1:254" ht="17.25" thickBot="1" x14ac:dyDescent="0.3">
      <c r="A2" s="48"/>
      <c r="B2" s="48"/>
      <c r="C2" s="48"/>
      <c r="D2" s="48"/>
      <c r="E2" s="48"/>
      <c r="F2" s="48"/>
      <c r="G2" s="48"/>
      <c r="H2" s="48"/>
      <c r="I2" s="48"/>
      <c r="J2" s="48"/>
      <c r="K2" s="48"/>
      <c r="L2" s="48"/>
      <c r="M2" s="266" t="s">
        <v>298</v>
      </c>
      <c r="N2" s="245" t="str">
        <f>'A-1 Estimated Revenue Req.'!$E$1</f>
        <v>20190156-EI</v>
      </c>
    </row>
    <row r="3" spans="1:254" ht="16.5" x14ac:dyDescent="0.25">
      <c r="A3" s="156"/>
      <c r="B3" s="156"/>
      <c r="C3" s="156"/>
      <c r="D3" s="156"/>
      <c r="E3" s="156"/>
      <c r="F3" s="156"/>
      <c r="G3" s="156"/>
      <c r="H3" s="156"/>
      <c r="I3" s="156"/>
      <c r="J3" s="156"/>
      <c r="K3" s="156"/>
      <c r="L3" s="156"/>
      <c r="M3" s="156"/>
      <c r="N3" s="156"/>
      <c r="O3" s="156"/>
    </row>
    <row r="4" spans="1:254" ht="16.5" x14ac:dyDescent="0.25">
      <c r="A4" s="48" t="s">
        <v>110</v>
      </c>
      <c r="B4" s="48"/>
      <c r="C4" s="48"/>
      <c r="D4" s="48"/>
      <c r="E4" s="154" t="s">
        <v>225</v>
      </c>
      <c r="F4" s="154" t="s">
        <v>226</v>
      </c>
      <c r="G4" s="154"/>
      <c r="H4" s="154"/>
      <c r="I4" s="154"/>
      <c r="J4" s="154"/>
      <c r="K4" s="157"/>
      <c r="L4" s="158" t="s">
        <v>113</v>
      </c>
      <c r="M4" s="48"/>
      <c r="N4" s="48"/>
    </row>
    <row r="5" spans="1:254" ht="16.5" x14ac:dyDescent="0.25">
      <c r="A5" s="48"/>
      <c r="B5" s="48"/>
      <c r="C5" s="48"/>
      <c r="D5" s="48"/>
      <c r="E5" s="48"/>
      <c r="F5" s="154" t="s">
        <v>299</v>
      </c>
      <c r="G5" s="154"/>
      <c r="H5" s="154"/>
      <c r="I5" s="154"/>
      <c r="J5" s="154"/>
      <c r="K5" s="265"/>
      <c r="L5" s="158"/>
      <c r="M5" s="48"/>
      <c r="N5" s="48"/>
    </row>
    <row r="6" spans="1:254" ht="16.5" x14ac:dyDescent="0.25">
      <c r="A6" s="48" t="s">
        <v>115</v>
      </c>
      <c r="B6" s="48"/>
      <c r="C6" s="48"/>
      <c r="D6" s="48"/>
      <c r="E6" s="154"/>
      <c r="F6" s="154"/>
      <c r="G6" s="154"/>
      <c r="H6" s="154"/>
      <c r="I6" s="154"/>
      <c r="J6" s="154"/>
      <c r="K6" s="265"/>
      <c r="L6" s="158" t="str">
        <f>'B-1'!O5</f>
        <v>Projected Test Year Ended December 31, 2020</v>
      </c>
      <c r="M6" s="48"/>
      <c r="N6" s="48"/>
    </row>
    <row r="7" spans="1:254" ht="16.5" x14ac:dyDescent="0.25">
      <c r="A7" s="48"/>
      <c r="B7" s="48" t="s">
        <v>117</v>
      </c>
      <c r="C7" s="48"/>
      <c r="D7" s="48"/>
      <c r="E7" s="154"/>
      <c r="G7" s="154"/>
      <c r="H7" s="154"/>
      <c r="I7" s="154"/>
      <c r="J7" s="154"/>
      <c r="N7" s="48"/>
    </row>
    <row r="8" spans="1:254" ht="16.5" x14ac:dyDescent="0.25">
      <c r="A8" s="48"/>
      <c r="B8" s="48"/>
      <c r="C8" s="48"/>
      <c r="D8" s="48"/>
      <c r="E8" s="48"/>
      <c r="F8" s="154"/>
      <c r="G8" s="154"/>
      <c r="H8" s="154"/>
      <c r="I8" s="154"/>
      <c r="J8" s="154"/>
      <c r="K8" s="157"/>
      <c r="L8" s="159"/>
      <c r="M8" s="48"/>
      <c r="N8" s="48"/>
    </row>
    <row r="9" spans="1:254" ht="17.25" thickBot="1" x14ac:dyDescent="0.3">
      <c r="A9" s="48"/>
      <c r="B9" s="48"/>
      <c r="C9" s="48"/>
      <c r="D9" s="48"/>
      <c r="E9" s="154"/>
      <c r="F9" s="160" t="s">
        <v>464</v>
      </c>
      <c r="G9" s="154"/>
      <c r="H9" s="154"/>
      <c r="I9" s="154"/>
      <c r="J9" s="154"/>
      <c r="K9" s="48"/>
      <c r="L9" s="48"/>
      <c r="M9" s="48"/>
      <c r="N9" s="48"/>
      <c r="O9" s="161"/>
    </row>
    <row r="10" spans="1:254" ht="16.5" x14ac:dyDescent="0.25">
      <c r="A10" s="156"/>
      <c r="B10" s="156"/>
      <c r="C10" s="156"/>
      <c r="D10" s="156"/>
      <c r="E10" s="156"/>
      <c r="F10" s="156"/>
      <c r="G10" s="156"/>
      <c r="H10" s="156"/>
      <c r="I10" s="156"/>
      <c r="J10" s="156"/>
      <c r="K10" s="156"/>
      <c r="L10" s="156"/>
      <c r="M10" s="156"/>
      <c r="N10" s="156"/>
    </row>
    <row r="11" spans="1:254" ht="16.5" x14ac:dyDescent="0.25">
      <c r="A11" s="154"/>
      <c r="B11" s="154"/>
      <c r="C11" s="154"/>
      <c r="D11" s="154"/>
      <c r="E11" s="162"/>
      <c r="F11" s="162"/>
      <c r="G11" s="162"/>
      <c r="H11" s="162"/>
      <c r="I11" s="162"/>
      <c r="J11" s="162"/>
      <c r="K11" s="162"/>
      <c r="L11" s="162"/>
      <c r="M11" s="162"/>
      <c r="N11" s="162"/>
    </row>
    <row r="12" spans="1:254" ht="16.5" x14ac:dyDescent="0.25">
      <c r="A12" s="154"/>
      <c r="B12" s="154"/>
      <c r="C12" s="154"/>
      <c r="D12" s="154"/>
      <c r="E12" s="154"/>
      <c r="F12" s="154"/>
      <c r="G12" s="154"/>
      <c r="H12" s="154"/>
      <c r="I12" s="154"/>
      <c r="J12" s="154"/>
      <c r="K12" s="154"/>
      <c r="L12" s="154"/>
      <c r="M12" s="154"/>
      <c r="N12" s="154"/>
    </row>
    <row r="13" spans="1:254" ht="16.5" x14ac:dyDescent="0.25">
      <c r="A13" s="154"/>
      <c r="D13" s="163" t="s">
        <v>227</v>
      </c>
      <c r="E13" s="163" t="s">
        <v>228</v>
      </c>
      <c r="F13" s="163" t="s">
        <v>229</v>
      </c>
      <c r="G13" s="163" t="s">
        <v>230</v>
      </c>
      <c r="H13" s="163" t="s">
        <v>231</v>
      </c>
      <c r="I13" s="163" t="s">
        <v>232</v>
      </c>
      <c r="J13" s="163" t="s">
        <v>233</v>
      </c>
      <c r="K13" s="163" t="s">
        <v>234</v>
      </c>
      <c r="L13" s="163" t="s">
        <v>235</v>
      </c>
      <c r="M13" s="163" t="s">
        <v>236</v>
      </c>
      <c r="N13" s="163" t="s">
        <v>237</v>
      </c>
      <c r="O13" s="163" t="s">
        <v>293</v>
      </c>
      <c r="P13" s="165"/>
      <c r="Q13" s="164"/>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c r="FK13" s="165"/>
      <c r="FL13" s="165"/>
      <c r="FM13" s="165"/>
      <c r="FN13" s="165"/>
      <c r="FO13" s="165"/>
      <c r="FP13" s="165"/>
      <c r="FQ13" s="165"/>
      <c r="FR13" s="165"/>
      <c r="FS13" s="165"/>
      <c r="FT13" s="165"/>
      <c r="FU13" s="165"/>
      <c r="FV13" s="165"/>
      <c r="FW13" s="165"/>
      <c r="FX13" s="165"/>
      <c r="FY13" s="165"/>
      <c r="FZ13" s="165"/>
      <c r="GA13" s="165"/>
      <c r="GB13" s="165"/>
      <c r="GC13" s="165"/>
      <c r="GD13" s="165"/>
      <c r="GE13" s="165"/>
      <c r="GF13" s="165"/>
      <c r="GG13" s="165"/>
      <c r="GH13" s="165"/>
      <c r="GI13" s="165"/>
      <c r="GJ13" s="165"/>
      <c r="GK13" s="165"/>
      <c r="GL13" s="165"/>
      <c r="GM13" s="165"/>
      <c r="GN13" s="165"/>
      <c r="GO13" s="165"/>
      <c r="GP13" s="165"/>
      <c r="GQ13" s="165"/>
      <c r="GR13" s="165"/>
      <c r="GS13" s="165"/>
      <c r="GT13" s="165"/>
      <c r="GU13" s="165"/>
      <c r="GV13" s="165"/>
      <c r="GW13" s="165"/>
      <c r="GX13" s="165"/>
      <c r="GY13" s="165"/>
      <c r="GZ13" s="165"/>
      <c r="HA13" s="165"/>
      <c r="HB13" s="165"/>
      <c r="HC13" s="165"/>
      <c r="HD13" s="165"/>
      <c r="HE13" s="165"/>
      <c r="HF13" s="165"/>
      <c r="HG13" s="165"/>
      <c r="HH13" s="165"/>
      <c r="HI13" s="165"/>
      <c r="HJ13" s="165"/>
      <c r="HK13" s="165"/>
      <c r="HL13" s="165"/>
      <c r="HM13" s="165"/>
      <c r="HN13" s="165"/>
      <c r="HO13" s="165"/>
      <c r="HP13" s="165"/>
      <c r="HQ13" s="165"/>
      <c r="HR13" s="165"/>
      <c r="HS13" s="165"/>
      <c r="HT13" s="165"/>
      <c r="HU13" s="165"/>
      <c r="HV13" s="165"/>
      <c r="HW13" s="165"/>
      <c r="HX13" s="165"/>
      <c r="HY13" s="165"/>
      <c r="HZ13" s="165"/>
      <c r="IA13" s="165"/>
      <c r="IB13" s="165"/>
      <c r="IC13" s="165"/>
      <c r="ID13" s="165"/>
      <c r="IE13" s="165"/>
      <c r="IF13" s="165"/>
      <c r="IG13" s="165"/>
      <c r="IH13" s="165"/>
      <c r="II13" s="165"/>
      <c r="IJ13" s="165"/>
      <c r="IK13" s="165"/>
      <c r="IL13" s="165"/>
      <c r="IM13" s="165"/>
      <c r="IN13" s="165"/>
      <c r="IO13" s="165"/>
      <c r="IP13" s="165"/>
      <c r="IQ13" s="165"/>
      <c r="IR13" s="165"/>
      <c r="IS13" s="165"/>
      <c r="IT13" s="165"/>
    </row>
    <row r="14" spans="1:254" ht="16.5" x14ac:dyDescent="0.25">
      <c r="A14" s="154"/>
      <c r="B14" s="154"/>
      <c r="C14" s="154"/>
      <c r="D14" s="154"/>
      <c r="E14" s="154"/>
      <c r="F14" s="154"/>
      <c r="G14" s="166"/>
      <c r="J14" s="163" t="s">
        <v>495</v>
      </c>
      <c r="K14" s="154"/>
      <c r="L14" s="166"/>
      <c r="M14" s="166"/>
      <c r="N14" s="163" t="s">
        <v>291</v>
      </c>
      <c r="O14" s="232" t="s">
        <v>289</v>
      </c>
      <c r="P14" s="164"/>
      <c r="Q14" s="164"/>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c r="BS14" s="165"/>
      <c r="BT14" s="165"/>
      <c r="BU14" s="165"/>
      <c r="BV14" s="165"/>
      <c r="BW14" s="165"/>
      <c r="BX14" s="165"/>
      <c r="BY14" s="165"/>
      <c r="BZ14" s="165"/>
      <c r="CA14" s="165"/>
      <c r="CB14" s="165"/>
      <c r="CC14" s="165"/>
      <c r="CD14" s="165"/>
      <c r="CE14" s="165"/>
      <c r="CF14" s="165"/>
      <c r="CG14" s="165"/>
      <c r="CH14" s="165"/>
      <c r="CI14" s="165"/>
      <c r="CJ14" s="165"/>
      <c r="CK14" s="165"/>
      <c r="CL14" s="165"/>
      <c r="CM14" s="165"/>
      <c r="CN14" s="165"/>
      <c r="CO14" s="165"/>
      <c r="CP14" s="165"/>
      <c r="CQ14" s="165"/>
      <c r="CR14" s="165"/>
      <c r="CS14" s="165"/>
      <c r="CT14" s="165"/>
      <c r="CU14" s="165"/>
      <c r="CV14" s="165"/>
      <c r="CW14" s="165"/>
      <c r="CX14" s="165"/>
      <c r="CY14" s="165"/>
      <c r="CZ14" s="165"/>
      <c r="DA14" s="165"/>
      <c r="DB14" s="165"/>
      <c r="DC14" s="165"/>
      <c r="DD14" s="165"/>
      <c r="DE14" s="165"/>
      <c r="DF14" s="165"/>
      <c r="DG14" s="165"/>
      <c r="DH14" s="165"/>
      <c r="DI14" s="165"/>
      <c r="DJ14" s="165"/>
      <c r="DK14" s="165"/>
      <c r="DL14" s="165"/>
      <c r="DM14" s="165"/>
      <c r="DN14" s="165"/>
      <c r="DO14" s="165"/>
      <c r="DP14" s="165"/>
      <c r="DQ14" s="165"/>
      <c r="DR14" s="165"/>
      <c r="DS14" s="165"/>
      <c r="DT14" s="165"/>
      <c r="DU14" s="165"/>
      <c r="DV14" s="165"/>
      <c r="DW14" s="165"/>
      <c r="DX14" s="165"/>
      <c r="DY14" s="165"/>
      <c r="DZ14" s="165"/>
      <c r="EA14" s="165"/>
      <c r="EB14" s="165"/>
      <c r="EC14" s="165"/>
      <c r="ED14" s="165"/>
      <c r="EE14" s="165"/>
      <c r="EF14" s="165"/>
      <c r="EG14" s="165"/>
      <c r="EH14" s="165"/>
      <c r="EI14" s="165"/>
      <c r="EJ14" s="165"/>
      <c r="EK14" s="165"/>
      <c r="EL14" s="165"/>
      <c r="EM14" s="165"/>
      <c r="EN14" s="165"/>
      <c r="EO14" s="165"/>
      <c r="EP14" s="165"/>
      <c r="EQ14" s="165"/>
      <c r="ER14" s="165"/>
      <c r="ES14" s="165"/>
      <c r="ET14" s="165"/>
      <c r="EU14" s="165"/>
      <c r="EV14" s="165"/>
      <c r="EW14" s="165"/>
      <c r="EX14" s="165"/>
      <c r="EY14" s="165"/>
      <c r="EZ14" s="165"/>
      <c r="FA14" s="165"/>
      <c r="FB14" s="165"/>
      <c r="FC14" s="165"/>
      <c r="FD14" s="165"/>
      <c r="FE14" s="165"/>
      <c r="FF14" s="165"/>
      <c r="FG14" s="165"/>
      <c r="FH14" s="165"/>
      <c r="FI14" s="165"/>
      <c r="FJ14" s="165"/>
      <c r="FK14" s="165"/>
      <c r="FL14" s="165"/>
      <c r="FM14" s="165"/>
      <c r="FN14" s="165"/>
      <c r="FO14" s="165"/>
      <c r="FP14" s="165"/>
      <c r="FQ14" s="165"/>
      <c r="FR14" s="165"/>
      <c r="FS14" s="165"/>
      <c r="FT14" s="165"/>
      <c r="FU14" s="165"/>
      <c r="FV14" s="165"/>
      <c r="FW14" s="165"/>
      <c r="FX14" s="165"/>
      <c r="FY14" s="165"/>
      <c r="FZ14" s="165"/>
      <c r="GA14" s="165"/>
      <c r="GB14" s="165"/>
      <c r="GC14" s="165"/>
      <c r="GD14" s="165"/>
      <c r="GE14" s="165"/>
      <c r="GF14" s="165"/>
      <c r="GG14" s="165"/>
      <c r="GH14" s="165"/>
      <c r="GI14" s="165"/>
      <c r="GJ14" s="165"/>
      <c r="GK14" s="165"/>
      <c r="GL14" s="165"/>
      <c r="GM14" s="165"/>
      <c r="GN14" s="165"/>
      <c r="GO14" s="165"/>
      <c r="GP14" s="165"/>
      <c r="GQ14" s="165"/>
      <c r="GR14" s="165"/>
      <c r="GS14" s="165"/>
      <c r="GT14" s="165"/>
      <c r="GU14" s="165"/>
      <c r="GV14" s="165"/>
      <c r="GW14" s="165"/>
      <c r="GX14" s="165"/>
      <c r="GY14" s="165"/>
      <c r="GZ14" s="165"/>
      <c r="HA14" s="165"/>
      <c r="HB14" s="165"/>
      <c r="HC14" s="165"/>
      <c r="HD14" s="165"/>
      <c r="HE14" s="165"/>
      <c r="HF14" s="165"/>
      <c r="HG14" s="165"/>
      <c r="HH14" s="165"/>
      <c r="HI14" s="165"/>
      <c r="HJ14" s="165"/>
      <c r="HK14" s="165"/>
      <c r="HL14" s="165"/>
      <c r="HM14" s="165"/>
      <c r="HN14" s="165"/>
      <c r="HO14" s="165"/>
      <c r="HP14" s="165"/>
      <c r="HQ14" s="165"/>
      <c r="HR14" s="165"/>
      <c r="HS14" s="165"/>
      <c r="HT14" s="165"/>
      <c r="HU14" s="165"/>
      <c r="HV14" s="165"/>
      <c r="HW14" s="165"/>
      <c r="HX14" s="165"/>
      <c r="HY14" s="165"/>
      <c r="HZ14" s="165"/>
      <c r="IA14" s="165"/>
      <c r="IB14" s="165"/>
      <c r="IC14" s="165"/>
      <c r="ID14" s="165"/>
      <c r="IE14" s="165"/>
      <c r="IF14" s="165"/>
      <c r="IG14" s="165"/>
      <c r="IH14" s="165"/>
      <c r="II14" s="165"/>
      <c r="IJ14" s="165"/>
      <c r="IK14" s="165"/>
      <c r="IL14" s="165"/>
      <c r="IM14" s="165"/>
      <c r="IN14" s="165"/>
      <c r="IO14" s="165"/>
      <c r="IP14" s="165"/>
      <c r="IQ14" s="165"/>
      <c r="IR14" s="165"/>
      <c r="IS14" s="165"/>
      <c r="IT14" s="165"/>
    </row>
    <row r="15" spans="1:254" ht="16.5" x14ac:dyDescent="0.25">
      <c r="A15" s="163" t="s">
        <v>131</v>
      </c>
      <c r="B15" s="163"/>
      <c r="C15" s="163"/>
      <c r="D15" s="167" t="s">
        <v>238</v>
      </c>
      <c r="E15" s="163" t="s">
        <v>239</v>
      </c>
      <c r="F15" s="163" t="s">
        <v>240</v>
      </c>
      <c r="G15" s="167" t="s">
        <v>241</v>
      </c>
      <c r="H15" s="167" t="s">
        <v>162</v>
      </c>
      <c r="I15" s="167" t="s">
        <v>242</v>
      </c>
      <c r="J15" s="163" t="s">
        <v>162</v>
      </c>
      <c r="L15" s="163" t="s">
        <v>5</v>
      </c>
      <c r="M15" s="167" t="s">
        <v>243</v>
      </c>
      <c r="N15" s="234" t="s">
        <v>292</v>
      </c>
      <c r="O15" s="168" t="s">
        <v>294</v>
      </c>
      <c r="P15" s="170"/>
      <c r="Q15" s="169"/>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0"/>
      <c r="EL15" s="170"/>
      <c r="EM15" s="170"/>
      <c r="EN15" s="170"/>
      <c r="EO15" s="170"/>
      <c r="EP15" s="170"/>
      <c r="EQ15" s="170"/>
      <c r="ER15" s="170"/>
      <c r="ES15" s="170"/>
      <c r="ET15" s="170"/>
      <c r="EU15" s="170"/>
      <c r="EV15" s="170"/>
      <c r="EW15" s="170"/>
      <c r="EX15" s="170"/>
      <c r="EY15" s="170"/>
      <c r="EZ15" s="170"/>
      <c r="FA15" s="170"/>
      <c r="FB15" s="170"/>
      <c r="FC15" s="170"/>
      <c r="FD15" s="170"/>
      <c r="FE15" s="170"/>
      <c r="FF15" s="170"/>
      <c r="FG15" s="170"/>
      <c r="FH15" s="170"/>
      <c r="FI15" s="170"/>
      <c r="FJ15" s="170"/>
      <c r="FK15" s="170"/>
      <c r="FL15" s="170"/>
      <c r="FM15" s="170"/>
      <c r="FN15" s="170"/>
      <c r="FO15" s="170"/>
      <c r="FP15" s="170"/>
      <c r="FQ15" s="170"/>
      <c r="FR15" s="170"/>
      <c r="FS15" s="170"/>
      <c r="FT15" s="170"/>
      <c r="FU15" s="170"/>
      <c r="FV15" s="170"/>
      <c r="FW15" s="170"/>
      <c r="FX15" s="170"/>
      <c r="FY15" s="170"/>
      <c r="FZ15" s="170"/>
      <c r="GA15" s="170"/>
      <c r="GB15" s="170"/>
      <c r="GC15" s="170"/>
      <c r="GD15" s="170"/>
      <c r="GE15" s="170"/>
      <c r="GF15" s="170"/>
      <c r="GG15" s="170"/>
      <c r="GH15" s="170"/>
      <c r="GI15" s="170"/>
      <c r="GJ15" s="170"/>
      <c r="GK15" s="170"/>
      <c r="GL15" s="170"/>
      <c r="GM15" s="170"/>
      <c r="GN15" s="170"/>
      <c r="GO15" s="170"/>
      <c r="GP15" s="170"/>
      <c r="GQ15" s="170"/>
      <c r="GR15" s="170"/>
      <c r="GS15" s="170"/>
      <c r="GT15" s="170"/>
      <c r="GU15" s="170"/>
      <c r="GV15" s="170"/>
      <c r="GW15" s="170"/>
      <c r="GX15" s="170"/>
      <c r="GY15" s="170"/>
      <c r="GZ15" s="170"/>
      <c r="HA15" s="170"/>
      <c r="HB15" s="170"/>
      <c r="HC15" s="170"/>
      <c r="HD15" s="170"/>
      <c r="HE15" s="170"/>
      <c r="HF15" s="170"/>
      <c r="HG15" s="170"/>
      <c r="HH15" s="170"/>
      <c r="HI15" s="170"/>
      <c r="HJ15" s="170"/>
      <c r="HK15" s="170"/>
      <c r="HL15" s="170"/>
      <c r="HM15" s="170"/>
      <c r="HN15" s="170"/>
      <c r="HO15" s="170"/>
      <c r="HP15" s="170"/>
      <c r="HQ15" s="170"/>
      <c r="HR15" s="170"/>
      <c r="HS15" s="170"/>
      <c r="HT15" s="170"/>
      <c r="HU15" s="170"/>
      <c r="HV15" s="170"/>
      <c r="HW15" s="170"/>
      <c r="HX15" s="170"/>
      <c r="HY15" s="170"/>
      <c r="HZ15" s="170"/>
      <c r="IA15" s="170"/>
      <c r="IB15" s="170"/>
      <c r="IC15" s="170"/>
      <c r="ID15" s="170"/>
      <c r="IE15" s="170"/>
      <c r="IF15" s="170"/>
      <c r="IG15" s="170"/>
      <c r="IH15" s="170"/>
      <c r="II15" s="170"/>
      <c r="IJ15" s="170"/>
      <c r="IK15" s="170"/>
      <c r="IL15" s="170"/>
      <c r="IM15" s="170"/>
      <c r="IN15" s="165"/>
      <c r="IO15" s="165"/>
      <c r="IP15" s="165"/>
      <c r="IQ15" s="165"/>
      <c r="IR15" s="165"/>
      <c r="IS15" s="165"/>
      <c r="IT15" s="165"/>
    </row>
    <row r="16" spans="1:254" ht="17.25" thickBot="1" x14ac:dyDescent="0.3">
      <c r="A16" s="163" t="s">
        <v>141</v>
      </c>
      <c r="B16" s="163" t="s">
        <v>245</v>
      </c>
      <c r="C16" s="163"/>
      <c r="D16" s="163" t="s">
        <v>184</v>
      </c>
      <c r="E16" s="163" t="s">
        <v>183</v>
      </c>
      <c r="F16" s="163" t="s">
        <v>183</v>
      </c>
      <c r="G16" s="163" t="s">
        <v>179</v>
      </c>
      <c r="H16" s="167" t="s">
        <v>6</v>
      </c>
      <c r="I16" s="167" t="s">
        <v>246</v>
      </c>
      <c r="J16" s="163" t="s">
        <v>247</v>
      </c>
      <c r="K16" s="163" t="s">
        <v>248</v>
      </c>
      <c r="L16" s="163" t="s">
        <v>249</v>
      </c>
      <c r="M16" s="163" t="s">
        <v>250</v>
      </c>
      <c r="N16" s="163" t="s">
        <v>140</v>
      </c>
      <c r="O16" s="163" t="s">
        <v>295</v>
      </c>
      <c r="P16" s="169"/>
      <c r="Q16" s="169"/>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0"/>
      <c r="EI16" s="170"/>
      <c r="EJ16" s="170"/>
      <c r="EK16" s="170"/>
      <c r="EL16" s="170"/>
      <c r="EM16" s="170"/>
      <c r="EN16" s="170"/>
      <c r="EO16" s="170"/>
      <c r="EP16" s="170"/>
      <c r="EQ16" s="170"/>
      <c r="ER16" s="170"/>
      <c r="ES16" s="170"/>
      <c r="ET16" s="170"/>
      <c r="EU16" s="170"/>
      <c r="EV16" s="170"/>
      <c r="EW16" s="170"/>
      <c r="EX16" s="170"/>
      <c r="EY16" s="170"/>
      <c r="EZ16" s="170"/>
      <c r="FA16" s="170"/>
      <c r="FB16" s="170"/>
      <c r="FC16" s="170"/>
      <c r="FD16" s="170"/>
      <c r="FE16" s="170"/>
      <c r="FF16" s="170"/>
      <c r="FG16" s="170"/>
      <c r="FH16" s="170"/>
      <c r="FI16" s="170"/>
      <c r="FJ16" s="170"/>
      <c r="FK16" s="170"/>
      <c r="FL16" s="170"/>
      <c r="FM16" s="170"/>
      <c r="FN16" s="170"/>
      <c r="FO16" s="170"/>
      <c r="FP16" s="170"/>
      <c r="FQ16" s="170"/>
      <c r="FR16" s="170"/>
      <c r="FS16" s="170"/>
      <c r="FT16" s="170"/>
      <c r="FU16" s="170"/>
      <c r="FV16" s="170"/>
      <c r="FW16" s="170"/>
      <c r="FX16" s="170"/>
      <c r="FY16" s="170"/>
      <c r="FZ16" s="170"/>
      <c r="GA16" s="170"/>
      <c r="GB16" s="170"/>
      <c r="GC16" s="170"/>
      <c r="GD16" s="170"/>
      <c r="GE16" s="170"/>
      <c r="GF16" s="170"/>
      <c r="GG16" s="170"/>
      <c r="GH16" s="170"/>
      <c r="GI16" s="170"/>
      <c r="GJ16" s="170"/>
      <c r="GK16" s="170"/>
      <c r="GL16" s="170"/>
      <c r="GM16" s="170"/>
      <c r="GN16" s="170"/>
      <c r="GO16" s="170"/>
      <c r="GP16" s="170"/>
      <c r="GQ16" s="170"/>
      <c r="GR16" s="170"/>
      <c r="GS16" s="170"/>
      <c r="GT16" s="170"/>
      <c r="GU16" s="170"/>
      <c r="GV16" s="170"/>
      <c r="GW16" s="170"/>
      <c r="GX16" s="170"/>
      <c r="GY16" s="170"/>
      <c r="GZ16" s="170"/>
      <c r="HA16" s="170"/>
      <c r="HB16" s="170"/>
      <c r="HC16" s="170"/>
      <c r="HD16" s="170"/>
      <c r="HE16" s="170"/>
      <c r="HF16" s="170"/>
      <c r="HG16" s="170"/>
      <c r="HH16" s="170"/>
      <c r="HI16" s="170"/>
      <c r="HJ16" s="170"/>
      <c r="HK16" s="170"/>
      <c r="HL16" s="170"/>
      <c r="HM16" s="170"/>
      <c r="HN16" s="170"/>
      <c r="HO16" s="170"/>
      <c r="HP16" s="170"/>
      <c r="HQ16" s="170"/>
      <c r="HR16" s="170"/>
      <c r="HS16" s="170"/>
      <c r="HT16" s="170"/>
      <c r="HU16" s="170"/>
      <c r="HV16" s="170"/>
      <c r="HW16" s="170"/>
      <c r="HX16" s="170"/>
      <c r="HY16" s="170"/>
      <c r="HZ16" s="170"/>
      <c r="IA16" s="170"/>
      <c r="IB16" s="170"/>
      <c r="IC16" s="170"/>
      <c r="ID16" s="170"/>
      <c r="IE16" s="170"/>
      <c r="IF16" s="170"/>
      <c r="IG16" s="170"/>
      <c r="IH16" s="170"/>
      <c r="II16" s="170"/>
      <c r="IJ16" s="170"/>
      <c r="IK16" s="170"/>
      <c r="IL16" s="170"/>
      <c r="IM16" s="170"/>
      <c r="IN16" s="165"/>
      <c r="IO16" s="165"/>
      <c r="IP16" s="165"/>
      <c r="IQ16" s="165"/>
      <c r="IR16" s="165"/>
      <c r="IS16" s="165"/>
      <c r="IT16" s="165"/>
    </row>
    <row r="17" spans="1:15" ht="16.5" x14ac:dyDescent="0.25">
      <c r="A17" s="171"/>
      <c r="B17" s="171"/>
      <c r="C17" s="171"/>
      <c r="D17" s="171"/>
      <c r="E17" s="171"/>
      <c r="F17" s="171"/>
      <c r="G17" s="171"/>
      <c r="H17" s="171"/>
      <c r="I17" s="171"/>
      <c r="J17" s="171"/>
      <c r="K17" s="171"/>
      <c r="L17" s="171"/>
      <c r="M17" s="171"/>
      <c r="N17" s="171"/>
      <c r="O17" s="171"/>
    </row>
    <row r="18" spans="1:15" ht="16.5" x14ac:dyDescent="0.25">
      <c r="A18" s="172"/>
      <c r="B18" s="444" t="s">
        <v>280</v>
      </c>
      <c r="C18" s="444"/>
      <c r="D18" s="444"/>
      <c r="E18" s="444"/>
      <c r="F18" s="444"/>
      <c r="G18" s="444"/>
      <c r="H18" s="444"/>
      <c r="I18" s="444"/>
      <c r="J18" s="444"/>
      <c r="K18" s="444"/>
      <c r="L18" s="444"/>
      <c r="M18" s="444"/>
      <c r="N18" s="173"/>
      <c r="O18" s="174"/>
    </row>
    <row r="19" spans="1:15" ht="16.5" x14ac:dyDescent="0.25">
      <c r="A19" s="175">
        <v>1</v>
      </c>
      <c r="B19" s="176" t="s">
        <v>251</v>
      </c>
      <c r="C19" s="154"/>
      <c r="D19" s="185">
        <v>430784730</v>
      </c>
      <c r="E19" s="154"/>
      <c r="F19" s="154"/>
      <c r="G19" s="177">
        <f>D19+E19</f>
        <v>430784730</v>
      </c>
      <c r="H19" s="178">
        <v>1</v>
      </c>
      <c r="I19" s="179">
        <f>+M39</f>
        <v>9.2287969999999997E-2</v>
      </c>
      <c r="J19" s="177">
        <f>ROUND(((+G19+G20)*I19)-J20,0)</f>
        <v>37766102</v>
      </c>
      <c r="K19" s="180">
        <f>J19/J$29</f>
        <v>0.2766802669241834</v>
      </c>
      <c r="L19" s="180">
        <v>3.8199999999999998E-2</v>
      </c>
      <c r="M19" s="180">
        <f>K19*L19</f>
        <v>1.0569186196503806E-2</v>
      </c>
      <c r="N19" s="183">
        <f>$N$29*K19</f>
        <v>18285166.60634407</v>
      </c>
      <c r="O19" s="177">
        <f>N19*L19</f>
        <v>698493.36436234345</v>
      </c>
    </row>
    <row r="20" spans="1:15" ht="16.5" x14ac:dyDescent="0.25">
      <c r="A20" s="175">
        <v>2</v>
      </c>
      <c r="B20" s="155" t="s">
        <v>252</v>
      </c>
      <c r="D20" s="181">
        <f>D37</f>
        <v>7158491</v>
      </c>
      <c r="E20" s="182"/>
      <c r="G20" s="177">
        <f t="shared" ref="G20:G27" si="0">D20+E20</f>
        <v>7158491</v>
      </c>
      <c r="H20" s="178">
        <v>1</v>
      </c>
      <c r="I20" s="179">
        <f>M44</f>
        <v>0.37030000000000002</v>
      </c>
      <c r="J20" s="177">
        <f>ROUND(+G20*I20,0)</f>
        <v>2650789</v>
      </c>
      <c r="K20" s="180">
        <f>J20/J$29</f>
        <v>1.9420087571645313E-2</v>
      </c>
      <c r="L20" s="180">
        <v>0.1123</v>
      </c>
      <c r="M20" s="180">
        <f>K20*L20</f>
        <v>2.1808758342957688E-3</v>
      </c>
      <c r="N20" s="183">
        <f t="shared" ref="N20:N27" si="1">$N$29*K20</f>
        <v>1283429.2112875241</v>
      </c>
      <c r="O20" s="177">
        <f t="shared" ref="O20:O27" si="2">N20*L20</f>
        <v>144129.10042758894</v>
      </c>
    </row>
    <row r="21" spans="1:15" ht="16.5" x14ac:dyDescent="0.25">
      <c r="A21" s="175">
        <v>3</v>
      </c>
      <c r="B21" s="176" t="s">
        <v>253</v>
      </c>
      <c r="C21" s="154"/>
      <c r="D21" s="177">
        <v>211208468</v>
      </c>
      <c r="E21" s="154"/>
      <c r="F21" s="154"/>
      <c r="G21" s="177">
        <f t="shared" si="0"/>
        <v>211208468</v>
      </c>
      <c r="H21" s="178">
        <v>1</v>
      </c>
      <c r="I21" s="179">
        <f>+M39:M39</f>
        <v>9.2287969999999997E-2</v>
      </c>
      <c r="J21" s="177">
        <f>ROUND(G21*I21,0)</f>
        <v>19492001</v>
      </c>
      <c r="K21" s="180">
        <f t="shared" ref="K21:K27" si="3">J21/J$29</f>
        <v>0.14280139474194212</v>
      </c>
      <c r="L21" s="179">
        <f>F38</f>
        <v>3.5999999999999997E-2</v>
      </c>
      <c r="M21" s="180">
        <f t="shared" ref="M21:M27" si="4">K21*L21</f>
        <v>5.1408502107099154E-3</v>
      </c>
      <c r="N21" s="183">
        <f t="shared" si="1"/>
        <v>9437417.8668485619</v>
      </c>
      <c r="O21" s="177">
        <f t="shared" si="2"/>
        <v>339747.0432065482</v>
      </c>
    </row>
    <row r="22" spans="1:15" ht="16.5" x14ac:dyDescent="0.25">
      <c r="A22" s="175">
        <v>4</v>
      </c>
      <c r="B22" s="176" t="s">
        <v>254</v>
      </c>
      <c r="C22" s="154"/>
      <c r="D22" s="177">
        <v>0</v>
      </c>
      <c r="E22" s="154"/>
      <c r="F22" s="154"/>
      <c r="G22" s="177">
        <f t="shared" si="0"/>
        <v>0</v>
      </c>
      <c r="H22" s="178">
        <v>1</v>
      </c>
      <c r="I22" s="179">
        <f>+M39</f>
        <v>9.2287969999999997E-2</v>
      </c>
      <c r="J22" s="177">
        <f>G22*I22</f>
        <v>0</v>
      </c>
      <c r="K22" s="180">
        <f t="shared" si="3"/>
        <v>0</v>
      </c>
      <c r="L22" s="179">
        <v>0</v>
      </c>
      <c r="M22" s="180">
        <f t="shared" si="4"/>
        <v>0</v>
      </c>
      <c r="N22" s="183">
        <f t="shared" si="1"/>
        <v>0</v>
      </c>
      <c r="O22" s="177">
        <f t="shared" si="2"/>
        <v>0</v>
      </c>
    </row>
    <row r="23" spans="1:15" ht="16.5" x14ac:dyDescent="0.25">
      <c r="A23" s="175">
        <v>5</v>
      </c>
      <c r="B23" s="176" t="s">
        <v>255</v>
      </c>
      <c r="C23" s="154"/>
      <c r="D23" s="177">
        <v>633730076</v>
      </c>
      <c r="E23" s="183">
        <v>4167538</v>
      </c>
      <c r="F23" s="154"/>
      <c r="G23" s="177">
        <f t="shared" si="0"/>
        <v>637897614</v>
      </c>
      <c r="H23" s="178">
        <v>1</v>
      </c>
      <c r="I23" s="179">
        <f>+M39</f>
        <v>9.2287969999999997E-2</v>
      </c>
      <c r="J23" s="177">
        <f>ROUND(G23*I23,0)-3</f>
        <v>58870273</v>
      </c>
      <c r="K23" s="180">
        <f t="shared" si="3"/>
        <v>0.43129266683491846</v>
      </c>
      <c r="L23" s="180">
        <v>0.10249999999999999</v>
      </c>
      <c r="M23" s="180">
        <f t="shared" si="4"/>
        <v>4.420749835057914E-2</v>
      </c>
      <c r="N23" s="183">
        <f t="shared" si="1"/>
        <v>28503146.815786254</v>
      </c>
      <c r="O23" s="177"/>
    </row>
    <row r="24" spans="1:15" ht="16.5" x14ac:dyDescent="0.25">
      <c r="A24" s="175">
        <v>6</v>
      </c>
      <c r="B24" s="176" t="s">
        <v>256</v>
      </c>
      <c r="C24" s="154"/>
      <c r="D24" s="184">
        <v>3273700</v>
      </c>
      <c r="E24" s="154"/>
      <c r="F24" s="154"/>
      <c r="G24" s="177">
        <f t="shared" si="0"/>
        <v>3273700</v>
      </c>
      <c r="H24" s="178">
        <v>1</v>
      </c>
      <c r="I24" s="154"/>
      <c r="J24" s="177">
        <f>G24</f>
        <v>3273700</v>
      </c>
      <c r="K24" s="180">
        <f t="shared" si="3"/>
        <v>2.3983629282940008E-2</v>
      </c>
      <c r="L24" s="180">
        <v>2.3400000000000001E-2</v>
      </c>
      <c r="M24" s="180">
        <f t="shared" si="4"/>
        <v>5.6121692522079615E-4</v>
      </c>
      <c r="N24" s="183">
        <f t="shared" si="1"/>
        <v>1585023.2549599262</v>
      </c>
      <c r="O24" s="177">
        <f t="shared" si="2"/>
        <v>37089.544166062275</v>
      </c>
    </row>
    <row r="25" spans="1:15" ht="16.5" x14ac:dyDescent="0.25">
      <c r="A25" s="175">
        <v>7</v>
      </c>
      <c r="B25" s="176" t="s">
        <v>257</v>
      </c>
      <c r="C25" s="154"/>
      <c r="D25" s="185">
        <v>14669265</v>
      </c>
      <c r="E25" s="154"/>
      <c r="F25" s="154"/>
      <c r="G25" s="177">
        <f t="shared" si="0"/>
        <v>14669265</v>
      </c>
      <c r="H25" s="178">
        <v>1</v>
      </c>
      <c r="I25" s="154"/>
      <c r="J25" s="185">
        <v>14444408.26</v>
      </c>
      <c r="K25" s="180">
        <f t="shared" si="3"/>
        <v>0.10582195464437075</v>
      </c>
      <c r="L25" s="180">
        <v>0</v>
      </c>
      <c r="M25" s="180">
        <f t="shared" si="4"/>
        <v>0</v>
      </c>
      <c r="N25" s="183">
        <f t="shared" si="1"/>
        <v>6993531.1715292307</v>
      </c>
      <c r="O25" s="177">
        <f t="shared" si="2"/>
        <v>0</v>
      </c>
    </row>
    <row r="26" spans="1:15" ht="16.5" x14ac:dyDescent="0.25">
      <c r="A26" s="175">
        <v>8</v>
      </c>
      <c r="B26" s="176" t="s">
        <v>258</v>
      </c>
      <c r="C26" s="154"/>
      <c r="D26" s="185">
        <v>0</v>
      </c>
      <c r="E26" s="154"/>
      <c r="F26" s="154"/>
      <c r="G26" s="177">
        <f t="shared" si="0"/>
        <v>0</v>
      </c>
      <c r="H26" s="178">
        <v>1</v>
      </c>
      <c r="I26" s="154"/>
      <c r="J26" s="177">
        <f>G26</f>
        <v>0</v>
      </c>
      <c r="K26" s="180">
        <f t="shared" si="3"/>
        <v>0</v>
      </c>
      <c r="L26" s="180">
        <v>0</v>
      </c>
      <c r="M26" s="180">
        <f t="shared" si="4"/>
        <v>0</v>
      </c>
      <c r="N26" s="183">
        <f t="shared" si="1"/>
        <v>0</v>
      </c>
      <c r="O26" s="177">
        <f t="shared" si="2"/>
        <v>0</v>
      </c>
    </row>
    <row r="27" spans="1:15" ht="16.5" x14ac:dyDescent="0.25">
      <c r="A27" s="175">
        <v>9</v>
      </c>
      <c r="B27" s="176" t="s">
        <v>259</v>
      </c>
      <c r="C27" s="154"/>
      <c r="D27" s="185">
        <v>0</v>
      </c>
      <c r="E27" s="154"/>
      <c r="F27" s="154"/>
      <c r="G27" s="177">
        <f t="shared" si="0"/>
        <v>0</v>
      </c>
      <c r="H27" s="178">
        <v>1</v>
      </c>
      <c r="I27" s="154"/>
      <c r="J27" s="177">
        <f>G27</f>
        <v>0</v>
      </c>
      <c r="K27" s="180">
        <f t="shared" si="3"/>
        <v>0</v>
      </c>
      <c r="L27" s="179">
        <v>5.3400000000000003E-2</v>
      </c>
      <c r="M27" s="180">
        <f t="shared" si="4"/>
        <v>0</v>
      </c>
      <c r="N27" s="183">
        <f t="shared" si="1"/>
        <v>0</v>
      </c>
      <c r="O27" s="177">
        <f t="shared" si="2"/>
        <v>0</v>
      </c>
    </row>
    <row r="28" spans="1:15" ht="16.5" x14ac:dyDescent="0.25">
      <c r="A28" s="175">
        <v>10</v>
      </c>
      <c r="B28" s="154"/>
      <c r="C28" s="154"/>
      <c r="D28" s="186"/>
      <c r="E28" s="154"/>
      <c r="F28" s="154"/>
      <c r="G28" s="154"/>
      <c r="H28" s="154"/>
      <c r="I28" s="154"/>
      <c r="J28" s="154"/>
      <c r="K28" s="329"/>
      <c r="L28" s="154"/>
      <c r="M28" s="154"/>
      <c r="N28" s="154"/>
      <c r="O28" s="177"/>
    </row>
    <row r="29" spans="1:15" ht="17.25" thickBot="1" x14ac:dyDescent="0.3">
      <c r="A29" s="175">
        <v>11</v>
      </c>
      <c r="B29" s="154" t="s">
        <v>260</v>
      </c>
      <c r="C29" s="154"/>
      <c r="D29" s="187">
        <f>SUM(D19:D27)</f>
        <v>1300824730</v>
      </c>
      <c r="E29" s="187">
        <f>SUM(E19:E27)</f>
        <v>4167538</v>
      </c>
      <c r="F29" s="154"/>
      <c r="G29" s="187">
        <f>SUM(G19:G28)</f>
        <v>1304992268</v>
      </c>
      <c r="H29" s="188"/>
      <c r="I29" s="154"/>
      <c r="J29" s="187">
        <f>SUM(J19:J27)</f>
        <v>136497273.25999999</v>
      </c>
      <c r="K29" s="190">
        <f>SUM(K19:K27)</f>
        <v>1</v>
      </c>
      <c r="L29" s="154"/>
      <c r="M29" s="190">
        <f>SUM(M19:M27)</f>
        <v>6.2659627517309427E-2</v>
      </c>
      <c r="N29" s="187">
        <f>'A-1 Estimated Revenue Req.'!D9</f>
        <v>66087714.926755562</v>
      </c>
      <c r="O29" s="187">
        <f>SUM(O19:O28)</f>
        <v>1219459.0521625427</v>
      </c>
    </row>
    <row r="30" spans="1:15" ht="17.25" thickTop="1" x14ac:dyDescent="0.25">
      <c r="A30" s="175">
        <v>12</v>
      </c>
      <c r="B30" s="154"/>
      <c r="C30" s="154"/>
      <c r="D30" s="154"/>
      <c r="E30" s="154"/>
      <c r="F30" s="154"/>
      <c r="G30" s="154"/>
      <c r="H30" s="154"/>
      <c r="I30" s="154"/>
      <c r="J30" s="154"/>
      <c r="K30" s="329"/>
      <c r="L30" s="154"/>
      <c r="M30" s="154"/>
      <c r="N30" s="154"/>
    </row>
    <row r="31" spans="1:15" ht="16.5" x14ac:dyDescent="0.25">
      <c r="A31" s="234">
        <v>13</v>
      </c>
      <c r="B31" s="198"/>
      <c r="C31" s="172"/>
      <c r="D31" s="172"/>
      <c r="E31" s="172"/>
      <c r="F31" s="172"/>
      <c r="G31" s="172"/>
      <c r="H31" s="172"/>
      <c r="I31" s="154"/>
      <c r="J31" s="154"/>
      <c r="K31" s="329"/>
      <c r="L31" s="154"/>
      <c r="M31" s="154"/>
      <c r="N31" s="154"/>
    </row>
    <row r="32" spans="1:15" ht="16.5" x14ac:dyDescent="0.25">
      <c r="A32" s="175">
        <v>14</v>
      </c>
      <c r="B32" s="163"/>
      <c r="C32" s="163"/>
      <c r="D32" s="163" t="str">
        <f>D15</f>
        <v>Company Total</v>
      </c>
      <c r="F32" s="163" t="str">
        <f>L15</f>
        <v>Cost</v>
      </c>
      <c r="G32" s="163" t="str">
        <f>M15</f>
        <v>Weighted</v>
      </c>
      <c r="H32" s="163"/>
      <c r="I32" s="154"/>
      <c r="J32" s="154"/>
      <c r="K32" s="154"/>
      <c r="L32" s="154"/>
      <c r="M32" s="154"/>
      <c r="N32" s="154"/>
    </row>
    <row r="33" spans="1:15" ht="17.25" thickBot="1" x14ac:dyDescent="0.3">
      <c r="A33" s="175">
        <v>15</v>
      </c>
      <c r="B33" s="191" t="str">
        <f>B16</f>
        <v>Class of Capital</v>
      </c>
      <c r="C33" s="191"/>
      <c r="D33" s="191" t="str">
        <f>D16</f>
        <v>Per Books</v>
      </c>
      <c r="E33" s="191" t="str">
        <f>K16</f>
        <v>Ratio</v>
      </c>
      <c r="F33" s="191" t="str">
        <f>L16</f>
        <v>Rate</v>
      </c>
      <c r="G33" s="191" t="str">
        <f>M16</f>
        <v>Cost Rate</v>
      </c>
      <c r="H33" s="192"/>
      <c r="I33" s="154"/>
      <c r="J33" s="154"/>
      <c r="K33" s="154"/>
      <c r="L33" s="154"/>
      <c r="M33" s="154"/>
      <c r="N33" s="154"/>
    </row>
    <row r="34" spans="1:15" ht="16.5" x14ac:dyDescent="0.25">
      <c r="A34" s="175">
        <v>16</v>
      </c>
      <c r="B34" s="154"/>
      <c r="C34" s="154"/>
      <c r="D34" s="154"/>
      <c r="E34" s="154"/>
      <c r="F34" s="154"/>
      <c r="G34" s="154"/>
      <c r="H34" s="154"/>
      <c r="I34" s="154"/>
      <c r="J34" s="154" t="s">
        <v>261</v>
      </c>
      <c r="K34" s="154"/>
      <c r="L34" s="154"/>
      <c r="M34" s="154"/>
      <c r="N34" s="154"/>
    </row>
    <row r="35" spans="1:15" ht="16.5" x14ac:dyDescent="0.25">
      <c r="A35" s="175">
        <v>17</v>
      </c>
      <c r="B35" s="444" t="s">
        <v>465</v>
      </c>
      <c r="C35" s="444"/>
      <c r="D35" s="444"/>
      <c r="E35" s="444"/>
      <c r="F35" s="444"/>
      <c r="G35" s="444"/>
      <c r="H35" s="193"/>
      <c r="I35" s="154"/>
      <c r="J35" s="154"/>
      <c r="K35" s="154"/>
      <c r="L35" s="154"/>
      <c r="M35" s="154"/>
      <c r="N35" s="154"/>
    </row>
    <row r="36" spans="1:15" ht="16.5" x14ac:dyDescent="0.25">
      <c r="A36" s="175">
        <v>18</v>
      </c>
      <c r="B36" s="176" t="str">
        <f>B19</f>
        <v>Long Term Debt</v>
      </c>
      <c r="C36" s="154"/>
      <c r="D36" s="177">
        <f>G19</f>
        <v>430784730</v>
      </c>
      <c r="E36" s="194">
        <f>D36/D$41</f>
        <v>0.33470724780773997</v>
      </c>
      <c r="F36" s="179">
        <v>3.78E-2</v>
      </c>
      <c r="G36" s="180">
        <f>E36*F36</f>
        <v>1.2651933967132571E-2</v>
      </c>
      <c r="H36" s="180"/>
      <c r="I36" s="154"/>
      <c r="J36" s="154" t="s">
        <v>496</v>
      </c>
      <c r="M36" s="185">
        <v>136722127</v>
      </c>
    </row>
    <row r="37" spans="1:15" ht="16.5" x14ac:dyDescent="0.25">
      <c r="A37" s="175">
        <v>19</v>
      </c>
      <c r="B37" s="155" t="s">
        <v>262</v>
      </c>
      <c r="D37" s="177">
        <v>7158491</v>
      </c>
      <c r="E37" s="194">
        <f>D37/D$41</f>
        <v>5.5619399997452936E-3</v>
      </c>
      <c r="F37" s="179">
        <v>0.1152</v>
      </c>
      <c r="G37" s="180">
        <f>E37*F37</f>
        <v>6.4073548797065783E-4</v>
      </c>
      <c r="H37" s="180"/>
      <c r="I37" s="154"/>
      <c r="J37" s="154" t="s">
        <v>263</v>
      </c>
      <c r="M37" s="177">
        <f>SUM(+G24+G25+G26+G27)</f>
        <v>17942965</v>
      </c>
    </row>
    <row r="38" spans="1:15" ht="17.25" thickBot="1" x14ac:dyDescent="0.3">
      <c r="A38" s="175">
        <v>20</v>
      </c>
      <c r="B38" s="176" t="str">
        <f>B21</f>
        <v>Short Term Debt</v>
      </c>
      <c r="C38" s="154"/>
      <c r="D38" s="184">
        <f>G21</f>
        <v>211208468</v>
      </c>
      <c r="E38" s="194">
        <f>D38/D$41</f>
        <v>0.16410285721587467</v>
      </c>
      <c r="F38" s="179">
        <v>3.5999999999999997E-2</v>
      </c>
      <c r="G38" s="180">
        <f>E38*F38</f>
        <v>5.9077028597714874E-3</v>
      </c>
      <c r="H38" s="180"/>
      <c r="I38" s="154"/>
      <c r="J38" s="154"/>
      <c r="M38" s="187">
        <f>+M36-M37</f>
        <v>118779162</v>
      </c>
    </row>
    <row r="39" spans="1:15" ht="18" thickTop="1" thickBot="1" x14ac:dyDescent="0.3">
      <c r="A39" s="175">
        <v>21</v>
      </c>
      <c r="B39" s="176" t="str">
        <f>B22</f>
        <v>Preferred Stock</v>
      </c>
      <c r="C39" s="154"/>
      <c r="D39" s="184">
        <f>G22</f>
        <v>0</v>
      </c>
      <c r="E39" s="194">
        <f>D39/D$41</f>
        <v>0</v>
      </c>
      <c r="F39" s="179">
        <f>L22</f>
        <v>0</v>
      </c>
      <c r="G39" s="180">
        <f>E39*F39</f>
        <v>0</v>
      </c>
      <c r="H39" s="180"/>
      <c r="I39" s="154"/>
      <c r="J39" s="154" t="s">
        <v>264</v>
      </c>
      <c r="M39" s="195">
        <f>ROUND(M38/D41,8)</f>
        <v>9.2287969999999997E-2</v>
      </c>
    </row>
    <row r="40" spans="1:15" ht="17.25" thickTop="1" x14ac:dyDescent="0.25">
      <c r="A40" s="175">
        <v>22</v>
      </c>
      <c r="B40" s="176" t="str">
        <f>B23</f>
        <v>Common Equity</v>
      </c>
      <c r="C40" s="154"/>
      <c r="D40" s="184">
        <f>G23</f>
        <v>637897614</v>
      </c>
      <c r="E40" s="194">
        <f>D40/D$41</f>
        <v>0.49562795497664008</v>
      </c>
      <c r="F40" s="179">
        <f>L23</f>
        <v>0.10249999999999999</v>
      </c>
      <c r="G40" s="180">
        <f>E40*F40</f>
        <v>5.0801865385105609E-2</v>
      </c>
      <c r="H40" s="180"/>
      <c r="I40" s="154"/>
      <c r="J40" s="154"/>
      <c r="K40" s="154"/>
      <c r="L40" s="154"/>
      <c r="M40" s="154"/>
      <c r="N40" s="154"/>
    </row>
    <row r="41" spans="1:15" ht="17.25" thickBot="1" x14ac:dyDescent="0.3">
      <c r="A41" s="175">
        <v>23</v>
      </c>
      <c r="B41" s="154" t="str">
        <f>B29</f>
        <v>TOTAL</v>
      </c>
      <c r="C41" s="154"/>
      <c r="D41" s="187">
        <f>SUM(D36:D40)</f>
        <v>1287049303</v>
      </c>
      <c r="E41" s="189">
        <f>SUM(E36:E40)</f>
        <v>1</v>
      </c>
      <c r="F41" s="154"/>
      <c r="G41" s="190">
        <f>SUM(G36:G40)</f>
        <v>7.0002237699980319E-2</v>
      </c>
      <c r="H41" s="196"/>
      <c r="I41" s="154"/>
      <c r="J41" s="222" t="s">
        <v>284</v>
      </c>
      <c r="L41" s="222"/>
      <c r="M41" s="223">
        <v>201969209</v>
      </c>
      <c r="N41" s="154"/>
    </row>
    <row r="42" spans="1:15" ht="17.25" thickTop="1" x14ac:dyDescent="0.25">
      <c r="A42" s="175"/>
      <c r="B42" s="154"/>
      <c r="C42" s="154"/>
      <c r="D42" s="154"/>
      <c r="E42" s="154"/>
      <c r="F42" s="154"/>
      <c r="G42" s="154"/>
      <c r="H42" s="154"/>
      <c r="I42" s="154"/>
      <c r="J42" s="224" t="s">
        <v>285</v>
      </c>
      <c r="L42" s="224"/>
      <c r="M42" s="225">
        <f>M38</f>
        <v>118779162</v>
      </c>
      <c r="N42" s="154"/>
    </row>
    <row r="43" spans="1:15" ht="16.5" x14ac:dyDescent="0.25">
      <c r="A43" s="175"/>
      <c r="B43" s="154"/>
      <c r="C43" s="154"/>
      <c r="D43" s="154"/>
      <c r="E43" s="154"/>
      <c r="F43" s="154"/>
      <c r="G43" s="154"/>
      <c r="H43" s="154"/>
      <c r="I43" s="154"/>
      <c r="J43" s="224" t="s">
        <v>128</v>
      </c>
      <c r="L43" s="224"/>
      <c r="M43" s="226">
        <f>+M41+M42</f>
        <v>320748371</v>
      </c>
      <c r="N43" s="154"/>
    </row>
    <row r="44" spans="1:15" ht="17.25" thickBot="1" x14ac:dyDescent="0.3">
      <c r="A44" s="175"/>
      <c r="B44" s="154"/>
      <c r="C44" s="154"/>
      <c r="D44" s="154"/>
      <c r="E44" s="154"/>
      <c r="F44" s="154"/>
      <c r="G44" s="154"/>
      <c r="H44" s="154"/>
      <c r="I44" s="154"/>
      <c r="J44" s="224" t="s">
        <v>286</v>
      </c>
      <c r="L44" s="224"/>
      <c r="M44" s="227">
        <f>ROUND(M42/M43,4)</f>
        <v>0.37030000000000002</v>
      </c>
      <c r="N44" s="154"/>
    </row>
    <row r="45" spans="1:15" ht="18" thickTop="1" thickBot="1" x14ac:dyDescent="0.3">
      <c r="A45" s="197"/>
      <c r="B45" s="48"/>
      <c r="C45" s="48"/>
      <c r="D45" s="48"/>
      <c r="E45" s="48"/>
      <c r="F45" s="48"/>
      <c r="G45" s="48"/>
      <c r="H45" s="48"/>
      <c r="I45" s="48"/>
      <c r="J45" s="48"/>
      <c r="K45" s="48"/>
      <c r="L45" s="48"/>
      <c r="M45" s="48"/>
      <c r="N45" s="48"/>
    </row>
    <row r="46" spans="1:15" ht="16.5" x14ac:dyDescent="0.25">
      <c r="A46" s="198"/>
      <c r="B46" s="156"/>
      <c r="C46" s="156"/>
      <c r="D46" s="171"/>
      <c r="E46" s="171"/>
      <c r="F46" s="171"/>
      <c r="G46" s="171"/>
      <c r="H46" s="171"/>
      <c r="I46" s="171"/>
      <c r="J46" s="171"/>
      <c r="K46" s="156"/>
      <c r="L46" s="156"/>
      <c r="M46" s="171"/>
      <c r="N46" s="171"/>
      <c r="O46" s="171"/>
    </row>
  </sheetData>
  <mergeCells count="2">
    <mergeCell ref="B18:M18"/>
    <mergeCell ref="B35:G35"/>
  </mergeCells>
  <pageMargins left="0.7" right="0.7" top="0.75" bottom="0.75" header="0.3" footer="0.3"/>
  <pageSetup scale="47"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IV43"/>
  <sheetViews>
    <sheetView workbookViewId="0">
      <selection activeCell="K2" sqref="K2"/>
    </sheetView>
  </sheetViews>
  <sheetFormatPr defaultColWidth="12.42578125" defaultRowHeight="15" x14ac:dyDescent="0.2"/>
  <cols>
    <col min="1" max="1" width="11.140625" style="201" customWidth="1"/>
    <col min="2" max="2" width="18.85546875" style="201" customWidth="1"/>
    <col min="3" max="3" width="4.7109375" style="201" customWidth="1"/>
    <col min="4" max="4" width="15" style="201" customWidth="1"/>
    <col min="5" max="5" width="22.7109375" style="201" customWidth="1"/>
    <col min="6" max="6" width="12.42578125" style="201" customWidth="1"/>
    <col min="7" max="7" width="30.42578125" style="201" customWidth="1"/>
    <col min="8" max="8" width="16.28515625" style="201" customWidth="1"/>
    <col min="9" max="9" width="9.85546875" style="201" customWidth="1"/>
    <col min="10" max="10" width="16.28515625" style="201" customWidth="1"/>
    <col min="11" max="11" width="11.140625" style="201" customWidth="1"/>
    <col min="12" max="12" width="16.28515625" style="201" customWidth="1"/>
    <col min="13" max="13" width="8.5703125" style="201" customWidth="1"/>
    <col min="14" max="256" width="12.42578125" style="201"/>
    <col min="257" max="257" width="11.140625" style="201" customWidth="1"/>
    <col min="258" max="258" width="18.85546875" style="201" customWidth="1"/>
    <col min="259" max="259" width="4.7109375" style="201" customWidth="1"/>
    <col min="260" max="260" width="15" style="201" customWidth="1"/>
    <col min="261" max="261" width="22.7109375" style="201" customWidth="1"/>
    <col min="262" max="262" width="12.42578125" style="201" customWidth="1"/>
    <col min="263" max="263" width="30.42578125" style="201" customWidth="1"/>
    <col min="264" max="264" width="16.28515625" style="201" customWidth="1"/>
    <col min="265" max="265" width="9.85546875" style="201" customWidth="1"/>
    <col min="266" max="266" width="16.28515625" style="201" customWidth="1"/>
    <col min="267" max="267" width="11.140625" style="201" customWidth="1"/>
    <col min="268" max="268" width="16.28515625" style="201" customWidth="1"/>
    <col min="269" max="269" width="8.5703125" style="201" customWidth="1"/>
    <col min="270" max="512" width="12.42578125" style="201"/>
    <col min="513" max="513" width="11.140625" style="201" customWidth="1"/>
    <col min="514" max="514" width="18.85546875" style="201" customWidth="1"/>
    <col min="515" max="515" width="4.7109375" style="201" customWidth="1"/>
    <col min="516" max="516" width="15" style="201" customWidth="1"/>
    <col min="517" max="517" width="22.7109375" style="201" customWidth="1"/>
    <col min="518" max="518" width="12.42578125" style="201" customWidth="1"/>
    <col min="519" max="519" width="30.42578125" style="201" customWidth="1"/>
    <col min="520" max="520" width="16.28515625" style="201" customWidth="1"/>
    <col min="521" max="521" width="9.85546875" style="201" customWidth="1"/>
    <col min="522" max="522" width="16.28515625" style="201" customWidth="1"/>
    <col min="523" max="523" width="11.140625" style="201" customWidth="1"/>
    <col min="524" max="524" width="16.28515625" style="201" customWidth="1"/>
    <col min="525" max="525" width="8.5703125" style="201" customWidth="1"/>
    <col min="526" max="768" width="12.42578125" style="201"/>
    <col min="769" max="769" width="11.140625" style="201" customWidth="1"/>
    <col min="770" max="770" width="18.85546875" style="201" customWidth="1"/>
    <col min="771" max="771" width="4.7109375" style="201" customWidth="1"/>
    <col min="772" max="772" width="15" style="201" customWidth="1"/>
    <col min="773" max="773" width="22.7109375" style="201" customWidth="1"/>
    <col min="774" max="774" width="12.42578125" style="201" customWidth="1"/>
    <col min="775" max="775" width="30.42578125" style="201" customWidth="1"/>
    <col min="776" max="776" width="16.28515625" style="201" customWidth="1"/>
    <col min="777" max="777" width="9.85546875" style="201" customWidth="1"/>
    <col min="778" max="778" width="16.28515625" style="201" customWidth="1"/>
    <col min="779" max="779" width="11.140625" style="201" customWidth="1"/>
    <col min="780" max="780" width="16.28515625" style="201" customWidth="1"/>
    <col min="781" max="781" width="8.5703125" style="201" customWidth="1"/>
    <col min="782" max="1024" width="12.42578125" style="201"/>
    <col min="1025" max="1025" width="11.140625" style="201" customWidth="1"/>
    <col min="1026" max="1026" width="18.85546875" style="201" customWidth="1"/>
    <col min="1027" max="1027" width="4.7109375" style="201" customWidth="1"/>
    <col min="1028" max="1028" width="15" style="201" customWidth="1"/>
    <col min="1029" max="1029" width="22.7109375" style="201" customWidth="1"/>
    <col min="1030" max="1030" width="12.42578125" style="201" customWidth="1"/>
    <col min="1031" max="1031" width="30.42578125" style="201" customWidth="1"/>
    <col min="1032" max="1032" width="16.28515625" style="201" customWidth="1"/>
    <col min="1033" max="1033" width="9.85546875" style="201" customWidth="1"/>
    <col min="1034" max="1034" width="16.28515625" style="201" customWidth="1"/>
    <col min="1035" max="1035" width="11.140625" style="201" customWidth="1"/>
    <col min="1036" max="1036" width="16.28515625" style="201" customWidth="1"/>
    <col min="1037" max="1037" width="8.5703125" style="201" customWidth="1"/>
    <col min="1038" max="1280" width="12.42578125" style="201"/>
    <col min="1281" max="1281" width="11.140625" style="201" customWidth="1"/>
    <col min="1282" max="1282" width="18.85546875" style="201" customWidth="1"/>
    <col min="1283" max="1283" width="4.7109375" style="201" customWidth="1"/>
    <col min="1284" max="1284" width="15" style="201" customWidth="1"/>
    <col min="1285" max="1285" width="22.7109375" style="201" customWidth="1"/>
    <col min="1286" max="1286" width="12.42578125" style="201" customWidth="1"/>
    <col min="1287" max="1287" width="30.42578125" style="201" customWidth="1"/>
    <col min="1288" max="1288" width="16.28515625" style="201" customWidth="1"/>
    <col min="1289" max="1289" width="9.85546875" style="201" customWidth="1"/>
    <col min="1290" max="1290" width="16.28515625" style="201" customWidth="1"/>
    <col min="1291" max="1291" width="11.140625" style="201" customWidth="1"/>
    <col min="1292" max="1292" width="16.28515625" style="201" customWidth="1"/>
    <col min="1293" max="1293" width="8.5703125" style="201" customWidth="1"/>
    <col min="1294" max="1536" width="12.42578125" style="201"/>
    <col min="1537" max="1537" width="11.140625" style="201" customWidth="1"/>
    <col min="1538" max="1538" width="18.85546875" style="201" customWidth="1"/>
    <col min="1539" max="1539" width="4.7109375" style="201" customWidth="1"/>
    <col min="1540" max="1540" width="15" style="201" customWidth="1"/>
    <col min="1541" max="1541" width="22.7109375" style="201" customWidth="1"/>
    <col min="1542" max="1542" width="12.42578125" style="201" customWidth="1"/>
    <col min="1543" max="1543" width="30.42578125" style="201" customWidth="1"/>
    <col min="1544" max="1544" width="16.28515625" style="201" customWidth="1"/>
    <col min="1545" max="1545" width="9.85546875" style="201" customWidth="1"/>
    <col min="1546" max="1546" width="16.28515625" style="201" customWidth="1"/>
    <col min="1547" max="1547" width="11.140625" style="201" customWidth="1"/>
    <col min="1548" max="1548" width="16.28515625" style="201" customWidth="1"/>
    <col min="1549" max="1549" width="8.5703125" style="201" customWidth="1"/>
    <col min="1550" max="1792" width="12.42578125" style="201"/>
    <col min="1793" max="1793" width="11.140625" style="201" customWidth="1"/>
    <col min="1794" max="1794" width="18.85546875" style="201" customWidth="1"/>
    <col min="1795" max="1795" width="4.7109375" style="201" customWidth="1"/>
    <col min="1796" max="1796" width="15" style="201" customWidth="1"/>
    <col min="1797" max="1797" width="22.7109375" style="201" customWidth="1"/>
    <col min="1798" max="1798" width="12.42578125" style="201" customWidth="1"/>
    <col min="1799" max="1799" width="30.42578125" style="201" customWidth="1"/>
    <col min="1800" max="1800" width="16.28515625" style="201" customWidth="1"/>
    <col min="1801" max="1801" width="9.85546875" style="201" customWidth="1"/>
    <col min="1802" max="1802" width="16.28515625" style="201" customWidth="1"/>
    <col min="1803" max="1803" width="11.140625" style="201" customWidth="1"/>
    <col min="1804" max="1804" width="16.28515625" style="201" customWidth="1"/>
    <col min="1805" max="1805" width="8.5703125" style="201" customWidth="1"/>
    <col min="1806" max="2048" width="12.42578125" style="201"/>
    <col min="2049" max="2049" width="11.140625" style="201" customWidth="1"/>
    <col min="2050" max="2050" width="18.85546875" style="201" customWidth="1"/>
    <col min="2051" max="2051" width="4.7109375" style="201" customWidth="1"/>
    <col min="2052" max="2052" width="15" style="201" customWidth="1"/>
    <col min="2053" max="2053" width="22.7109375" style="201" customWidth="1"/>
    <col min="2054" max="2054" width="12.42578125" style="201" customWidth="1"/>
    <col min="2055" max="2055" width="30.42578125" style="201" customWidth="1"/>
    <col min="2056" max="2056" width="16.28515625" style="201" customWidth="1"/>
    <col min="2057" max="2057" width="9.85546875" style="201" customWidth="1"/>
    <col min="2058" max="2058" width="16.28515625" style="201" customWidth="1"/>
    <col min="2059" max="2059" width="11.140625" style="201" customWidth="1"/>
    <col min="2060" max="2060" width="16.28515625" style="201" customWidth="1"/>
    <col min="2061" max="2061" width="8.5703125" style="201" customWidth="1"/>
    <col min="2062" max="2304" width="12.42578125" style="201"/>
    <col min="2305" max="2305" width="11.140625" style="201" customWidth="1"/>
    <col min="2306" max="2306" width="18.85546875" style="201" customWidth="1"/>
    <col min="2307" max="2307" width="4.7109375" style="201" customWidth="1"/>
    <col min="2308" max="2308" width="15" style="201" customWidth="1"/>
    <col min="2309" max="2309" width="22.7109375" style="201" customWidth="1"/>
    <col min="2310" max="2310" width="12.42578125" style="201" customWidth="1"/>
    <col min="2311" max="2311" width="30.42578125" style="201" customWidth="1"/>
    <col min="2312" max="2312" width="16.28515625" style="201" customWidth="1"/>
    <col min="2313" max="2313" width="9.85546875" style="201" customWidth="1"/>
    <col min="2314" max="2314" width="16.28515625" style="201" customWidth="1"/>
    <col min="2315" max="2315" width="11.140625" style="201" customWidth="1"/>
    <col min="2316" max="2316" width="16.28515625" style="201" customWidth="1"/>
    <col min="2317" max="2317" width="8.5703125" style="201" customWidth="1"/>
    <col min="2318" max="2560" width="12.42578125" style="201"/>
    <col min="2561" max="2561" width="11.140625" style="201" customWidth="1"/>
    <col min="2562" max="2562" width="18.85546875" style="201" customWidth="1"/>
    <col min="2563" max="2563" width="4.7109375" style="201" customWidth="1"/>
    <col min="2564" max="2564" width="15" style="201" customWidth="1"/>
    <col min="2565" max="2565" width="22.7109375" style="201" customWidth="1"/>
    <col min="2566" max="2566" width="12.42578125" style="201" customWidth="1"/>
    <col min="2567" max="2567" width="30.42578125" style="201" customWidth="1"/>
    <col min="2568" max="2568" width="16.28515625" style="201" customWidth="1"/>
    <col min="2569" max="2569" width="9.85546875" style="201" customWidth="1"/>
    <col min="2570" max="2570" width="16.28515625" style="201" customWidth="1"/>
    <col min="2571" max="2571" width="11.140625" style="201" customWidth="1"/>
    <col min="2572" max="2572" width="16.28515625" style="201" customWidth="1"/>
    <col min="2573" max="2573" width="8.5703125" style="201" customWidth="1"/>
    <col min="2574" max="2816" width="12.42578125" style="201"/>
    <col min="2817" max="2817" width="11.140625" style="201" customWidth="1"/>
    <col min="2818" max="2818" width="18.85546875" style="201" customWidth="1"/>
    <col min="2819" max="2819" width="4.7109375" style="201" customWidth="1"/>
    <col min="2820" max="2820" width="15" style="201" customWidth="1"/>
    <col min="2821" max="2821" width="22.7109375" style="201" customWidth="1"/>
    <col min="2822" max="2822" width="12.42578125" style="201" customWidth="1"/>
    <col min="2823" max="2823" width="30.42578125" style="201" customWidth="1"/>
    <col min="2824" max="2824" width="16.28515625" style="201" customWidth="1"/>
    <col min="2825" max="2825" width="9.85546875" style="201" customWidth="1"/>
    <col min="2826" max="2826" width="16.28515625" style="201" customWidth="1"/>
    <col min="2827" max="2827" width="11.140625" style="201" customWidth="1"/>
    <col min="2828" max="2828" width="16.28515625" style="201" customWidth="1"/>
    <col min="2829" max="2829" width="8.5703125" style="201" customWidth="1"/>
    <col min="2830" max="3072" width="12.42578125" style="201"/>
    <col min="3073" max="3073" width="11.140625" style="201" customWidth="1"/>
    <col min="3074" max="3074" width="18.85546875" style="201" customWidth="1"/>
    <col min="3075" max="3075" width="4.7109375" style="201" customWidth="1"/>
    <col min="3076" max="3076" width="15" style="201" customWidth="1"/>
    <col min="3077" max="3077" width="22.7109375" style="201" customWidth="1"/>
    <col min="3078" max="3078" width="12.42578125" style="201" customWidth="1"/>
    <col min="3079" max="3079" width="30.42578125" style="201" customWidth="1"/>
    <col min="3080" max="3080" width="16.28515625" style="201" customWidth="1"/>
    <col min="3081" max="3081" width="9.85546875" style="201" customWidth="1"/>
    <col min="3082" max="3082" width="16.28515625" style="201" customWidth="1"/>
    <col min="3083" max="3083" width="11.140625" style="201" customWidth="1"/>
    <col min="3084" max="3084" width="16.28515625" style="201" customWidth="1"/>
    <col min="3085" max="3085" width="8.5703125" style="201" customWidth="1"/>
    <col min="3086" max="3328" width="12.42578125" style="201"/>
    <col min="3329" max="3329" width="11.140625" style="201" customWidth="1"/>
    <col min="3330" max="3330" width="18.85546875" style="201" customWidth="1"/>
    <col min="3331" max="3331" width="4.7109375" style="201" customWidth="1"/>
    <col min="3332" max="3332" width="15" style="201" customWidth="1"/>
    <col min="3333" max="3333" width="22.7109375" style="201" customWidth="1"/>
    <col min="3334" max="3334" width="12.42578125" style="201" customWidth="1"/>
    <col min="3335" max="3335" width="30.42578125" style="201" customWidth="1"/>
    <col min="3336" max="3336" width="16.28515625" style="201" customWidth="1"/>
    <col min="3337" max="3337" width="9.85546875" style="201" customWidth="1"/>
    <col min="3338" max="3338" width="16.28515625" style="201" customWidth="1"/>
    <col min="3339" max="3339" width="11.140625" style="201" customWidth="1"/>
    <col min="3340" max="3340" width="16.28515625" style="201" customWidth="1"/>
    <col min="3341" max="3341" width="8.5703125" style="201" customWidth="1"/>
    <col min="3342" max="3584" width="12.42578125" style="201"/>
    <col min="3585" max="3585" width="11.140625" style="201" customWidth="1"/>
    <col min="3586" max="3586" width="18.85546875" style="201" customWidth="1"/>
    <col min="3587" max="3587" width="4.7109375" style="201" customWidth="1"/>
    <col min="3588" max="3588" width="15" style="201" customWidth="1"/>
    <col min="3589" max="3589" width="22.7109375" style="201" customWidth="1"/>
    <col min="3590" max="3590" width="12.42578125" style="201" customWidth="1"/>
    <col min="3591" max="3591" width="30.42578125" style="201" customWidth="1"/>
    <col min="3592" max="3592" width="16.28515625" style="201" customWidth="1"/>
    <col min="3593" max="3593" width="9.85546875" style="201" customWidth="1"/>
    <col min="3594" max="3594" width="16.28515625" style="201" customWidth="1"/>
    <col min="3595" max="3595" width="11.140625" style="201" customWidth="1"/>
    <col min="3596" max="3596" width="16.28515625" style="201" customWidth="1"/>
    <col min="3597" max="3597" width="8.5703125" style="201" customWidth="1"/>
    <col min="3598" max="3840" width="12.42578125" style="201"/>
    <col min="3841" max="3841" width="11.140625" style="201" customWidth="1"/>
    <col min="3842" max="3842" width="18.85546875" style="201" customWidth="1"/>
    <col min="3843" max="3843" width="4.7109375" style="201" customWidth="1"/>
    <col min="3844" max="3844" width="15" style="201" customWidth="1"/>
    <col min="3845" max="3845" width="22.7109375" style="201" customWidth="1"/>
    <col min="3846" max="3846" width="12.42578125" style="201" customWidth="1"/>
    <col min="3847" max="3847" width="30.42578125" style="201" customWidth="1"/>
    <col min="3848" max="3848" width="16.28515625" style="201" customWidth="1"/>
    <col min="3849" max="3849" width="9.85546875" style="201" customWidth="1"/>
    <col min="3850" max="3850" width="16.28515625" style="201" customWidth="1"/>
    <col min="3851" max="3851" width="11.140625" style="201" customWidth="1"/>
    <col min="3852" max="3852" width="16.28515625" style="201" customWidth="1"/>
    <col min="3853" max="3853" width="8.5703125" style="201" customWidth="1"/>
    <col min="3854" max="4096" width="12.42578125" style="201"/>
    <col min="4097" max="4097" width="11.140625" style="201" customWidth="1"/>
    <col min="4098" max="4098" width="18.85546875" style="201" customWidth="1"/>
    <col min="4099" max="4099" width="4.7109375" style="201" customWidth="1"/>
    <col min="4100" max="4100" width="15" style="201" customWidth="1"/>
    <col min="4101" max="4101" width="22.7109375" style="201" customWidth="1"/>
    <col min="4102" max="4102" width="12.42578125" style="201" customWidth="1"/>
    <col min="4103" max="4103" width="30.42578125" style="201" customWidth="1"/>
    <col min="4104" max="4104" width="16.28515625" style="201" customWidth="1"/>
    <col min="4105" max="4105" width="9.85546875" style="201" customWidth="1"/>
    <col min="4106" max="4106" width="16.28515625" style="201" customWidth="1"/>
    <col min="4107" max="4107" width="11.140625" style="201" customWidth="1"/>
    <col min="4108" max="4108" width="16.28515625" style="201" customWidth="1"/>
    <col min="4109" max="4109" width="8.5703125" style="201" customWidth="1"/>
    <col min="4110" max="4352" width="12.42578125" style="201"/>
    <col min="4353" max="4353" width="11.140625" style="201" customWidth="1"/>
    <col min="4354" max="4354" width="18.85546875" style="201" customWidth="1"/>
    <col min="4355" max="4355" width="4.7109375" style="201" customWidth="1"/>
    <col min="4356" max="4356" width="15" style="201" customWidth="1"/>
    <col min="4357" max="4357" width="22.7109375" style="201" customWidth="1"/>
    <col min="4358" max="4358" width="12.42578125" style="201" customWidth="1"/>
    <col min="4359" max="4359" width="30.42578125" style="201" customWidth="1"/>
    <col min="4360" max="4360" width="16.28515625" style="201" customWidth="1"/>
    <col min="4361" max="4361" width="9.85546875" style="201" customWidth="1"/>
    <col min="4362" max="4362" width="16.28515625" style="201" customWidth="1"/>
    <col min="4363" max="4363" width="11.140625" style="201" customWidth="1"/>
    <col min="4364" max="4364" width="16.28515625" style="201" customWidth="1"/>
    <col min="4365" max="4365" width="8.5703125" style="201" customWidth="1"/>
    <col min="4366" max="4608" width="12.42578125" style="201"/>
    <col min="4609" max="4609" width="11.140625" style="201" customWidth="1"/>
    <col min="4610" max="4610" width="18.85546875" style="201" customWidth="1"/>
    <col min="4611" max="4611" width="4.7109375" style="201" customWidth="1"/>
    <col min="4612" max="4612" width="15" style="201" customWidth="1"/>
    <col min="4613" max="4613" width="22.7109375" style="201" customWidth="1"/>
    <col min="4614" max="4614" width="12.42578125" style="201" customWidth="1"/>
    <col min="4615" max="4615" width="30.42578125" style="201" customWidth="1"/>
    <col min="4616" max="4616" width="16.28515625" style="201" customWidth="1"/>
    <col min="4617" max="4617" width="9.85546875" style="201" customWidth="1"/>
    <col min="4618" max="4618" width="16.28515625" style="201" customWidth="1"/>
    <col min="4619" max="4619" width="11.140625" style="201" customWidth="1"/>
    <col min="4620" max="4620" width="16.28515625" style="201" customWidth="1"/>
    <col min="4621" max="4621" width="8.5703125" style="201" customWidth="1"/>
    <col min="4622" max="4864" width="12.42578125" style="201"/>
    <col min="4865" max="4865" width="11.140625" style="201" customWidth="1"/>
    <col min="4866" max="4866" width="18.85546875" style="201" customWidth="1"/>
    <col min="4867" max="4867" width="4.7109375" style="201" customWidth="1"/>
    <col min="4868" max="4868" width="15" style="201" customWidth="1"/>
    <col min="4869" max="4869" width="22.7109375" style="201" customWidth="1"/>
    <col min="4870" max="4870" width="12.42578125" style="201" customWidth="1"/>
    <col min="4871" max="4871" width="30.42578125" style="201" customWidth="1"/>
    <col min="4872" max="4872" width="16.28515625" style="201" customWidth="1"/>
    <col min="4873" max="4873" width="9.85546875" style="201" customWidth="1"/>
    <col min="4874" max="4874" width="16.28515625" style="201" customWidth="1"/>
    <col min="4875" max="4875" width="11.140625" style="201" customWidth="1"/>
    <col min="4876" max="4876" width="16.28515625" style="201" customWidth="1"/>
    <col min="4877" max="4877" width="8.5703125" style="201" customWidth="1"/>
    <col min="4878" max="5120" width="12.42578125" style="201"/>
    <col min="5121" max="5121" width="11.140625" style="201" customWidth="1"/>
    <col min="5122" max="5122" width="18.85546875" style="201" customWidth="1"/>
    <col min="5123" max="5123" width="4.7109375" style="201" customWidth="1"/>
    <col min="5124" max="5124" width="15" style="201" customWidth="1"/>
    <col min="5125" max="5125" width="22.7109375" style="201" customWidth="1"/>
    <col min="5126" max="5126" width="12.42578125" style="201" customWidth="1"/>
    <col min="5127" max="5127" width="30.42578125" style="201" customWidth="1"/>
    <col min="5128" max="5128" width="16.28515625" style="201" customWidth="1"/>
    <col min="5129" max="5129" width="9.85546875" style="201" customWidth="1"/>
    <col min="5130" max="5130" width="16.28515625" style="201" customWidth="1"/>
    <col min="5131" max="5131" width="11.140625" style="201" customWidth="1"/>
    <col min="5132" max="5132" width="16.28515625" style="201" customWidth="1"/>
    <col min="5133" max="5133" width="8.5703125" style="201" customWidth="1"/>
    <col min="5134" max="5376" width="12.42578125" style="201"/>
    <col min="5377" max="5377" width="11.140625" style="201" customWidth="1"/>
    <col min="5378" max="5378" width="18.85546875" style="201" customWidth="1"/>
    <col min="5379" max="5379" width="4.7109375" style="201" customWidth="1"/>
    <col min="5380" max="5380" width="15" style="201" customWidth="1"/>
    <col min="5381" max="5381" width="22.7109375" style="201" customWidth="1"/>
    <col min="5382" max="5382" width="12.42578125" style="201" customWidth="1"/>
    <col min="5383" max="5383" width="30.42578125" style="201" customWidth="1"/>
    <col min="5384" max="5384" width="16.28515625" style="201" customWidth="1"/>
    <col min="5385" max="5385" width="9.85546875" style="201" customWidth="1"/>
    <col min="5386" max="5386" width="16.28515625" style="201" customWidth="1"/>
    <col min="5387" max="5387" width="11.140625" style="201" customWidth="1"/>
    <col min="5388" max="5388" width="16.28515625" style="201" customWidth="1"/>
    <col min="5389" max="5389" width="8.5703125" style="201" customWidth="1"/>
    <col min="5390" max="5632" width="12.42578125" style="201"/>
    <col min="5633" max="5633" width="11.140625" style="201" customWidth="1"/>
    <col min="5634" max="5634" width="18.85546875" style="201" customWidth="1"/>
    <col min="5635" max="5635" width="4.7109375" style="201" customWidth="1"/>
    <col min="5636" max="5636" width="15" style="201" customWidth="1"/>
    <col min="5637" max="5637" width="22.7109375" style="201" customWidth="1"/>
    <col min="5638" max="5638" width="12.42578125" style="201" customWidth="1"/>
    <col min="5639" max="5639" width="30.42578125" style="201" customWidth="1"/>
    <col min="5640" max="5640" width="16.28515625" style="201" customWidth="1"/>
    <col min="5641" max="5641" width="9.85546875" style="201" customWidth="1"/>
    <col min="5642" max="5642" width="16.28515625" style="201" customWidth="1"/>
    <col min="5643" max="5643" width="11.140625" style="201" customWidth="1"/>
    <col min="5644" max="5644" width="16.28515625" style="201" customWidth="1"/>
    <col min="5645" max="5645" width="8.5703125" style="201" customWidth="1"/>
    <col min="5646" max="5888" width="12.42578125" style="201"/>
    <col min="5889" max="5889" width="11.140625" style="201" customWidth="1"/>
    <col min="5890" max="5890" width="18.85546875" style="201" customWidth="1"/>
    <col min="5891" max="5891" width="4.7109375" style="201" customWidth="1"/>
    <col min="5892" max="5892" width="15" style="201" customWidth="1"/>
    <col min="5893" max="5893" width="22.7109375" style="201" customWidth="1"/>
    <col min="5894" max="5894" width="12.42578125" style="201" customWidth="1"/>
    <col min="5895" max="5895" width="30.42578125" style="201" customWidth="1"/>
    <col min="5896" max="5896" width="16.28515625" style="201" customWidth="1"/>
    <col min="5897" max="5897" width="9.85546875" style="201" customWidth="1"/>
    <col min="5898" max="5898" width="16.28515625" style="201" customWidth="1"/>
    <col min="5899" max="5899" width="11.140625" style="201" customWidth="1"/>
    <col min="5900" max="5900" width="16.28515625" style="201" customWidth="1"/>
    <col min="5901" max="5901" width="8.5703125" style="201" customWidth="1"/>
    <col min="5902" max="6144" width="12.42578125" style="201"/>
    <col min="6145" max="6145" width="11.140625" style="201" customWidth="1"/>
    <col min="6146" max="6146" width="18.85546875" style="201" customWidth="1"/>
    <col min="6147" max="6147" width="4.7109375" style="201" customWidth="1"/>
    <col min="6148" max="6148" width="15" style="201" customWidth="1"/>
    <col min="6149" max="6149" width="22.7109375" style="201" customWidth="1"/>
    <col min="6150" max="6150" width="12.42578125" style="201" customWidth="1"/>
    <col min="6151" max="6151" width="30.42578125" style="201" customWidth="1"/>
    <col min="6152" max="6152" width="16.28515625" style="201" customWidth="1"/>
    <col min="6153" max="6153" width="9.85546875" style="201" customWidth="1"/>
    <col min="6154" max="6154" width="16.28515625" style="201" customWidth="1"/>
    <col min="6155" max="6155" width="11.140625" style="201" customWidth="1"/>
    <col min="6156" max="6156" width="16.28515625" style="201" customWidth="1"/>
    <col min="6157" max="6157" width="8.5703125" style="201" customWidth="1"/>
    <col min="6158" max="6400" width="12.42578125" style="201"/>
    <col min="6401" max="6401" width="11.140625" style="201" customWidth="1"/>
    <col min="6402" max="6402" width="18.85546875" style="201" customWidth="1"/>
    <col min="6403" max="6403" width="4.7109375" style="201" customWidth="1"/>
    <col min="6404" max="6404" width="15" style="201" customWidth="1"/>
    <col min="6405" max="6405" width="22.7109375" style="201" customWidth="1"/>
    <col min="6406" max="6406" width="12.42578125" style="201" customWidth="1"/>
    <col min="6407" max="6407" width="30.42578125" style="201" customWidth="1"/>
    <col min="6408" max="6408" width="16.28515625" style="201" customWidth="1"/>
    <col min="6409" max="6409" width="9.85546875" style="201" customWidth="1"/>
    <col min="6410" max="6410" width="16.28515625" style="201" customWidth="1"/>
    <col min="6411" max="6411" width="11.140625" style="201" customWidth="1"/>
    <col min="6412" max="6412" width="16.28515625" style="201" customWidth="1"/>
    <col min="6413" max="6413" width="8.5703125" style="201" customWidth="1"/>
    <col min="6414" max="6656" width="12.42578125" style="201"/>
    <col min="6657" max="6657" width="11.140625" style="201" customWidth="1"/>
    <col min="6658" max="6658" width="18.85546875" style="201" customWidth="1"/>
    <col min="6659" max="6659" width="4.7109375" style="201" customWidth="1"/>
    <col min="6660" max="6660" width="15" style="201" customWidth="1"/>
    <col min="6661" max="6661" width="22.7109375" style="201" customWidth="1"/>
    <col min="6662" max="6662" width="12.42578125" style="201" customWidth="1"/>
    <col min="6663" max="6663" width="30.42578125" style="201" customWidth="1"/>
    <col min="6664" max="6664" width="16.28515625" style="201" customWidth="1"/>
    <col min="6665" max="6665" width="9.85546875" style="201" customWidth="1"/>
    <col min="6666" max="6666" width="16.28515625" style="201" customWidth="1"/>
    <col min="6667" max="6667" width="11.140625" style="201" customWidth="1"/>
    <col min="6668" max="6668" width="16.28515625" style="201" customWidth="1"/>
    <col min="6669" max="6669" width="8.5703125" style="201" customWidth="1"/>
    <col min="6670" max="6912" width="12.42578125" style="201"/>
    <col min="6913" max="6913" width="11.140625" style="201" customWidth="1"/>
    <col min="6914" max="6914" width="18.85546875" style="201" customWidth="1"/>
    <col min="6915" max="6915" width="4.7109375" style="201" customWidth="1"/>
    <col min="6916" max="6916" width="15" style="201" customWidth="1"/>
    <col min="6917" max="6917" width="22.7109375" style="201" customWidth="1"/>
    <col min="6918" max="6918" width="12.42578125" style="201" customWidth="1"/>
    <col min="6919" max="6919" width="30.42578125" style="201" customWidth="1"/>
    <col min="6920" max="6920" width="16.28515625" style="201" customWidth="1"/>
    <col min="6921" max="6921" width="9.85546875" style="201" customWidth="1"/>
    <col min="6922" max="6922" width="16.28515625" style="201" customWidth="1"/>
    <col min="6923" max="6923" width="11.140625" style="201" customWidth="1"/>
    <col min="6924" max="6924" width="16.28515625" style="201" customWidth="1"/>
    <col min="6925" max="6925" width="8.5703125" style="201" customWidth="1"/>
    <col min="6926" max="7168" width="12.42578125" style="201"/>
    <col min="7169" max="7169" width="11.140625" style="201" customWidth="1"/>
    <col min="7170" max="7170" width="18.85546875" style="201" customWidth="1"/>
    <col min="7171" max="7171" width="4.7109375" style="201" customWidth="1"/>
    <col min="7172" max="7172" width="15" style="201" customWidth="1"/>
    <col min="7173" max="7173" width="22.7109375" style="201" customWidth="1"/>
    <col min="7174" max="7174" width="12.42578125" style="201" customWidth="1"/>
    <col min="7175" max="7175" width="30.42578125" style="201" customWidth="1"/>
    <col min="7176" max="7176" width="16.28515625" style="201" customWidth="1"/>
    <col min="7177" max="7177" width="9.85546875" style="201" customWidth="1"/>
    <col min="7178" max="7178" width="16.28515625" style="201" customWidth="1"/>
    <col min="7179" max="7179" width="11.140625" style="201" customWidth="1"/>
    <col min="7180" max="7180" width="16.28515625" style="201" customWidth="1"/>
    <col min="7181" max="7181" width="8.5703125" style="201" customWidth="1"/>
    <col min="7182" max="7424" width="12.42578125" style="201"/>
    <col min="7425" max="7425" width="11.140625" style="201" customWidth="1"/>
    <col min="7426" max="7426" width="18.85546875" style="201" customWidth="1"/>
    <col min="7427" max="7427" width="4.7109375" style="201" customWidth="1"/>
    <col min="7428" max="7428" width="15" style="201" customWidth="1"/>
    <col min="7429" max="7429" width="22.7109375" style="201" customWidth="1"/>
    <col min="7430" max="7430" width="12.42578125" style="201" customWidth="1"/>
    <col min="7431" max="7431" width="30.42578125" style="201" customWidth="1"/>
    <col min="7432" max="7432" width="16.28515625" style="201" customWidth="1"/>
    <col min="7433" max="7433" width="9.85546875" style="201" customWidth="1"/>
    <col min="7434" max="7434" width="16.28515625" style="201" customWidth="1"/>
    <col min="7435" max="7435" width="11.140625" style="201" customWidth="1"/>
    <col min="7436" max="7436" width="16.28515625" style="201" customWidth="1"/>
    <col min="7437" max="7437" width="8.5703125" style="201" customWidth="1"/>
    <col min="7438" max="7680" width="12.42578125" style="201"/>
    <col min="7681" max="7681" width="11.140625" style="201" customWidth="1"/>
    <col min="7682" max="7682" width="18.85546875" style="201" customWidth="1"/>
    <col min="7683" max="7683" width="4.7109375" style="201" customWidth="1"/>
    <col min="7684" max="7684" width="15" style="201" customWidth="1"/>
    <col min="7685" max="7685" width="22.7109375" style="201" customWidth="1"/>
    <col min="7686" max="7686" width="12.42578125" style="201" customWidth="1"/>
    <col min="7687" max="7687" width="30.42578125" style="201" customWidth="1"/>
    <col min="7688" max="7688" width="16.28515625" style="201" customWidth="1"/>
    <col min="7689" max="7689" width="9.85546875" style="201" customWidth="1"/>
    <col min="7690" max="7690" width="16.28515625" style="201" customWidth="1"/>
    <col min="7691" max="7691" width="11.140625" style="201" customWidth="1"/>
    <col min="7692" max="7692" width="16.28515625" style="201" customWidth="1"/>
    <col min="7693" max="7693" width="8.5703125" style="201" customWidth="1"/>
    <col min="7694" max="7936" width="12.42578125" style="201"/>
    <col min="7937" max="7937" width="11.140625" style="201" customWidth="1"/>
    <col min="7938" max="7938" width="18.85546875" style="201" customWidth="1"/>
    <col min="7939" max="7939" width="4.7109375" style="201" customWidth="1"/>
    <col min="7940" max="7940" width="15" style="201" customWidth="1"/>
    <col min="7941" max="7941" width="22.7109375" style="201" customWidth="1"/>
    <col min="7942" max="7942" width="12.42578125" style="201" customWidth="1"/>
    <col min="7943" max="7943" width="30.42578125" style="201" customWidth="1"/>
    <col min="7944" max="7944" width="16.28515625" style="201" customWidth="1"/>
    <col min="7945" max="7945" width="9.85546875" style="201" customWidth="1"/>
    <col min="7946" max="7946" width="16.28515625" style="201" customWidth="1"/>
    <col min="7947" max="7947" width="11.140625" style="201" customWidth="1"/>
    <col min="7948" max="7948" width="16.28515625" style="201" customWidth="1"/>
    <col min="7949" max="7949" width="8.5703125" style="201" customWidth="1"/>
    <col min="7950" max="8192" width="12.42578125" style="201"/>
    <col min="8193" max="8193" width="11.140625" style="201" customWidth="1"/>
    <col min="8194" max="8194" width="18.85546875" style="201" customWidth="1"/>
    <col min="8195" max="8195" width="4.7109375" style="201" customWidth="1"/>
    <col min="8196" max="8196" width="15" style="201" customWidth="1"/>
    <col min="8197" max="8197" width="22.7109375" style="201" customWidth="1"/>
    <col min="8198" max="8198" width="12.42578125" style="201" customWidth="1"/>
    <col min="8199" max="8199" width="30.42578125" style="201" customWidth="1"/>
    <col min="8200" max="8200" width="16.28515625" style="201" customWidth="1"/>
    <col min="8201" max="8201" width="9.85546875" style="201" customWidth="1"/>
    <col min="8202" max="8202" width="16.28515625" style="201" customWidth="1"/>
    <col min="8203" max="8203" width="11.140625" style="201" customWidth="1"/>
    <col min="8204" max="8204" width="16.28515625" style="201" customWidth="1"/>
    <col min="8205" max="8205" width="8.5703125" style="201" customWidth="1"/>
    <col min="8206" max="8448" width="12.42578125" style="201"/>
    <col min="8449" max="8449" width="11.140625" style="201" customWidth="1"/>
    <col min="8450" max="8450" width="18.85546875" style="201" customWidth="1"/>
    <col min="8451" max="8451" width="4.7109375" style="201" customWidth="1"/>
    <col min="8452" max="8452" width="15" style="201" customWidth="1"/>
    <col min="8453" max="8453" width="22.7109375" style="201" customWidth="1"/>
    <col min="8454" max="8454" width="12.42578125" style="201" customWidth="1"/>
    <col min="8455" max="8455" width="30.42578125" style="201" customWidth="1"/>
    <col min="8456" max="8456" width="16.28515625" style="201" customWidth="1"/>
    <col min="8457" max="8457" width="9.85546875" style="201" customWidth="1"/>
    <col min="8458" max="8458" width="16.28515625" style="201" customWidth="1"/>
    <col min="8459" max="8459" width="11.140625" style="201" customWidth="1"/>
    <col min="8460" max="8460" width="16.28515625" style="201" customWidth="1"/>
    <col min="8461" max="8461" width="8.5703125" style="201" customWidth="1"/>
    <col min="8462" max="8704" width="12.42578125" style="201"/>
    <col min="8705" max="8705" width="11.140625" style="201" customWidth="1"/>
    <col min="8706" max="8706" width="18.85546875" style="201" customWidth="1"/>
    <col min="8707" max="8707" width="4.7109375" style="201" customWidth="1"/>
    <col min="8708" max="8708" width="15" style="201" customWidth="1"/>
    <col min="8709" max="8709" width="22.7109375" style="201" customWidth="1"/>
    <col min="8710" max="8710" width="12.42578125" style="201" customWidth="1"/>
    <col min="8711" max="8711" width="30.42578125" style="201" customWidth="1"/>
    <col min="8712" max="8712" width="16.28515625" style="201" customWidth="1"/>
    <col min="8713" max="8713" width="9.85546875" style="201" customWidth="1"/>
    <col min="8714" max="8714" width="16.28515625" style="201" customWidth="1"/>
    <col min="8715" max="8715" width="11.140625" style="201" customWidth="1"/>
    <col min="8716" max="8716" width="16.28515625" style="201" customWidth="1"/>
    <col min="8717" max="8717" width="8.5703125" style="201" customWidth="1"/>
    <col min="8718" max="8960" width="12.42578125" style="201"/>
    <col min="8961" max="8961" width="11.140625" style="201" customWidth="1"/>
    <col min="8962" max="8962" width="18.85546875" style="201" customWidth="1"/>
    <col min="8963" max="8963" width="4.7109375" style="201" customWidth="1"/>
    <col min="8964" max="8964" width="15" style="201" customWidth="1"/>
    <col min="8965" max="8965" width="22.7109375" style="201" customWidth="1"/>
    <col min="8966" max="8966" width="12.42578125" style="201" customWidth="1"/>
    <col min="8967" max="8967" width="30.42578125" style="201" customWidth="1"/>
    <col min="8968" max="8968" width="16.28515625" style="201" customWidth="1"/>
    <col min="8969" max="8969" width="9.85546875" style="201" customWidth="1"/>
    <col min="8970" max="8970" width="16.28515625" style="201" customWidth="1"/>
    <col min="8971" max="8971" width="11.140625" style="201" customWidth="1"/>
    <col min="8972" max="8972" width="16.28515625" style="201" customWidth="1"/>
    <col min="8973" max="8973" width="8.5703125" style="201" customWidth="1"/>
    <col min="8974" max="9216" width="12.42578125" style="201"/>
    <col min="9217" max="9217" width="11.140625" style="201" customWidth="1"/>
    <col min="9218" max="9218" width="18.85546875" style="201" customWidth="1"/>
    <col min="9219" max="9219" width="4.7109375" style="201" customWidth="1"/>
    <col min="9220" max="9220" width="15" style="201" customWidth="1"/>
    <col min="9221" max="9221" width="22.7109375" style="201" customWidth="1"/>
    <col min="9222" max="9222" width="12.42578125" style="201" customWidth="1"/>
    <col min="9223" max="9223" width="30.42578125" style="201" customWidth="1"/>
    <col min="9224" max="9224" width="16.28515625" style="201" customWidth="1"/>
    <col min="9225" max="9225" width="9.85546875" style="201" customWidth="1"/>
    <col min="9226" max="9226" width="16.28515625" style="201" customWidth="1"/>
    <col min="9227" max="9227" width="11.140625" style="201" customWidth="1"/>
    <col min="9228" max="9228" width="16.28515625" style="201" customWidth="1"/>
    <col min="9229" max="9229" width="8.5703125" style="201" customWidth="1"/>
    <col min="9230" max="9472" width="12.42578125" style="201"/>
    <col min="9473" max="9473" width="11.140625" style="201" customWidth="1"/>
    <col min="9474" max="9474" width="18.85546875" style="201" customWidth="1"/>
    <col min="9475" max="9475" width="4.7109375" style="201" customWidth="1"/>
    <col min="9476" max="9476" width="15" style="201" customWidth="1"/>
    <col min="9477" max="9477" width="22.7109375" style="201" customWidth="1"/>
    <col min="9478" max="9478" width="12.42578125" style="201" customWidth="1"/>
    <col min="9479" max="9479" width="30.42578125" style="201" customWidth="1"/>
    <col min="9480" max="9480" width="16.28515625" style="201" customWidth="1"/>
    <col min="9481" max="9481" width="9.85546875" style="201" customWidth="1"/>
    <col min="9482" max="9482" width="16.28515625" style="201" customWidth="1"/>
    <col min="9483" max="9483" width="11.140625" style="201" customWidth="1"/>
    <col min="9484" max="9484" width="16.28515625" style="201" customWidth="1"/>
    <col min="9485" max="9485" width="8.5703125" style="201" customWidth="1"/>
    <col min="9486" max="9728" width="12.42578125" style="201"/>
    <col min="9729" max="9729" width="11.140625" style="201" customWidth="1"/>
    <col min="9730" max="9730" width="18.85546875" style="201" customWidth="1"/>
    <col min="9731" max="9731" width="4.7109375" style="201" customWidth="1"/>
    <col min="9732" max="9732" width="15" style="201" customWidth="1"/>
    <col min="9733" max="9733" width="22.7109375" style="201" customWidth="1"/>
    <col min="9734" max="9734" width="12.42578125" style="201" customWidth="1"/>
    <col min="9735" max="9735" width="30.42578125" style="201" customWidth="1"/>
    <col min="9736" max="9736" width="16.28515625" style="201" customWidth="1"/>
    <col min="9737" max="9737" width="9.85546875" style="201" customWidth="1"/>
    <col min="9738" max="9738" width="16.28515625" style="201" customWidth="1"/>
    <col min="9739" max="9739" width="11.140625" style="201" customWidth="1"/>
    <col min="9740" max="9740" width="16.28515625" style="201" customWidth="1"/>
    <col min="9741" max="9741" width="8.5703125" style="201" customWidth="1"/>
    <col min="9742" max="9984" width="12.42578125" style="201"/>
    <col min="9985" max="9985" width="11.140625" style="201" customWidth="1"/>
    <col min="9986" max="9986" width="18.85546875" style="201" customWidth="1"/>
    <col min="9987" max="9987" width="4.7109375" style="201" customWidth="1"/>
    <col min="9988" max="9988" width="15" style="201" customWidth="1"/>
    <col min="9989" max="9989" width="22.7109375" style="201" customWidth="1"/>
    <col min="9990" max="9990" width="12.42578125" style="201" customWidth="1"/>
    <col min="9991" max="9991" width="30.42578125" style="201" customWidth="1"/>
    <col min="9992" max="9992" width="16.28515625" style="201" customWidth="1"/>
    <col min="9993" max="9993" width="9.85546875" style="201" customWidth="1"/>
    <col min="9994" max="9994" width="16.28515625" style="201" customWidth="1"/>
    <col min="9995" max="9995" width="11.140625" style="201" customWidth="1"/>
    <col min="9996" max="9996" width="16.28515625" style="201" customWidth="1"/>
    <col min="9997" max="9997" width="8.5703125" style="201" customWidth="1"/>
    <col min="9998" max="10240" width="12.42578125" style="201"/>
    <col min="10241" max="10241" width="11.140625" style="201" customWidth="1"/>
    <col min="10242" max="10242" width="18.85546875" style="201" customWidth="1"/>
    <col min="10243" max="10243" width="4.7109375" style="201" customWidth="1"/>
    <col min="10244" max="10244" width="15" style="201" customWidth="1"/>
    <col min="10245" max="10245" width="22.7109375" style="201" customWidth="1"/>
    <col min="10246" max="10246" width="12.42578125" style="201" customWidth="1"/>
    <col min="10247" max="10247" width="30.42578125" style="201" customWidth="1"/>
    <col min="10248" max="10248" width="16.28515625" style="201" customWidth="1"/>
    <col min="10249" max="10249" width="9.85546875" style="201" customWidth="1"/>
    <col min="10250" max="10250" width="16.28515625" style="201" customWidth="1"/>
    <col min="10251" max="10251" width="11.140625" style="201" customWidth="1"/>
    <col min="10252" max="10252" width="16.28515625" style="201" customWidth="1"/>
    <col min="10253" max="10253" width="8.5703125" style="201" customWidth="1"/>
    <col min="10254" max="10496" width="12.42578125" style="201"/>
    <col min="10497" max="10497" width="11.140625" style="201" customWidth="1"/>
    <col min="10498" max="10498" width="18.85546875" style="201" customWidth="1"/>
    <col min="10499" max="10499" width="4.7109375" style="201" customWidth="1"/>
    <col min="10500" max="10500" width="15" style="201" customWidth="1"/>
    <col min="10501" max="10501" width="22.7109375" style="201" customWidth="1"/>
    <col min="10502" max="10502" width="12.42578125" style="201" customWidth="1"/>
    <col min="10503" max="10503" width="30.42578125" style="201" customWidth="1"/>
    <col min="10504" max="10504" width="16.28515625" style="201" customWidth="1"/>
    <col min="10505" max="10505" width="9.85546875" style="201" customWidth="1"/>
    <col min="10506" max="10506" width="16.28515625" style="201" customWidth="1"/>
    <col min="10507" max="10507" width="11.140625" style="201" customWidth="1"/>
    <col min="10508" max="10508" width="16.28515625" style="201" customWidth="1"/>
    <col min="10509" max="10509" width="8.5703125" style="201" customWidth="1"/>
    <col min="10510" max="10752" width="12.42578125" style="201"/>
    <col min="10753" max="10753" width="11.140625" style="201" customWidth="1"/>
    <col min="10754" max="10754" width="18.85546875" style="201" customWidth="1"/>
    <col min="10755" max="10755" width="4.7109375" style="201" customWidth="1"/>
    <col min="10756" max="10756" width="15" style="201" customWidth="1"/>
    <col min="10757" max="10757" width="22.7109375" style="201" customWidth="1"/>
    <col min="10758" max="10758" width="12.42578125" style="201" customWidth="1"/>
    <col min="10759" max="10759" width="30.42578125" style="201" customWidth="1"/>
    <col min="10760" max="10760" width="16.28515625" style="201" customWidth="1"/>
    <col min="10761" max="10761" width="9.85546875" style="201" customWidth="1"/>
    <col min="10762" max="10762" width="16.28515625" style="201" customWidth="1"/>
    <col min="10763" max="10763" width="11.140625" style="201" customWidth="1"/>
    <col min="10764" max="10764" width="16.28515625" style="201" customWidth="1"/>
    <col min="10765" max="10765" width="8.5703125" style="201" customWidth="1"/>
    <col min="10766" max="11008" width="12.42578125" style="201"/>
    <col min="11009" max="11009" width="11.140625" style="201" customWidth="1"/>
    <col min="11010" max="11010" width="18.85546875" style="201" customWidth="1"/>
    <col min="11011" max="11011" width="4.7109375" style="201" customWidth="1"/>
    <col min="11012" max="11012" width="15" style="201" customWidth="1"/>
    <col min="11013" max="11013" width="22.7109375" style="201" customWidth="1"/>
    <col min="11014" max="11014" width="12.42578125" style="201" customWidth="1"/>
    <col min="11015" max="11015" width="30.42578125" style="201" customWidth="1"/>
    <col min="11016" max="11016" width="16.28515625" style="201" customWidth="1"/>
    <col min="11017" max="11017" width="9.85546875" style="201" customWidth="1"/>
    <col min="11018" max="11018" width="16.28515625" style="201" customWidth="1"/>
    <col min="11019" max="11019" width="11.140625" style="201" customWidth="1"/>
    <col min="11020" max="11020" width="16.28515625" style="201" customWidth="1"/>
    <col min="11021" max="11021" width="8.5703125" style="201" customWidth="1"/>
    <col min="11022" max="11264" width="12.42578125" style="201"/>
    <col min="11265" max="11265" width="11.140625" style="201" customWidth="1"/>
    <col min="11266" max="11266" width="18.85546875" style="201" customWidth="1"/>
    <col min="11267" max="11267" width="4.7109375" style="201" customWidth="1"/>
    <col min="11268" max="11268" width="15" style="201" customWidth="1"/>
    <col min="11269" max="11269" width="22.7109375" style="201" customWidth="1"/>
    <col min="11270" max="11270" width="12.42578125" style="201" customWidth="1"/>
    <col min="11271" max="11271" width="30.42578125" style="201" customWidth="1"/>
    <col min="11272" max="11272" width="16.28515625" style="201" customWidth="1"/>
    <col min="11273" max="11273" width="9.85546875" style="201" customWidth="1"/>
    <col min="11274" max="11274" width="16.28515625" style="201" customWidth="1"/>
    <col min="11275" max="11275" width="11.140625" style="201" customWidth="1"/>
    <col min="11276" max="11276" width="16.28515625" style="201" customWidth="1"/>
    <col min="11277" max="11277" width="8.5703125" style="201" customWidth="1"/>
    <col min="11278" max="11520" width="12.42578125" style="201"/>
    <col min="11521" max="11521" width="11.140625" style="201" customWidth="1"/>
    <col min="11522" max="11522" width="18.85546875" style="201" customWidth="1"/>
    <col min="11523" max="11523" width="4.7109375" style="201" customWidth="1"/>
    <col min="11524" max="11524" width="15" style="201" customWidth="1"/>
    <col min="11525" max="11525" width="22.7109375" style="201" customWidth="1"/>
    <col min="11526" max="11526" width="12.42578125" style="201" customWidth="1"/>
    <col min="11527" max="11527" width="30.42578125" style="201" customWidth="1"/>
    <col min="11528" max="11528" width="16.28515625" style="201" customWidth="1"/>
    <col min="11529" max="11529" width="9.85546875" style="201" customWidth="1"/>
    <col min="11530" max="11530" width="16.28515625" style="201" customWidth="1"/>
    <col min="11531" max="11531" width="11.140625" style="201" customWidth="1"/>
    <col min="11532" max="11532" width="16.28515625" style="201" customWidth="1"/>
    <col min="11533" max="11533" width="8.5703125" style="201" customWidth="1"/>
    <col min="11534" max="11776" width="12.42578125" style="201"/>
    <col min="11777" max="11777" width="11.140625" style="201" customWidth="1"/>
    <col min="11778" max="11778" width="18.85546875" style="201" customWidth="1"/>
    <col min="11779" max="11779" width="4.7109375" style="201" customWidth="1"/>
    <col min="11780" max="11780" width="15" style="201" customWidth="1"/>
    <col min="11781" max="11781" width="22.7109375" style="201" customWidth="1"/>
    <col min="11782" max="11782" width="12.42578125" style="201" customWidth="1"/>
    <col min="11783" max="11783" width="30.42578125" style="201" customWidth="1"/>
    <col min="11784" max="11784" width="16.28515625" style="201" customWidth="1"/>
    <col min="11785" max="11785" width="9.85546875" style="201" customWidth="1"/>
    <col min="11786" max="11786" width="16.28515625" style="201" customWidth="1"/>
    <col min="11787" max="11787" width="11.140625" style="201" customWidth="1"/>
    <col min="11788" max="11788" width="16.28515625" style="201" customWidth="1"/>
    <col min="11789" max="11789" width="8.5703125" style="201" customWidth="1"/>
    <col min="11790" max="12032" width="12.42578125" style="201"/>
    <col min="12033" max="12033" width="11.140625" style="201" customWidth="1"/>
    <col min="12034" max="12034" width="18.85546875" style="201" customWidth="1"/>
    <col min="12035" max="12035" width="4.7109375" style="201" customWidth="1"/>
    <col min="12036" max="12036" width="15" style="201" customWidth="1"/>
    <col min="12037" max="12037" width="22.7109375" style="201" customWidth="1"/>
    <col min="12038" max="12038" width="12.42578125" style="201" customWidth="1"/>
    <col min="12039" max="12039" width="30.42578125" style="201" customWidth="1"/>
    <col min="12040" max="12040" width="16.28515625" style="201" customWidth="1"/>
    <col min="12041" max="12041" width="9.85546875" style="201" customWidth="1"/>
    <col min="12042" max="12042" width="16.28515625" style="201" customWidth="1"/>
    <col min="12043" max="12043" width="11.140625" style="201" customWidth="1"/>
    <col min="12044" max="12044" width="16.28515625" style="201" customWidth="1"/>
    <col min="12045" max="12045" width="8.5703125" style="201" customWidth="1"/>
    <col min="12046" max="12288" width="12.42578125" style="201"/>
    <col min="12289" max="12289" width="11.140625" style="201" customWidth="1"/>
    <col min="12290" max="12290" width="18.85546875" style="201" customWidth="1"/>
    <col min="12291" max="12291" width="4.7109375" style="201" customWidth="1"/>
    <col min="12292" max="12292" width="15" style="201" customWidth="1"/>
    <col min="12293" max="12293" width="22.7109375" style="201" customWidth="1"/>
    <col min="12294" max="12294" width="12.42578125" style="201" customWidth="1"/>
    <col min="12295" max="12295" width="30.42578125" style="201" customWidth="1"/>
    <col min="12296" max="12296" width="16.28515625" style="201" customWidth="1"/>
    <col min="12297" max="12297" width="9.85546875" style="201" customWidth="1"/>
    <col min="12298" max="12298" width="16.28515625" style="201" customWidth="1"/>
    <col min="12299" max="12299" width="11.140625" style="201" customWidth="1"/>
    <col min="12300" max="12300" width="16.28515625" style="201" customWidth="1"/>
    <col min="12301" max="12301" width="8.5703125" style="201" customWidth="1"/>
    <col min="12302" max="12544" width="12.42578125" style="201"/>
    <col min="12545" max="12545" width="11.140625" style="201" customWidth="1"/>
    <col min="12546" max="12546" width="18.85546875" style="201" customWidth="1"/>
    <col min="12547" max="12547" width="4.7109375" style="201" customWidth="1"/>
    <col min="12548" max="12548" width="15" style="201" customWidth="1"/>
    <col min="12549" max="12549" width="22.7109375" style="201" customWidth="1"/>
    <col min="12550" max="12550" width="12.42578125" style="201" customWidth="1"/>
    <col min="12551" max="12551" width="30.42578125" style="201" customWidth="1"/>
    <col min="12552" max="12552" width="16.28515625" style="201" customWidth="1"/>
    <col min="12553" max="12553" width="9.85546875" style="201" customWidth="1"/>
    <col min="12554" max="12554" width="16.28515625" style="201" customWidth="1"/>
    <col min="12555" max="12555" width="11.140625" style="201" customWidth="1"/>
    <col min="12556" max="12556" width="16.28515625" style="201" customWidth="1"/>
    <col min="12557" max="12557" width="8.5703125" style="201" customWidth="1"/>
    <col min="12558" max="12800" width="12.42578125" style="201"/>
    <col min="12801" max="12801" width="11.140625" style="201" customWidth="1"/>
    <col min="12802" max="12802" width="18.85546875" style="201" customWidth="1"/>
    <col min="12803" max="12803" width="4.7109375" style="201" customWidth="1"/>
    <col min="12804" max="12804" width="15" style="201" customWidth="1"/>
    <col min="12805" max="12805" width="22.7109375" style="201" customWidth="1"/>
    <col min="12806" max="12806" width="12.42578125" style="201" customWidth="1"/>
    <col min="12807" max="12807" width="30.42578125" style="201" customWidth="1"/>
    <col min="12808" max="12808" width="16.28515625" style="201" customWidth="1"/>
    <col min="12809" max="12809" width="9.85546875" style="201" customWidth="1"/>
    <col min="12810" max="12810" width="16.28515625" style="201" customWidth="1"/>
    <col min="12811" max="12811" width="11.140625" style="201" customWidth="1"/>
    <col min="12812" max="12812" width="16.28515625" style="201" customWidth="1"/>
    <col min="12813" max="12813" width="8.5703125" style="201" customWidth="1"/>
    <col min="12814" max="13056" width="12.42578125" style="201"/>
    <col min="13057" max="13057" width="11.140625" style="201" customWidth="1"/>
    <col min="13058" max="13058" width="18.85546875" style="201" customWidth="1"/>
    <col min="13059" max="13059" width="4.7109375" style="201" customWidth="1"/>
    <col min="13060" max="13060" width="15" style="201" customWidth="1"/>
    <col min="13061" max="13061" width="22.7109375" style="201" customWidth="1"/>
    <col min="13062" max="13062" width="12.42578125" style="201" customWidth="1"/>
    <col min="13063" max="13063" width="30.42578125" style="201" customWidth="1"/>
    <col min="13064" max="13064" width="16.28515625" style="201" customWidth="1"/>
    <col min="13065" max="13065" width="9.85546875" style="201" customWidth="1"/>
    <col min="13066" max="13066" width="16.28515625" style="201" customWidth="1"/>
    <col min="13067" max="13067" width="11.140625" style="201" customWidth="1"/>
    <col min="13068" max="13068" width="16.28515625" style="201" customWidth="1"/>
    <col min="13069" max="13069" width="8.5703125" style="201" customWidth="1"/>
    <col min="13070" max="13312" width="12.42578125" style="201"/>
    <col min="13313" max="13313" width="11.140625" style="201" customWidth="1"/>
    <col min="13314" max="13314" width="18.85546875" style="201" customWidth="1"/>
    <col min="13315" max="13315" width="4.7109375" style="201" customWidth="1"/>
    <col min="13316" max="13316" width="15" style="201" customWidth="1"/>
    <col min="13317" max="13317" width="22.7109375" style="201" customWidth="1"/>
    <col min="13318" max="13318" width="12.42578125" style="201" customWidth="1"/>
    <col min="13319" max="13319" width="30.42578125" style="201" customWidth="1"/>
    <col min="13320" max="13320" width="16.28515625" style="201" customWidth="1"/>
    <col min="13321" max="13321" width="9.85546875" style="201" customWidth="1"/>
    <col min="13322" max="13322" width="16.28515625" style="201" customWidth="1"/>
    <col min="13323" max="13323" width="11.140625" style="201" customWidth="1"/>
    <col min="13324" max="13324" width="16.28515625" style="201" customWidth="1"/>
    <col min="13325" max="13325" width="8.5703125" style="201" customWidth="1"/>
    <col min="13326" max="13568" width="12.42578125" style="201"/>
    <col min="13569" max="13569" width="11.140625" style="201" customWidth="1"/>
    <col min="13570" max="13570" width="18.85546875" style="201" customWidth="1"/>
    <col min="13571" max="13571" width="4.7109375" style="201" customWidth="1"/>
    <col min="13572" max="13572" width="15" style="201" customWidth="1"/>
    <col min="13573" max="13573" width="22.7109375" style="201" customWidth="1"/>
    <col min="13574" max="13574" width="12.42578125" style="201" customWidth="1"/>
    <col min="13575" max="13575" width="30.42578125" style="201" customWidth="1"/>
    <col min="13576" max="13576" width="16.28515625" style="201" customWidth="1"/>
    <col min="13577" max="13577" width="9.85546875" style="201" customWidth="1"/>
    <col min="13578" max="13578" width="16.28515625" style="201" customWidth="1"/>
    <col min="13579" max="13579" width="11.140625" style="201" customWidth="1"/>
    <col min="13580" max="13580" width="16.28515625" style="201" customWidth="1"/>
    <col min="13581" max="13581" width="8.5703125" style="201" customWidth="1"/>
    <col min="13582" max="13824" width="12.42578125" style="201"/>
    <col min="13825" max="13825" width="11.140625" style="201" customWidth="1"/>
    <col min="13826" max="13826" width="18.85546875" style="201" customWidth="1"/>
    <col min="13827" max="13827" width="4.7109375" style="201" customWidth="1"/>
    <col min="13828" max="13828" width="15" style="201" customWidth="1"/>
    <col min="13829" max="13829" width="22.7109375" style="201" customWidth="1"/>
    <col min="13830" max="13830" width="12.42578125" style="201" customWidth="1"/>
    <col min="13831" max="13831" width="30.42578125" style="201" customWidth="1"/>
    <col min="13832" max="13832" width="16.28515625" style="201" customWidth="1"/>
    <col min="13833" max="13833" width="9.85546875" style="201" customWidth="1"/>
    <col min="13834" max="13834" width="16.28515625" style="201" customWidth="1"/>
    <col min="13835" max="13835" width="11.140625" style="201" customWidth="1"/>
    <col min="13836" max="13836" width="16.28515625" style="201" customWidth="1"/>
    <col min="13837" max="13837" width="8.5703125" style="201" customWidth="1"/>
    <col min="13838" max="14080" width="12.42578125" style="201"/>
    <col min="14081" max="14081" width="11.140625" style="201" customWidth="1"/>
    <col min="14082" max="14082" width="18.85546875" style="201" customWidth="1"/>
    <col min="14083" max="14083" width="4.7109375" style="201" customWidth="1"/>
    <col min="14084" max="14084" width="15" style="201" customWidth="1"/>
    <col min="14085" max="14085" width="22.7109375" style="201" customWidth="1"/>
    <col min="14086" max="14086" width="12.42578125" style="201" customWidth="1"/>
    <col min="14087" max="14087" width="30.42578125" style="201" customWidth="1"/>
    <col min="14088" max="14088" width="16.28515625" style="201" customWidth="1"/>
    <col min="14089" max="14089" width="9.85546875" style="201" customWidth="1"/>
    <col min="14090" max="14090" width="16.28515625" style="201" customWidth="1"/>
    <col min="14091" max="14091" width="11.140625" style="201" customWidth="1"/>
    <col min="14092" max="14092" width="16.28515625" style="201" customWidth="1"/>
    <col min="14093" max="14093" width="8.5703125" style="201" customWidth="1"/>
    <col min="14094" max="14336" width="12.42578125" style="201"/>
    <col min="14337" max="14337" width="11.140625" style="201" customWidth="1"/>
    <col min="14338" max="14338" width="18.85546875" style="201" customWidth="1"/>
    <col min="14339" max="14339" width="4.7109375" style="201" customWidth="1"/>
    <col min="14340" max="14340" width="15" style="201" customWidth="1"/>
    <col min="14341" max="14341" width="22.7109375" style="201" customWidth="1"/>
    <col min="14342" max="14342" width="12.42578125" style="201" customWidth="1"/>
    <col min="14343" max="14343" width="30.42578125" style="201" customWidth="1"/>
    <col min="14344" max="14344" width="16.28515625" style="201" customWidth="1"/>
    <col min="14345" max="14345" width="9.85546875" style="201" customWidth="1"/>
    <col min="14346" max="14346" width="16.28515625" style="201" customWidth="1"/>
    <col min="14347" max="14347" width="11.140625" style="201" customWidth="1"/>
    <col min="14348" max="14348" width="16.28515625" style="201" customWidth="1"/>
    <col min="14349" max="14349" width="8.5703125" style="201" customWidth="1"/>
    <col min="14350" max="14592" width="12.42578125" style="201"/>
    <col min="14593" max="14593" width="11.140625" style="201" customWidth="1"/>
    <col min="14594" max="14594" width="18.85546875" style="201" customWidth="1"/>
    <col min="14595" max="14595" width="4.7109375" style="201" customWidth="1"/>
    <col min="14596" max="14596" width="15" style="201" customWidth="1"/>
    <col min="14597" max="14597" width="22.7109375" style="201" customWidth="1"/>
    <col min="14598" max="14598" width="12.42578125" style="201" customWidth="1"/>
    <col min="14599" max="14599" width="30.42578125" style="201" customWidth="1"/>
    <col min="14600" max="14600" width="16.28515625" style="201" customWidth="1"/>
    <col min="14601" max="14601" width="9.85546875" style="201" customWidth="1"/>
    <col min="14602" max="14602" width="16.28515625" style="201" customWidth="1"/>
    <col min="14603" max="14603" width="11.140625" style="201" customWidth="1"/>
    <col min="14604" max="14604" width="16.28515625" style="201" customWidth="1"/>
    <col min="14605" max="14605" width="8.5703125" style="201" customWidth="1"/>
    <col min="14606" max="14848" width="12.42578125" style="201"/>
    <col min="14849" max="14849" width="11.140625" style="201" customWidth="1"/>
    <col min="14850" max="14850" width="18.85546875" style="201" customWidth="1"/>
    <col min="14851" max="14851" width="4.7109375" style="201" customWidth="1"/>
    <col min="14852" max="14852" width="15" style="201" customWidth="1"/>
    <col min="14853" max="14853" width="22.7109375" style="201" customWidth="1"/>
    <col min="14854" max="14854" width="12.42578125" style="201" customWidth="1"/>
    <col min="14855" max="14855" width="30.42578125" style="201" customWidth="1"/>
    <col min="14856" max="14856" width="16.28515625" style="201" customWidth="1"/>
    <col min="14857" max="14857" width="9.85546875" style="201" customWidth="1"/>
    <col min="14858" max="14858" width="16.28515625" style="201" customWidth="1"/>
    <col min="14859" max="14859" width="11.140625" style="201" customWidth="1"/>
    <col min="14860" max="14860" width="16.28515625" style="201" customWidth="1"/>
    <col min="14861" max="14861" width="8.5703125" style="201" customWidth="1"/>
    <col min="14862" max="15104" width="12.42578125" style="201"/>
    <col min="15105" max="15105" width="11.140625" style="201" customWidth="1"/>
    <col min="15106" max="15106" width="18.85546875" style="201" customWidth="1"/>
    <col min="15107" max="15107" width="4.7109375" style="201" customWidth="1"/>
    <col min="15108" max="15108" width="15" style="201" customWidth="1"/>
    <col min="15109" max="15109" width="22.7109375" style="201" customWidth="1"/>
    <col min="15110" max="15110" width="12.42578125" style="201" customWidth="1"/>
    <col min="15111" max="15111" width="30.42578125" style="201" customWidth="1"/>
    <col min="15112" max="15112" width="16.28515625" style="201" customWidth="1"/>
    <col min="15113" max="15113" width="9.85546875" style="201" customWidth="1"/>
    <col min="15114" max="15114" width="16.28515625" style="201" customWidth="1"/>
    <col min="15115" max="15115" width="11.140625" style="201" customWidth="1"/>
    <col min="15116" max="15116" width="16.28515625" style="201" customWidth="1"/>
    <col min="15117" max="15117" width="8.5703125" style="201" customWidth="1"/>
    <col min="15118" max="15360" width="12.42578125" style="201"/>
    <col min="15361" max="15361" width="11.140625" style="201" customWidth="1"/>
    <col min="15362" max="15362" width="18.85546875" style="201" customWidth="1"/>
    <col min="15363" max="15363" width="4.7109375" style="201" customWidth="1"/>
    <col min="15364" max="15364" width="15" style="201" customWidth="1"/>
    <col min="15365" max="15365" width="22.7109375" style="201" customWidth="1"/>
    <col min="15366" max="15366" width="12.42578125" style="201" customWidth="1"/>
    <col min="15367" max="15367" width="30.42578125" style="201" customWidth="1"/>
    <col min="15368" max="15368" width="16.28515625" style="201" customWidth="1"/>
    <col min="15369" max="15369" width="9.85546875" style="201" customWidth="1"/>
    <col min="15370" max="15370" width="16.28515625" style="201" customWidth="1"/>
    <col min="15371" max="15371" width="11.140625" style="201" customWidth="1"/>
    <col min="15372" max="15372" width="16.28515625" style="201" customWidth="1"/>
    <col min="15373" max="15373" width="8.5703125" style="201" customWidth="1"/>
    <col min="15374" max="15616" width="12.42578125" style="201"/>
    <col min="15617" max="15617" width="11.140625" style="201" customWidth="1"/>
    <col min="15618" max="15618" width="18.85546875" style="201" customWidth="1"/>
    <col min="15619" max="15619" width="4.7109375" style="201" customWidth="1"/>
    <col min="15620" max="15620" width="15" style="201" customWidth="1"/>
    <col min="15621" max="15621" width="22.7109375" style="201" customWidth="1"/>
    <col min="15622" max="15622" width="12.42578125" style="201" customWidth="1"/>
    <col min="15623" max="15623" width="30.42578125" style="201" customWidth="1"/>
    <col min="15624" max="15624" width="16.28515625" style="201" customWidth="1"/>
    <col min="15625" max="15625" width="9.85546875" style="201" customWidth="1"/>
    <col min="15626" max="15626" width="16.28515625" style="201" customWidth="1"/>
    <col min="15627" max="15627" width="11.140625" style="201" customWidth="1"/>
    <col min="15628" max="15628" width="16.28515625" style="201" customWidth="1"/>
    <col min="15629" max="15629" width="8.5703125" style="201" customWidth="1"/>
    <col min="15630" max="15872" width="12.42578125" style="201"/>
    <col min="15873" max="15873" width="11.140625" style="201" customWidth="1"/>
    <col min="15874" max="15874" width="18.85546875" style="201" customWidth="1"/>
    <col min="15875" max="15875" width="4.7109375" style="201" customWidth="1"/>
    <col min="15876" max="15876" width="15" style="201" customWidth="1"/>
    <col min="15877" max="15877" width="22.7109375" style="201" customWidth="1"/>
    <col min="15878" max="15878" width="12.42578125" style="201" customWidth="1"/>
    <col min="15879" max="15879" width="30.42578125" style="201" customWidth="1"/>
    <col min="15880" max="15880" width="16.28515625" style="201" customWidth="1"/>
    <col min="15881" max="15881" width="9.85546875" style="201" customWidth="1"/>
    <col min="15882" max="15882" width="16.28515625" style="201" customWidth="1"/>
    <col min="15883" max="15883" width="11.140625" style="201" customWidth="1"/>
    <col min="15884" max="15884" width="16.28515625" style="201" customWidth="1"/>
    <col min="15885" max="15885" width="8.5703125" style="201" customWidth="1"/>
    <col min="15886" max="16128" width="12.42578125" style="201"/>
    <col min="16129" max="16129" width="11.140625" style="201" customWidth="1"/>
    <col min="16130" max="16130" width="18.85546875" style="201" customWidth="1"/>
    <col min="16131" max="16131" width="4.7109375" style="201" customWidth="1"/>
    <col min="16132" max="16132" width="15" style="201" customWidth="1"/>
    <col min="16133" max="16133" width="22.7109375" style="201" customWidth="1"/>
    <col min="16134" max="16134" width="12.42578125" style="201" customWidth="1"/>
    <col min="16135" max="16135" width="30.42578125" style="201" customWidth="1"/>
    <col min="16136" max="16136" width="16.28515625" style="201" customWidth="1"/>
    <col min="16137" max="16137" width="9.85546875" style="201" customWidth="1"/>
    <col min="16138" max="16138" width="16.28515625" style="201" customWidth="1"/>
    <col min="16139" max="16139" width="11.140625" style="201" customWidth="1"/>
    <col min="16140" max="16140" width="16.28515625" style="201" customWidth="1"/>
    <col min="16141" max="16141" width="8.5703125" style="201" customWidth="1"/>
    <col min="16142" max="16384" width="12.42578125" style="201"/>
  </cols>
  <sheetData>
    <row r="1" spans="1:256" ht="16.5" x14ac:dyDescent="0.25">
      <c r="A1" s="238" t="s">
        <v>265</v>
      </c>
      <c r="B1" s="239"/>
      <c r="C1" s="238"/>
      <c r="D1" s="238"/>
      <c r="E1" s="239"/>
      <c r="F1" s="239" t="s">
        <v>266</v>
      </c>
      <c r="G1" s="199"/>
      <c r="H1" s="199"/>
      <c r="I1" s="158"/>
      <c r="J1" s="235" t="s">
        <v>516</v>
      </c>
      <c r="K1" s="158"/>
      <c r="M1" s="200"/>
      <c r="N1" s="200"/>
    </row>
    <row r="2" spans="1:256" ht="17.25" thickBot="1" x14ac:dyDescent="0.3">
      <c r="A2" s="158"/>
      <c r="B2" s="158"/>
      <c r="C2" s="158"/>
      <c r="D2" s="158"/>
      <c r="E2" s="158"/>
      <c r="F2" s="158"/>
      <c r="G2" s="158"/>
      <c r="H2" s="158"/>
      <c r="I2" s="158"/>
      <c r="J2" s="266" t="s">
        <v>298</v>
      </c>
      <c r="K2" s="245" t="str">
        <f>'A-1 Estimated Revenue Req.'!$E$1</f>
        <v>20190156-EI</v>
      </c>
      <c r="M2" s="158"/>
      <c r="N2" s="200"/>
    </row>
    <row r="3" spans="1:256" ht="16.5" x14ac:dyDescent="0.25">
      <c r="A3" s="202"/>
      <c r="B3" s="202"/>
      <c r="C3" s="202"/>
      <c r="D3" s="202"/>
      <c r="E3" s="202"/>
      <c r="F3" s="202"/>
      <c r="G3" s="202"/>
      <c r="H3" s="202"/>
      <c r="I3" s="202"/>
      <c r="J3" s="202"/>
      <c r="K3" s="202"/>
      <c r="L3" s="202"/>
      <c r="M3" s="202"/>
      <c r="N3" s="200"/>
    </row>
    <row r="4" spans="1:256" ht="16.5" x14ac:dyDescent="0.25">
      <c r="A4" s="158" t="s">
        <v>110</v>
      </c>
      <c r="B4" s="158"/>
      <c r="C4" s="158"/>
      <c r="D4" s="158"/>
      <c r="E4" s="199" t="s">
        <v>225</v>
      </c>
      <c r="F4" s="199" t="s">
        <v>267</v>
      </c>
      <c r="G4" s="199"/>
      <c r="H4" s="199"/>
      <c r="I4" s="157"/>
      <c r="J4" s="158" t="s">
        <v>113</v>
      </c>
      <c r="K4" s="158"/>
      <c r="L4" s="158"/>
      <c r="M4" s="158"/>
      <c r="N4" s="200"/>
    </row>
    <row r="5" spans="1:256" ht="16.5" x14ac:dyDescent="0.25">
      <c r="A5" s="158"/>
      <c r="B5" s="158"/>
      <c r="C5" s="158"/>
      <c r="D5" s="158"/>
      <c r="E5" s="158"/>
      <c r="F5" s="199" t="s">
        <v>268</v>
      </c>
      <c r="G5" s="199"/>
      <c r="H5" s="199"/>
      <c r="I5" s="203"/>
      <c r="J5" s="158"/>
      <c r="K5" s="158"/>
      <c r="L5" s="158"/>
      <c r="M5" s="158"/>
      <c r="N5" s="200"/>
    </row>
    <row r="6" spans="1:256" ht="16.5" x14ac:dyDescent="0.25">
      <c r="A6" s="48" t="s">
        <v>115</v>
      </c>
      <c r="B6" s="48"/>
      <c r="C6" s="158"/>
      <c r="D6" s="158"/>
      <c r="E6" s="199"/>
      <c r="F6" s="199"/>
      <c r="G6" s="199"/>
      <c r="H6" s="199"/>
      <c r="I6" s="203"/>
      <c r="J6" s="158"/>
      <c r="K6" s="158"/>
      <c r="L6" s="158"/>
      <c r="M6" s="158"/>
      <c r="N6" s="200"/>
    </row>
    <row r="7" spans="1:256" ht="16.5" x14ac:dyDescent="0.25">
      <c r="A7" s="48"/>
      <c r="B7" s="48" t="s">
        <v>117</v>
      </c>
      <c r="C7" s="158"/>
      <c r="D7" s="158"/>
      <c r="E7" s="199"/>
      <c r="F7" s="199" t="s">
        <v>269</v>
      </c>
      <c r="G7" s="199"/>
      <c r="H7" s="199"/>
      <c r="I7" s="203"/>
      <c r="J7" s="158" t="str">
        <f>'B-1'!O5</f>
        <v>Projected Test Year Ended December 31, 2020</v>
      </c>
      <c r="K7" s="158"/>
      <c r="L7" s="158"/>
      <c r="M7" s="158"/>
      <c r="N7" s="200"/>
    </row>
    <row r="8" spans="1:256" ht="16.5" x14ac:dyDescent="0.25">
      <c r="A8" s="48"/>
      <c r="B8" s="158"/>
      <c r="C8" s="158"/>
      <c r="D8" s="158"/>
      <c r="E8" s="158"/>
      <c r="F8" s="199" t="s">
        <v>268</v>
      </c>
      <c r="G8" s="199"/>
      <c r="H8" s="199"/>
      <c r="I8" s="157"/>
      <c r="J8" s="159"/>
      <c r="K8" s="158"/>
      <c r="L8" s="158"/>
      <c r="M8" s="158"/>
      <c r="N8" s="200"/>
    </row>
    <row r="9" spans="1:256" ht="17.25" thickBot="1" x14ac:dyDescent="0.3">
      <c r="A9" s="158"/>
      <c r="B9" s="158"/>
      <c r="C9" s="158"/>
      <c r="D9" s="158"/>
      <c r="E9" s="199"/>
      <c r="F9" s="199"/>
      <c r="G9" s="199"/>
      <c r="H9" s="199"/>
      <c r="I9" s="158"/>
      <c r="J9" s="158"/>
      <c r="K9" s="158"/>
      <c r="L9" s="158"/>
      <c r="M9" s="158"/>
      <c r="N9" s="200"/>
    </row>
    <row r="10" spans="1:256" ht="16.5" x14ac:dyDescent="0.25">
      <c r="A10" s="202"/>
      <c r="B10" s="202"/>
      <c r="C10" s="202"/>
      <c r="D10" s="202"/>
      <c r="E10" s="202"/>
      <c r="F10" s="202"/>
      <c r="G10" s="202"/>
      <c r="H10" s="202"/>
      <c r="I10" s="202"/>
      <c r="J10" s="202"/>
      <c r="K10" s="202"/>
      <c r="L10" s="202"/>
      <c r="M10" s="202"/>
      <c r="N10" s="200"/>
    </row>
    <row r="11" spans="1:256" ht="16.5" x14ac:dyDescent="0.25">
      <c r="A11" s="199"/>
      <c r="B11" s="199"/>
      <c r="C11" s="199"/>
      <c r="D11" s="199"/>
      <c r="E11" s="204"/>
      <c r="F11" s="204"/>
      <c r="G11" s="204"/>
      <c r="H11" s="204"/>
      <c r="I11" s="204"/>
      <c r="J11" s="204"/>
      <c r="K11" s="204"/>
      <c r="L11" s="204"/>
      <c r="M11" s="204"/>
      <c r="N11" s="200"/>
    </row>
    <row r="12" spans="1:256" ht="16.5" x14ac:dyDescent="0.25">
      <c r="A12" s="199"/>
      <c r="B12" s="199"/>
      <c r="C12" s="199"/>
      <c r="D12" s="199"/>
      <c r="E12" s="199"/>
      <c r="F12" s="199"/>
      <c r="G12" s="199"/>
      <c r="H12" s="199"/>
      <c r="I12" s="199"/>
      <c r="J12" s="199"/>
      <c r="K12" s="199"/>
      <c r="L12" s="199"/>
      <c r="M12" s="199"/>
      <c r="N12" s="200"/>
    </row>
    <row r="13" spans="1:256" ht="16.5" x14ac:dyDescent="0.25">
      <c r="A13" s="199"/>
      <c r="D13" s="205"/>
      <c r="E13" s="205"/>
      <c r="F13" s="205"/>
      <c r="G13" s="205"/>
      <c r="H13" s="205"/>
      <c r="I13" s="205"/>
      <c r="J13" s="205"/>
      <c r="K13" s="205"/>
      <c r="L13" s="205"/>
      <c r="N13" s="206"/>
      <c r="O13" s="206"/>
      <c r="P13" s="206"/>
      <c r="Q13" s="207"/>
      <c r="R13" s="206"/>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c r="BV13" s="207"/>
      <c r="BW13" s="207"/>
      <c r="BX13" s="207"/>
      <c r="BY13" s="207"/>
      <c r="BZ13" s="207"/>
      <c r="CA13" s="207"/>
      <c r="CB13" s="207"/>
      <c r="CC13" s="207"/>
      <c r="CD13" s="207"/>
      <c r="CE13" s="207"/>
      <c r="CF13" s="207"/>
      <c r="CG13" s="207"/>
      <c r="CH13" s="207"/>
      <c r="CI13" s="207"/>
      <c r="CJ13" s="207"/>
      <c r="CK13" s="207"/>
      <c r="CL13" s="207"/>
      <c r="CM13" s="207"/>
      <c r="CN13" s="207"/>
      <c r="CO13" s="207"/>
      <c r="CP13" s="207"/>
      <c r="CQ13" s="207"/>
      <c r="CR13" s="207"/>
      <c r="CS13" s="207"/>
      <c r="CT13" s="207"/>
      <c r="CU13" s="207"/>
      <c r="CV13" s="207"/>
      <c r="CW13" s="207"/>
      <c r="CX13" s="207"/>
      <c r="CY13" s="207"/>
      <c r="CZ13" s="207"/>
      <c r="DA13" s="207"/>
      <c r="DB13" s="207"/>
      <c r="DC13" s="207"/>
      <c r="DD13" s="207"/>
      <c r="DE13" s="207"/>
      <c r="DF13" s="207"/>
      <c r="DG13" s="207"/>
      <c r="DH13" s="207"/>
      <c r="DI13" s="207"/>
      <c r="DJ13" s="207"/>
      <c r="DK13" s="207"/>
      <c r="DL13" s="207"/>
      <c r="DM13" s="207"/>
      <c r="DN13" s="207"/>
      <c r="DO13" s="207"/>
      <c r="DP13" s="207"/>
      <c r="DQ13" s="207"/>
      <c r="DR13" s="207"/>
      <c r="DS13" s="207"/>
      <c r="DT13" s="207"/>
      <c r="DU13" s="207"/>
      <c r="DV13" s="207"/>
      <c r="DW13" s="207"/>
      <c r="DX13" s="207"/>
      <c r="DY13" s="207"/>
      <c r="DZ13" s="207"/>
      <c r="EA13" s="207"/>
      <c r="EB13" s="207"/>
      <c r="EC13" s="207"/>
      <c r="ED13" s="207"/>
      <c r="EE13" s="207"/>
      <c r="EF13" s="207"/>
      <c r="EG13" s="207"/>
      <c r="EH13" s="207"/>
      <c r="EI13" s="207"/>
      <c r="EJ13" s="207"/>
      <c r="EK13" s="207"/>
      <c r="EL13" s="207"/>
      <c r="EM13" s="207"/>
      <c r="EN13" s="207"/>
      <c r="EO13" s="207"/>
      <c r="EP13" s="207"/>
      <c r="EQ13" s="207"/>
      <c r="ER13" s="207"/>
      <c r="ES13" s="207"/>
      <c r="ET13" s="207"/>
      <c r="EU13" s="207"/>
      <c r="EV13" s="207"/>
      <c r="EW13" s="207"/>
      <c r="EX13" s="207"/>
      <c r="EY13" s="207"/>
      <c r="EZ13" s="207"/>
      <c r="FA13" s="207"/>
      <c r="FB13" s="207"/>
      <c r="FC13" s="207"/>
      <c r="FD13" s="207"/>
      <c r="FE13" s="207"/>
      <c r="FF13" s="207"/>
      <c r="FG13" s="207"/>
      <c r="FH13" s="207"/>
      <c r="FI13" s="207"/>
      <c r="FJ13" s="207"/>
      <c r="FK13" s="207"/>
      <c r="FL13" s="207"/>
      <c r="FM13" s="207"/>
      <c r="FN13" s="207"/>
      <c r="FO13" s="207"/>
      <c r="FP13" s="207"/>
      <c r="FQ13" s="207"/>
      <c r="FR13" s="207"/>
      <c r="FS13" s="207"/>
      <c r="FT13" s="207"/>
      <c r="FU13" s="207"/>
      <c r="FV13" s="207"/>
      <c r="FW13" s="207"/>
      <c r="FX13" s="207"/>
      <c r="FY13" s="207"/>
      <c r="FZ13" s="207"/>
      <c r="GA13" s="207"/>
      <c r="GB13" s="207"/>
      <c r="GC13" s="207"/>
      <c r="GD13" s="207"/>
      <c r="GE13" s="207"/>
      <c r="GF13" s="207"/>
      <c r="GG13" s="207"/>
      <c r="GH13" s="207"/>
      <c r="GI13" s="207"/>
      <c r="GJ13" s="207"/>
      <c r="GK13" s="207"/>
      <c r="GL13" s="207"/>
      <c r="GM13" s="207"/>
      <c r="GN13" s="207"/>
      <c r="GO13" s="207"/>
      <c r="GP13" s="207"/>
      <c r="GQ13" s="207"/>
      <c r="GR13" s="207"/>
      <c r="GS13" s="207"/>
      <c r="GT13" s="207"/>
      <c r="GU13" s="207"/>
      <c r="GV13" s="207"/>
      <c r="GW13" s="207"/>
      <c r="GX13" s="207"/>
      <c r="GY13" s="207"/>
      <c r="GZ13" s="207"/>
      <c r="HA13" s="207"/>
      <c r="HB13" s="207"/>
      <c r="HC13" s="207"/>
      <c r="HD13" s="207"/>
      <c r="HE13" s="207"/>
      <c r="HF13" s="207"/>
      <c r="HG13" s="207"/>
      <c r="HH13" s="207"/>
      <c r="HI13" s="207"/>
      <c r="HJ13" s="207"/>
      <c r="HK13" s="207"/>
      <c r="HL13" s="207"/>
      <c r="HM13" s="207"/>
      <c r="HN13" s="207"/>
      <c r="HO13" s="207"/>
      <c r="HP13" s="207"/>
      <c r="HQ13" s="207"/>
      <c r="HR13" s="207"/>
      <c r="HS13" s="207"/>
      <c r="HT13" s="207"/>
      <c r="HU13" s="207"/>
      <c r="HV13" s="207"/>
      <c r="HW13" s="207"/>
      <c r="HX13" s="207"/>
      <c r="HY13" s="207"/>
      <c r="HZ13" s="207"/>
      <c r="IA13" s="207"/>
      <c r="IB13" s="207"/>
      <c r="IC13" s="207"/>
      <c r="ID13" s="207"/>
      <c r="IE13" s="207"/>
      <c r="IF13" s="207"/>
      <c r="IG13" s="207"/>
      <c r="IH13" s="207"/>
      <c r="II13" s="207"/>
      <c r="IJ13" s="207"/>
      <c r="IK13" s="207"/>
      <c r="IL13" s="207"/>
      <c r="IM13" s="207"/>
      <c r="IN13" s="207"/>
      <c r="IO13" s="207"/>
      <c r="IP13" s="207"/>
      <c r="IQ13" s="207"/>
      <c r="IR13" s="207"/>
      <c r="IS13" s="207"/>
      <c r="IT13" s="207"/>
      <c r="IU13" s="207"/>
      <c r="IV13" s="207"/>
    </row>
    <row r="14" spans="1:256" ht="16.5" x14ac:dyDescent="0.25">
      <c r="A14" s="199"/>
      <c r="B14" s="199"/>
      <c r="C14" s="199"/>
      <c r="D14" s="199"/>
      <c r="E14" s="199"/>
      <c r="F14" s="199"/>
      <c r="G14" s="208"/>
      <c r="H14" s="208"/>
      <c r="I14" s="199"/>
      <c r="J14" s="208"/>
      <c r="K14" s="208"/>
      <c r="L14" s="208"/>
      <c r="M14" s="208"/>
      <c r="N14" s="206"/>
      <c r="O14" s="206"/>
      <c r="P14" s="206"/>
      <c r="Q14" s="206"/>
      <c r="R14" s="206"/>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7"/>
      <c r="DD14" s="207"/>
      <c r="DE14" s="207"/>
      <c r="DF14" s="207"/>
      <c r="DG14" s="207"/>
      <c r="DH14" s="207"/>
      <c r="DI14" s="207"/>
      <c r="DJ14" s="207"/>
      <c r="DK14" s="207"/>
      <c r="DL14" s="207"/>
      <c r="DM14" s="207"/>
      <c r="DN14" s="207"/>
      <c r="DO14" s="207"/>
      <c r="DP14" s="207"/>
      <c r="DQ14" s="207"/>
      <c r="DR14" s="207"/>
      <c r="DS14" s="207"/>
      <c r="DT14" s="207"/>
      <c r="DU14" s="207"/>
      <c r="DV14" s="207"/>
      <c r="DW14" s="207"/>
      <c r="DX14" s="207"/>
      <c r="DY14" s="207"/>
      <c r="DZ14" s="207"/>
      <c r="EA14" s="207"/>
      <c r="EB14" s="207"/>
      <c r="EC14" s="207"/>
      <c r="ED14" s="207"/>
      <c r="EE14" s="207"/>
      <c r="EF14" s="207"/>
      <c r="EG14" s="207"/>
      <c r="EH14" s="207"/>
      <c r="EI14" s="207"/>
      <c r="EJ14" s="207"/>
      <c r="EK14" s="207"/>
      <c r="EL14" s="207"/>
      <c r="EM14" s="207"/>
      <c r="EN14" s="207"/>
      <c r="EO14" s="207"/>
      <c r="EP14" s="207"/>
      <c r="EQ14" s="207"/>
      <c r="ER14" s="207"/>
      <c r="ES14" s="207"/>
      <c r="ET14" s="207"/>
      <c r="EU14" s="207"/>
      <c r="EV14" s="207"/>
      <c r="EW14" s="207"/>
      <c r="EX14" s="207"/>
      <c r="EY14" s="207"/>
      <c r="EZ14" s="207"/>
      <c r="FA14" s="207"/>
      <c r="FB14" s="207"/>
      <c r="FC14" s="207"/>
      <c r="FD14" s="207"/>
      <c r="FE14" s="207"/>
      <c r="FF14" s="207"/>
      <c r="FG14" s="207"/>
      <c r="FH14" s="207"/>
      <c r="FI14" s="207"/>
      <c r="FJ14" s="207"/>
      <c r="FK14" s="207"/>
      <c r="FL14" s="207"/>
      <c r="FM14" s="207"/>
      <c r="FN14" s="207"/>
      <c r="FO14" s="207"/>
      <c r="FP14" s="207"/>
      <c r="FQ14" s="207"/>
      <c r="FR14" s="207"/>
      <c r="FS14" s="207"/>
      <c r="FT14" s="207"/>
      <c r="FU14" s="207"/>
      <c r="FV14" s="207"/>
      <c r="FW14" s="207"/>
      <c r="FX14" s="207"/>
      <c r="FY14" s="207"/>
      <c r="FZ14" s="207"/>
      <c r="GA14" s="207"/>
      <c r="GB14" s="207"/>
      <c r="GC14" s="207"/>
      <c r="GD14" s="207"/>
      <c r="GE14" s="207"/>
      <c r="GF14" s="207"/>
      <c r="GG14" s="207"/>
      <c r="GH14" s="207"/>
      <c r="GI14" s="207"/>
      <c r="GJ14" s="207"/>
      <c r="GK14" s="207"/>
      <c r="GL14" s="207"/>
      <c r="GM14" s="207"/>
      <c r="GN14" s="207"/>
      <c r="GO14" s="207"/>
      <c r="GP14" s="207"/>
      <c r="GQ14" s="207"/>
      <c r="GR14" s="207"/>
      <c r="GS14" s="207"/>
      <c r="GT14" s="207"/>
      <c r="GU14" s="207"/>
      <c r="GV14" s="207"/>
      <c r="GW14" s="207"/>
      <c r="GX14" s="207"/>
      <c r="GY14" s="207"/>
      <c r="GZ14" s="207"/>
      <c r="HA14" s="207"/>
      <c r="HB14" s="207"/>
      <c r="HC14" s="207"/>
      <c r="HD14" s="207"/>
      <c r="HE14" s="207"/>
      <c r="HF14" s="207"/>
      <c r="HG14" s="207"/>
      <c r="HH14" s="207"/>
      <c r="HI14" s="207"/>
      <c r="HJ14" s="207"/>
      <c r="HK14" s="207"/>
      <c r="HL14" s="207"/>
      <c r="HM14" s="207"/>
      <c r="HN14" s="207"/>
      <c r="HO14" s="207"/>
      <c r="HP14" s="207"/>
      <c r="HQ14" s="207"/>
      <c r="HR14" s="207"/>
      <c r="HS14" s="207"/>
      <c r="HT14" s="207"/>
      <c r="HU14" s="207"/>
      <c r="HV14" s="207"/>
      <c r="HW14" s="207"/>
      <c r="HX14" s="207"/>
      <c r="HY14" s="207"/>
      <c r="HZ14" s="207"/>
      <c r="IA14" s="207"/>
      <c r="IB14" s="207"/>
      <c r="IC14" s="207"/>
      <c r="ID14" s="207"/>
      <c r="IE14" s="207"/>
      <c r="IF14" s="207"/>
      <c r="IG14" s="207"/>
      <c r="IH14" s="207"/>
      <c r="II14" s="207"/>
      <c r="IJ14" s="207"/>
      <c r="IK14" s="207"/>
      <c r="IL14" s="207"/>
      <c r="IM14" s="207"/>
      <c r="IN14" s="207"/>
      <c r="IO14" s="207"/>
      <c r="IP14" s="207"/>
      <c r="IQ14" s="207"/>
      <c r="IR14" s="207"/>
      <c r="IS14" s="207"/>
      <c r="IT14" s="207"/>
      <c r="IU14" s="207"/>
      <c r="IV14" s="207"/>
    </row>
    <row r="15" spans="1:256" ht="16.5" x14ac:dyDescent="0.25">
      <c r="A15" s="205" t="s">
        <v>131</v>
      </c>
      <c r="B15" s="205"/>
      <c r="C15" s="205"/>
      <c r="D15" s="209"/>
      <c r="E15" s="205"/>
      <c r="F15" s="205"/>
      <c r="G15" s="209"/>
      <c r="H15" s="205"/>
      <c r="J15" s="205"/>
      <c r="K15" s="205"/>
      <c r="L15" s="209"/>
      <c r="M15" s="205"/>
      <c r="N15" s="210"/>
      <c r="O15" s="210"/>
      <c r="P15" s="210"/>
      <c r="Q15" s="211"/>
      <c r="R15" s="210"/>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1"/>
      <c r="CB15" s="211"/>
      <c r="CC15" s="211"/>
      <c r="CD15" s="211"/>
      <c r="CE15" s="211"/>
      <c r="CF15" s="211"/>
      <c r="CG15" s="211"/>
      <c r="CH15" s="211"/>
      <c r="CI15" s="211"/>
      <c r="CJ15" s="211"/>
      <c r="CK15" s="211"/>
      <c r="CL15" s="211"/>
      <c r="CM15" s="211"/>
      <c r="CN15" s="211"/>
      <c r="CO15" s="211"/>
      <c r="CP15" s="211"/>
      <c r="CQ15" s="211"/>
      <c r="CR15" s="211"/>
      <c r="CS15" s="211"/>
      <c r="CT15" s="211"/>
      <c r="CU15" s="211"/>
      <c r="CV15" s="211"/>
      <c r="CW15" s="211"/>
      <c r="CX15" s="211"/>
      <c r="CY15" s="211"/>
      <c r="CZ15" s="211"/>
      <c r="DA15" s="211"/>
      <c r="DB15" s="211"/>
      <c r="DC15" s="211"/>
      <c r="DD15" s="211"/>
      <c r="DE15" s="211"/>
      <c r="DF15" s="211"/>
      <c r="DG15" s="211"/>
      <c r="DH15" s="211"/>
      <c r="DI15" s="211"/>
      <c r="DJ15" s="211"/>
      <c r="DK15" s="211"/>
      <c r="DL15" s="211"/>
      <c r="DM15" s="211"/>
      <c r="DN15" s="211"/>
      <c r="DO15" s="211"/>
      <c r="DP15" s="211"/>
      <c r="DQ15" s="211"/>
      <c r="DR15" s="211"/>
      <c r="DS15" s="211"/>
      <c r="DT15" s="211"/>
      <c r="DU15" s="211"/>
      <c r="DV15" s="211"/>
      <c r="DW15" s="211"/>
      <c r="DX15" s="211"/>
      <c r="DY15" s="211"/>
      <c r="DZ15" s="211"/>
      <c r="EA15" s="211"/>
      <c r="EB15" s="211"/>
      <c r="EC15" s="211"/>
      <c r="ED15" s="211"/>
      <c r="EE15" s="211"/>
      <c r="EF15" s="211"/>
      <c r="EG15" s="211"/>
      <c r="EH15" s="211"/>
      <c r="EI15" s="211"/>
      <c r="EJ15" s="211"/>
      <c r="EK15" s="211"/>
      <c r="EL15" s="211"/>
      <c r="EM15" s="211"/>
      <c r="EN15" s="211"/>
      <c r="EO15" s="211"/>
      <c r="EP15" s="211"/>
      <c r="EQ15" s="211"/>
      <c r="ER15" s="211"/>
      <c r="ES15" s="211"/>
      <c r="ET15" s="211"/>
      <c r="EU15" s="211"/>
      <c r="EV15" s="211"/>
      <c r="EW15" s="211"/>
      <c r="EX15" s="211"/>
      <c r="EY15" s="211"/>
      <c r="EZ15" s="211"/>
      <c r="FA15" s="211"/>
      <c r="FB15" s="211"/>
      <c r="FC15" s="211"/>
      <c r="FD15" s="211"/>
      <c r="FE15" s="211"/>
      <c r="FF15" s="211"/>
      <c r="FG15" s="211"/>
      <c r="FH15" s="211"/>
      <c r="FI15" s="211"/>
      <c r="FJ15" s="211"/>
      <c r="FK15" s="211"/>
      <c r="FL15" s="211"/>
      <c r="FM15" s="211"/>
      <c r="FN15" s="211"/>
      <c r="FO15" s="211"/>
      <c r="FP15" s="211"/>
      <c r="FQ15" s="211"/>
      <c r="FR15" s="211"/>
      <c r="FS15" s="211"/>
      <c r="FT15" s="211"/>
      <c r="FU15" s="211"/>
      <c r="FV15" s="211"/>
      <c r="FW15" s="211"/>
      <c r="FX15" s="211"/>
      <c r="FY15" s="211"/>
      <c r="FZ15" s="211"/>
      <c r="GA15" s="211"/>
      <c r="GB15" s="211"/>
      <c r="GC15" s="211"/>
      <c r="GD15" s="211"/>
      <c r="GE15" s="211"/>
      <c r="GF15" s="211"/>
      <c r="GG15" s="211"/>
      <c r="GH15" s="211"/>
      <c r="GI15" s="211"/>
      <c r="GJ15" s="211"/>
      <c r="GK15" s="211"/>
      <c r="GL15" s="211"/>
      <c r="GM15" s="211"/>
      <c r="GN15" s="211"/>
      <c r="GO15" s="211"/>
      <c r="GP15" s="211"/>
      <c r="GQ15" s="211"/>
      <c r="GR15" s="211"/>
      <c r="GS15" s="211"/>
      <c r="GT15" s="211"/>
      <c r="GU15" s="211"/>
      <c r="GV15" s="211"/>
      <c r="GW15" s="211"/>
      <c r="GX15" s="211"/>
      <c r="GY15" s="211"/>
      <c r="GZ15" s="211"/>
      <c r="HA15" s="211"/>
      <c r="HB15" s="211"/>
      <c r="HC15" s="211"/>
      <c r="HD15" s="211"/>
      <c r="HE15" s="211"/>
      <c r="HF15" s="211"/>
      <c r="HG15" s="211"/>
      <c r="HH15" s="211"/>
      <c r="HI15" s="211"/>
      <c r="HJ15" s="211"/>
      <c r="HK15" s="211"/>
      <c r="HL15" s="211"/>
      <c r="HM15" s="211"/>
      <c r="HN15" s="211"/>
      <c r="HO15" s="211"/>
      <c r="HP15" s="211"/>
      <c r="HQ15" s="211"/>
      <c r="HR15" s="211"/>
      <c r="HS15" s="211"/>
      <c r="HT15" s="211"/>
      <c r="HU15" s="211"/>
      <c r="HV15" s="211"/>
      <c r="HW15" s="211"/>
      <c r="HX15" s="211"/>
      <c r="HY15" s="211"/>
      <c r="HZ15" s="211"/>
      <c r="IA15" s="211"/>
      <c r="IB15" s="211"/>
      <c r="IC15" s="211"/>
      <c r="ID15" s="211"/>
      <c r="IE15" s="211"/>
      <c r="IF15" s="211"/>
      <c r="IG15" s="211"/>
      <c r="IH15" s="211"/>
      <c r="II15" s="211"/>
      <c r="IJ15" s="211"/>
      <c r="IK15" s="211"/>
      <c r="IL15" s="211"/>
      <c r="IM15" s="211"/>
      <c r="IN15" s="211"/>
      <c r="IO15" s="207"/>
      <c r="IP15" s="207"/>
      <c r="IQ15" s="207"/>
      <c r="IR15" s="207"/>
      <c r="IS15" s="207"/>
      <c r="IT15" s="207"/>
      <c r="IU15" s="207"/>
      <c r="IV15" s="207"/>
    </row>
    <row r="16" spans="1:256" ht="16.5" x14ac:dyDescent="0.25">
      <c r="A16" s="205" t="s">
        <v>141</v>
      </c>
      <c r="B16" s="205" t="s">
        <v>245</v>
      </c>
      <c r="C16" s="205"/>
      <c r="D16" s="205"/>
      <c r="E16" s="212" t="s">
        <v>270</v>
      </c>
      <c r="F16" s="205"/>
      <c r="G16" s="205"/>
      <c r="H16" s="205"/>
      <c r="J16" s="205"/>
      <c r="K16" s="205"/>
      <c r="L16" s="205"/>
      <c r="M16" s="205"/>
      <c r="N16" s="210"/>
      <c r="O16" s="210"/>
      <c r="P16" s="210"/>
      <c r="Q16" s="210"/>
      <c r="R16" s="210"/>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11"/>
      <c r="BV16" s="211"/>
      <c r="BW16" s="211"/>
      <c r="BX16" s="211"/>
      <c r="BY16" s="211"/>
      <c r="BZ16" s="211"/>
      <c r="CA16" s="211"/>
      <c r="CB16" s="211"/>
      <c r="CC16" s="211"/>
      <c r="CD16" s="211"/>
      <c r="CE16" s="211"/>
      <c r="CF16" s="211"/>
      <c r="CG16" s="211"/>
      <c r="CH16" s="211"/>
      <c r="CI16" s="211"/>
      <c r="CJ16" s="211"/>
      <c r="CK16" s="211"/>
      <c r="CL16" s="211"/>
      <c r="CM16" s="211"/>
      <c r="CN16" s="211"/>
      <c r="CO16" s="211"/>
      <c r="CP16" s="211"/>
      <c r="CQ16" s="211"/>
      <c r="CR16" s="211"/>
      <c r="CS16" s="211"/>
      <c r="CT16" s="211"/>
      <c r="CU16" s="211"/>
      <c r="CV16" s="211"/>
      <c r="CW16" s="211"/>
      <c r="CX16" s="211"/>
      <c r="CY16" s="211"/>
      <c r="CZ16" s="211"/>
      <c r="DA16" s="211"/>
      <c r="DB16" s="211"/>
      <c r="DC16" s="211"/>
      <c r="DD16" s="211"/>
      <c r="DE16" s="211"/>
      <c r="DF16" s="211"/>
      <c r="DG16" s="211"/>
      <c r="DH16" s="211"/>
      <c r="DI16" s="211"/>
      <c r="DJ16" s="211"/>
      <c r="DK16" s="211"/>
      <c r="DL16" s="211"/>
      <c r="DM16" s="211"/>
      <c r="DN16" s="211"/>
      <c r="DO16" s="211"/>
      <c r="DP16" s="211"/>
      <c r="DQ16" s="211"/>
      <c r="DR16" s="211"/>
      <c r="DS16" s="211"/>
      <c r="DT16" s="211"/>
      <c r="DU16" s="211"/>
      <c r="DV16" s="211"/>
      <c r="DW16" s="211"/>
      <c r="DX16" s="211"/>
      <c r="DY16" s="211"/>
      <c r="DZ16" s="211"/>
      <c r="EA16" s="211"/>
      <c r="EB16" s="211"/>
      <c r="EC16" s="211"/>
      <c r="ED16" s="211"/>
      <c r="EE16" s="211"/>
      <c r="EF16" s="211"/>
      <c r="EG16" s="211"/>
      <c r="EH16" s="211"/>
      <c r="EI16" s="211"/>
      <c r="EJ16" s="211"/>
      <c r="EK16" s="211"/>
      <c r="EL16" s="211"/>
      <c r="EM16" s="211"/>
      <c r="EN16" s="211"/>
      <c r="EO16" s="211"/>
      <c r="EP16" s="211"/>
      <c r="EQ16" s="211"/>
      <c r="ER16" s="211"/>
      <c r="ES16" s="211"/>
      <c r="ET16" s="211"/>
      <c r="EU16" s="211"/>
      <c r="EV16" s="211"/>
      <c r="EW16" s="211"/>
      <c r="EX16" s="211"/>
      <c r="EY16" s="211"/>
      <c r="EZ16" s="211"/>
      <c r="FA16" s="211"/>
      <c r="FB16" s="211"/>
      <c r="FC16" s="211"/>
      <c r="FD16" s="211"/>
      <c r="FE16" s="211"/>
      <c r="FF16" s="211"/>
      <c r="FG16" s="211"/>
      <c r="FH16" s="211"/>
      <c r="FI16" s="211"/>
      <c r="FJ16" s="211"/>
      <c r="FK16" s="211"/>
      <c r="FL16" s="211"/>
      <c r="FM16" s="211"/>
      <c r="FN16" s="211"/>
      <c r="FO16" s="211"/>
      <c r="FP16" s="211"/>
      <c r="FQ16" s="211"/>
      <c r="FR16" s="211"/>
      <c r="FS16" s="211"/>
      <c r="FT16" s="211"/>
      <c r="FU16" s="211"/>
      <c r="FV16" s="211"/>
      <c r="FW16" s="211"/>
      <c r="FX16" s="211"/>
      <c r="FY16" s="211"/>
      <c r="FZ16" s="211"/>
      <c r="GA16" s="211"/>
      <c r="GB16" s="211"/>
      <c r="GC16" s="211"/>
      <c r="GD16" s="211"/>
      <c r="GE16" s="211"/>
      <c r="GF16" s="211"/>
      <c r="GG16" s="211"/>
      <c r="GH16" s="211"/>
      <c r="GI16" s="211"/>
      <c r="GJ16" s="211"/>
      <c r="GK16" s="211"/>
      <c r="GL16" s="211"/>
      <c r="GM16" s="211"/>
      <c r="GN16" s="211"/>
      <c r="GO16" s="211"/>
      <c r="GP16" s="211"/>
      <c r="GQ16" s="211"/>
      <c r="GR16" s="211"/>
      <c r="GS16" s="211"/>
      <c r="GT16" s="211"/>
      <c r="GU16" s="211"/>
      <c r="GV16" s="211"/>
      <c r="GW16" s="211"/>
      <c r="GX16" s="211"/>
      <c r="GY16" s="211"/>
      <c r="GZ16" s="211"/>
      <c r="HA16" s="211"/>
      <c r="HB16" s="211"/>
      <c r="HC16" s="211"/>
      <c r="HD16" s="211"/>
      <c r="HE16" s="211"/>
      <c r="HF16" s="211"/>
      <c r="HG16" s="211"/>
      <c r="HH16" s="211"/>
      <c r="HI16" s="211"/>
      <c r="HJ16" s="211"/>
      <c r="HK16" s="211"/>
      <c r="HL16" s="211"/>
      <c r="HM16" s="211"/>
      <c r="HN16" s="211"/>
      <c r="HO16" s="211"/>
      <c r="HP16" s="211"/>
      <c r="HQ16" s="211"/>
      <c r="HR16" s="211"/>
      <c r="HS16" s="211"/>
      <c r="HT16" s="211"/>
      <c r="HU16" s="211"/>
      <c r="HV16" s="211"/>
      <c r="HW16" s="211"/>
      <c r="HX16" s="211"/>
      <c r="HY16" s="211"/>
      <c r="HZ16" s="211"/>
      <c r="IA16" s="211"/>
      <c r="IB16" s="211"/>
      <c r="IC16" s="211"/>
      <c r="ID16" s="211"/>
      <c r="IE16" s="211"/>
      <c r="IF16" s="211"/>
      <c r="IG16" s="211"/>
      <c r="IH16" s="211"/>
      <c r="II16" s="211"/>
      <c r="IJ16" s="211"/>
      <c r="IK16" s="211"/>
      <c r="IL16" s="211"/>
      <c r="IM16" s="211"/>
      <c r="IN16" s="211"/>
      <c r="IO16" s="207"/>
      <c r="IP16" s="207"/>
      <c r="IQ16" s="207"/>
      <c r="IR16" s="207"/>
      <c r="IS16" s="207"/>
      <c r="IT16" s="207"/>
      <c r="IU16" s="207"/>
      <c r="IV16" s="207"/>
    </row>
    <row r="17" spans="1:256" ht="17.25" thickBot="1" x14ac:dyDescent="0.3">
      <c r="A17" s="213"/>
      <c r="B17" s="214"/>
      <c r="C17" s="214"/>
      <c r="D17" s="214"/>
      <c r="E17" s="214"/>
      <c r="F17" s="214"/>
      <c r="G17" s="214"/>
      <c r="H17" s="214"/>
      <c r="I17" s="214"/>
      <c r="J17" s="214"/>
      <c r="K17" s="214"/>
      <c r="L17" s="214"/>
      <c r="M17" s="214"/>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c r="BV17" s="207"/>
      <c r="BW17" s="207"/>
      <c r="BX17" s="207"/>
      <c r="BY17" s="207"/>
      <c r="BZ17" s="207"/>
      <c r="CA17" s="207"/>
      <c r="CB17" s="207"/>
      <c r="CC17" s="207"/>
      <c r="CD17" s="207"/>
      <c r="CE17" s="207"/>
      <c r="CF17" s="207"/>
      <c r="CG17" s="207"/>
      <c r="CH17" s="207"/>
      <c r="CI17" s="207"/>
      <c r="CJ17" s="207"/>
      <c r="CK17" s="207"/>
      <c r="CL17" s="207"/>
      <c r="CM17" s="207"/>
      <c r="CN17" s="207"/>
      <c r="CO17" s="207"/>
      <c r="CP17" s="207"/>
      <c r="CQ17" s="207"/>
      <c r="CR17" s="207"/>
      <c r="CS17" s="207"/>
      <c r="CT17" s="207"/>
      <c r="CU17" s="207"/>
      <c r="CV17" s="207"/>
      <c r="CW17" s="207"/>
      <c r="CX17" s="207"/>
      <c r="CY17" s="207"/>
      <c r="CZ17" s="207"/>
      <c r="DA17" s="207"/>
      <c r="DB17" s="207"/>
      <c r="DC17" s="207"/>
      <c r="DD17" s="207"/>
      <c r="DE17" s="207"/>
      <c r="DF17" s="207"/>
      <c r="DG17" s="207"/>
      <c r="DH17" s="207"/>
      <c r="DI17" s="207"/>
      <c r="DJ17" s="207"/>
      <c r="DK17" s="207"/>
      <c r="DL17" s="207"/>
      <c r="DM17" s="207"/>
      <c r="DN17" s="207"/>
      <c r="DO17" s="207"/>
      <c r="DP17" s="207"/>
      <c r="DQ17" s="207"/>
      <c r="DR17" s="207"/>
      <c r="DS17" s="207"/>
      <c r="DT17" s="207"/>
      <c r="DU17" s="207"/>
      <c r="DV17" s="207"/>
      <c r="DW17" s="207"/>
      <c r="DX17" s="207"/>
      <c r="DY17" s="207"/>
      <c r="DZ17" s="207"/>
      <c r="EA17" s="207"/>
      <c r="EB17" s="207"/>
      <c r="EC17" s="207"/>
      <c r="ED17" s="207"/>
      <c r="EE17" s="207"/>
      <c r="EF17" s="207"/>
      <c r="EG17" s="207"/>
      <c r="EH17" s="207"/>
      <c r="EI17" s="207"/>
      <c r="EJ17" s="207"/>
      <c r="EK17" s="207"/>
      <c r="EL17" s="207"/>
      <c r="EM17" s="207"/>
      <c r="EN17" s="207"/>
      <c r="EO17" s="207"/>
      <c r="EP17" s="207"/>
      <c r="EQ17" s="207"/>
      <c r="ER17" s="207"/>
      <c r="ES17" s="207"/>
      <c r="ET17" s="207"/>
      <c r="EU17" s="207"/>
      <c r="EV17" s="207"/>
      <c r="EW17" s="207"/>
      <c r="EX17" s="207"/>
      <c r="EY17" s="207"/>
      <c r="EZ17" s="207"/>
      <c r="FA17" s="207"/>
      <c r="FB17" s="207"/>
      <c r="FC17" s="207"/>
      <c r="FD17" s="207"/>
      <c r="FE17" s="207"/>
      <c r="FF17" s="207"/>
      <c r="FG17" s="207"/>
      <c r="FH17" s="207"/>
      <c r="FI17" s="207"/>
      <c r="FJ17" s="207"/>
      <c r="FK17" s="207"/>
      <c r="FL17" s="207"/>
      <c r="FM17" s="207"/>
      <c r="FN17" s="207"/>
      <c r="FO17" s="207"/>
      <c r="FP17" s="207"/>
      <c r="FQ17" s="207"/>
      <c r="FR17" s="207"/>
      <c r="FS17" s="207"/>
      <c r="FT17" s="207"/>
      <c r="FU17" s="207"/>
      <c r="FV17" s="207"/>
      <c r="FW17" s="207"/>
      <c r="FX17" s="207"/>
      <c r="FY17" s="207"/>
      <c r="FZ17" s="207"/>
      <c r="GA17" s="207"/>
      <c r="GB17" s="207"/>
      <c r="GC17" s="207"/>
      <c r="GD17" s="207"/>
      <c r="GE17" s="207"/>
      <c r="GF17" s="207"/>
      <c r="GG17" s="207"/>
      <c r="GH17" s="207"/>
      <c r="GI17" s="207"/>
      <c r="GJ17" s="207"/>
      <c r="GK17" s="207"/>
      <c r="GL17" s="207"/>
      <c r="GM17" s="207"/>
      <c r="GN17" s="207"/>
      <c r="GO17" s="207"/>
      <c r="GP17" s="207"/>
      <c r="GQ17" s="207"/>
      <c r="GR17" s="207"/>
      <c r="GS17" s="207"/>
      <c r="GT17" s="207"/>
      <c r="GU17" s="207"/>
      <c r="GV17" s="207"/>
      <c r="GW17" s="207"/>
      <c r="GX17" s="207"/>
      <c r="GY17" s="207"/>
      <c r="GZ17" s="207"/>
      <c r="HA17" s="207"/>
      <c r="HB17" s="207"/>
      <c r="HC17" s="207"/>
      <c r="HD17" s="207"/>
      <c r="HE17" s="207"/>
      <c r="HF17" s="207"/>
      <c r="HG17" s="207"/>
      <c r="HH17" s="207"/>
      <c r="HI17" s="207"/>
      <c r="HJ17" s="207"/>
      <c r="HK17" s="207"/>
      <c r="HL17" s="207"/>
      <c r="HM17" s="207"/>
      <c r="HN17" s="207"/>
      <c r="HO17" s="207"/>
      <c r="HP17" s="207"/>
      <c r="HQ17" s="207"/>
      <c r="HR17" s="207"/>
      <c r="HS17" s="207"/>
      <c r="HT17" s="207"/>
      <c r="HU17" s="207"/>
      <c r="HV17" s="207"/>
      <c r="HW17" s="207"/>
      <c r="HX17" s="207"/>
      <c r="HY17" s="207"/>
      <c r="HZ17" s="207"/>
      <c r="IA17" s="207"/>
      <c r="IB17" s="207"/>
      <c r="IC17" s="207"/>
      <c r="ID17" s="207"/>
      <c r="IE17" s="207"/>
      <c r="IF17" s="207"/>
      <c r="IG17" s="207"/>
      <c r="IH17" s="207"/>
      <c r="II17" s="207"/>
      <c r="IJ17" s="207"/>
      <c r="IK17" s="207"/>
      <c r="IL17" s="207"/>
      <c r="IM17" s="207"/>
      <c r="IN17" s="207"/>
      <c r="IO17" s="207"/>
      <c r="IP17" s="207"/>
      <c r="IQ17" s="207"/>
      <c r="IR17" s="207"/>
      <c r="IS17" s="207"/>
      <c r="IT17" s="207"/>
      <c r="IU17" s="207"/>
      <c r="IV17" s="207"/>
    </row>
    <row r="18" spans="1:256" ht="16.5" x14ac:dyDescent="0.25">
      <c r="A18" s="215"/>
      <c r="B18" s="215"/>
      <c r="C18" s="215"/>
      <c r="D18" s="215"/>
      <c r="E18" s="215"/>
      <c r="F18" s="215"/>
      <c r="G18" s="215"/>
      <c r="H18" s="215"/>
      <c r="I18" s="215"/>
      <c r="J18" s="215"/>
      <c r="K18" s="215"/>
      <c r="L18" s="215"/>
      <c r="M18" s="215"/>
      <c r="N18" s="200"/>
    </row>
    <row r="19" spans="1:256" ht="16.5" x14ac:dyDescent="0.25">
      <c r="A19" s="205">
        <v>1</v>
      </c>
      <c r="B19" s="199"/>
      <c r="C19" s="199"/>
      <c r="D19" s="199"/>
      <c r="E19" s="216" t="s">
        <v>271</v>
      </c>
      <c r="F19" s="199"/>
      <c r="G19" s="199"/>
      <c r="H19" s="199"/>
      <c r="I19" s="199"/>
      <c r="J19" s="199"/>
      <c r="K19" s="199"/>
      <c r="L19" s="199"/>
      <c r="M19" s="199"/>
      <c r="N19" s="200"/>
    </row>
    <row r="20" spans="1:256" ht="16.5" x14ac:dyDescent="0.25">
      <c r="A20" s="209">
        <v>2</v>
      </c>
      <c r="B20" s="158"/>
      <c r="C20" s="158"/>
      <c r="D20" s="158"/>
      <c r="E20" s="158"/>
      <c r="F20" s="158"/>
      <c r="G20" s="158"/>
      <c r="H20" s="158"/>
      <c r="I20" s="158"/>
      <c r="J20" s="158"/>
      <c r="K20" s="158"/>
      <c r="L20" s="158"/>
      <c r="M20" s="158"/>
      <c r="N20" s="200"/>
    </row>
    <row r="21" spans="1:256" ht="18" x14ac:dyDescent="0.25">
      <c r="A21" s="205">
        <v>3</v>
      </c>
      <c r="B21" s="199" t="s">
        <v>272</v>
      </c>
      <c r="C21" s="199"/>
      <c r="D21" s="217" t="s">
        <v>273</v>
      </c>
      <c r="F21" s="199"/>
      <c r="G21" s="199"/>
      <c r="H21" s="218">
        <v>4167538</v>
      </c>
      <c r="I21" s="218"/>
      <c r="J21" s="219"/>
      <c r="K21" s="219"/>
      <c r="L21" s="219"/>
      <c r="M21" s="199"/>
      <c r="N21" s="200"/>
    </row>
    <row r="22" spans="1:256" ht="18" x14ac:dyDescent="0.25">
      <c r="A22" s="205">
        <v>4</v>
      </c>
      <c r="B22" s="199"/>
      <c r="C22" s="199"/>
      <c r="D22" s="217" t="s">
        <v>274</v>
      </c>
      <c r="F22" s="199"/>
      <c r="G22" s="199"/>
      <c r="H22" s="199"/>
      <c r="I22" s="199"/>
      <c r="J22" s="199"/>
      <c r="K22" s="199"/>
      <c r="L22" s="199"/>
      <c r="M22" s="199"/>
      <c r="N22" s="200"/>
    </row>
    <row r="23" spans="1:256" ht="18" x14ac:dyDescent="0.25">
      <c r="A23" s="209">
        <v>5</v>
      </c>
      <c r="B23" s="199"/>
      <c r="C23" s="199"/>
      <c r="D23" s="217" t="s">
        <v>275</v>
      </c>
      <c r="F23" s="199"/>
      <c r="G23" s="199"/>
      <c r="H23" s="199"/>
      <c r="I23" s="199"/>
      <c r="J23" s="199"/>
      <c r="K23" s="199"/>
      <c r="L23" s="199"/>
      <c r="M23" s="199"/>
      <c r="N23" s="200"/>
    </row>
    <row r="24" spans="1:256" ht="18" x14ac:dyDescent="0.25">
      <c r="A24" s="205">
        <v>6</v>
      </c>
      <c r="B24" s="199"/>
      <c r="C24" s="199"/>
      <c r="D24" s="220" t="s">
        <v>276</v>
      </c>
      <c r="E24" s="158"/>
      <c r="F24" s="199"/>
      <c r="G24" s="199"/>
      <c r="H24" s="199"/>
      <c r="I24" s="199"/>
      <c r="J24" s="199"/>
      <c r="K24" s="199"/>
      <c r="L24" s="199"/>
      <c r="M24" s="199"/>
      <c r="N24" s="200"/>
    </row>
    <row r="25" spans="1:256" ht="16.5" x14ac:dyDescent="0.25">
      <c r="A25" s="205">
        <v>7</v>
      </c>
      <c r="B25" s="199"/>
      <c r="C25" s="199"/>
      <c r="D25" s="199"/>
      <c r="E25" s="158"/>
      <c r="F25" s="199"/>
      <c r="G25" s="199"/>
      <c r="H25" s="199"/>
      <c r="I25" s="199"/>
      <c r="J25" s="199"/>
      <c r="K25" s="199"/>
      <c r="L25" s="199"/>
      <c r="M25" s="199"/>
      <c r="N25" s="200"/>
    </row>
    <row r="26" spans="1:256" ht="16.5" x14ac:dyDescent="0.25">
      <c r="A26" s="209">
        <v>8</v>
      </c>
      <c r="B26" s="199"/>
      <c r="C26" s="199"/>
      <c r="D26" s="199"/>
      <c r="E26" s="216" t="s">
        <v>277</v>
      </c>
      <c r="F26" s="199"/>
      <c r="G26" s="199"/>
      <c r="H26" s="199"/>
      <c r="I26" s="199"/>
      <c r="J26" s="199"/>
      <c r="K26" s="199"/>
      <c r="L26" s="199"/>
      <c r="M26" s="199"/>
      <c r="N26" s="200"/>
    </row>
    <row r="27" spans="1:256" ht="16.5" x14ac:dyDescent="0.25">
      <c r="A27" s="205">
        <v>9</v>
      </c>
      <c r="B27" s="199"/>
      <c r="C27" s="199"/>
      <c r="D27" s="199"/>
      <c r="E27" s="158"/>
      <c r="F27" s="199"/>
      <c r="G27" s="199"/>
      <c r="H27" s="199"/>
      <c r="I27" s="199"/>
      <c r="J27" s="199"/>
      <c r="K27" s="199"/>
      <c r="L27" s="199"/>
      <c r="M27" s="199"/>
      <c r="N27" s="200"/>
    </row>
    <row r="28" spans="1:256" ht="18" x14ac:dyDescent="0.25">
      <c r="A28" s="205">
        <v>10</v>
      </c>
      <c r="B28" s="199" t="s">
        <v>272</v>
      </c>
      <c r="C28" s="199"/>
      <c r="D28" s="217" t="s">
        <v>278</v>
      </c>
      <c r="F28" s="199"/>
      <c r="G28" s="199"/>
      <c r="H28" s="199"/>
      <c r="I28" s="199"/>
      <c r="J28" s="199"/>
      <c r="K28" s="199"/>
      <c r="L28" s="199"/>
      <c r="M28" s="199"/>
      <c r="N28" s="200"/>
    </row>
    <row r="29" spans="1:256" ht="18" x14ac:dyDescent="0.25">
      <c r="A29" s="209">
        <v>11</v>
      </c>
      <c r="B29" s="199"/>
      <c r="C29" s="199"/>
      <c r="D29" s="217" t="s">
        <v>281</v>
      </c>
      <c r="F29" s="199"/>
      <c r="G29" s="199"/>
      <c r="H29" s="199"/>
      <c r="I29" s="199"/>
      <c r="J29" s="199"/>
      <c r="K29" s="199"/>
      <c r="L29" s="199"/>
      <c r="M29" s="199"/>
      <c r="N29" s="200"/>
    </row>
    <row r="30" spans="1:256" ht="18" x14ac:dyDescent="0.25">
      <c r="A30" s="205">
        <v>12</v>
      </c>
      <c r="B30" s="199"/>
      <c r="C30" s="199"/>
      <c r="D30" s="217" t="s">
        <v>282</v>
      </c>
      <c r="E30" s="221"/>
      <c r="F30" s="199"/>
      <c r="G30" s="199"/>
      <c r="H30" s="199"/>
      <c r="I30" s="199"/>
      <c r="J30" s="199"/>
      <c r="K30" s="199"/>
      <c r="L30" s="199"/>
      <c r="M30" s="199"/>
      <c r="N30" s="200"/>
    </row>
    <row r="31" spans="1:256" ht="18" x14ac:dyDescent="0.25">
      <c r="A31" s="205">
        <v>13</v>
      </c>
      <c r="B31" s="199"/>
      <c r="C31" s="199"/>
      <c r="D31" s="220" t="s">
        <v>283</v>
      </c>
      <c r="E31" s="158"/>
      <c r="F31" s="199"/>
      <c r="G31" s="199"/>
      <c r="H31" s="199"/>
      <c r="I31" s="199"/>
      <c r="J31" s="199"/>
      <c r="K31" s="199"/>
      <c r="L31" s="199"/>
      <c r="M31" s="199"/>
      <c r="N31" s="200"/>
    </row>
    <row r="32" spans="1:256" ht="18" x14ac:dyDescent="0.25">
      <c r="A32" s="209">
        <v>14</v>
      </c>
      <c r="B32" s="199"/>
      <c r="C32" s="199"/>
      <c r="D32" s="220"/>
      <c r="E32" s="158"/>
      <c r="F32" s="199"/>
      <c r="G32" s="199"/>
      <c r="H32" s="199"/>
      <c r="I32" s="199"/>
      <c r="J32" s="199"/>
      <c r="K32" s="199"/>
      <c r="L32" s="199"/>
      <c r="M32" s="199"/>
      <c r="N32" s="200"/>
    </row>
    <row r="33" spans="1:14" ht="16.5" x14ac:dyDescent="0.25">
      <c r="A33" s="205">
        <v>15</v>
      </c>
      <c r="B33" s="199"/>
      <c r="C33" s="199"/>
      <c r="D33" s="199"/>
      <c r="E33" s="158"/>
      <c r="F33" s="199"/>
      <c r="G33" s="199"/>
      <c r="H33" s="199"/>
      <c r="I33" s="199"/>
      <c r="J33" s="199"/>
      <c r="K33" s="199"/>
      <c r="L33" s="199"/>
      <c r="M33" s="199"/>
      <c r="N33" s="200"/>
    </row>
    <row r="34" spans="1:14" ht="16.5" x14ac:dyDescent="0.25">
      <c r="A34" s="199"/>
      <c r="B34" s="199"/>
      <c r="C34" s="199"/>
      <c r="D34" s="199"/>
      <c r="E34" s="158"/>
      <c r="F34" s="199"/>
      <c r="G34" s="199"/>
      <c r="H34" s="199"/>
      <c r="I34" s="199"/>
      <c r="J34" s="199"/>
      <c r="K34" s="199"/>
      <c r="L34" s="199"/>
      <c r="M34" s="199"/>
      <c r="N34" s="200"/>
    </row>
    <row r="35" spans="1:14" ht="16.5" x14ac:dyDescent="0.25">
      <c r="A35" s="199"/>
      <c r="B35" s="199"/>
      <c r="C35" s="199"/>
      <c r="D35" s="199"/>
      <c r="F35" s="199"/>
      <c r="G35" s="199"/>
      <c r="H35" s="199"/>
      <c r="I35" s="199"/>
      <c r="J35" s="199"/>
      <c r="K35" s="199"/>
      <c r="L35" s="199"/>
      <c r="M35" s="199"/>
      <c r="N35" s="200"/>
    </row>
    <row r="36" spans="1:14" ht="16.5" x14ac:dyDescent="0.25">
      <c r="A36" s="199"/>
      <c r="B36" s="199"/>
      <c r="C36" s="199"/>
      <c r="D36" s="199"/>
      <c r="F36" s="199"/>
      <c r="G36" s="199"/>
      <c r="H36" s="199"/>
      <c r="I36" s="199"/>
      <c r="J36" s="199"/>
      <c r="K36" s="199"/>
      <c r="L36" s="199"/>
      <c r="M36" s="199"/>
      <c r="N36" s="200"/>
    </row>
    <row r="37" spans="1:14" ht="16.5" x14ac:dyDescent="0.25">
      <c r="A37" s="199"/>
      <c r="B37" s="199"/>
      <c r="C37" s="199"/>
      <c r="D37" s="199"/>
      <c r="F37" s="199"/>
      <c r="G37" s="199"/>
      <c r="H37" s="199"/>
      <c r="I37" s="199"/>
      <c r="J37" s="199"/>
      <c r="K37" s="199"/>
      <c r="L37" s="199"/>
      <c r="M37" s="199"/>
      <c r="N37" s="200"/>
    </row>
    <row r="38" spans="1:14" ht="16.5" x14ac:dyDescent="0.25">
      <c r="A38" s="199"/>
      <c r="B38" s="199"/>
      <c r="C38" s="199"/>
      <c r="D38" s="199"/>
      <c r="F38" s="199"/>
      <c r="G38" s="199"/>
      <c r="H38" s="199"/>
      <c r="I38" s="199"/>
      <c r="J38" s="199"/>
      <c r="K38" s="199"/>
      <c r="L38" s="199"/>
      <c r="M38" s="199"/>
      <c r="N38" s="200"/>
    </row>
    <row r="39" spans="1:14" ht="16.5" x14ac:dyDescent="0.25">
      <c r="A39" s="199"/>
      <c r="B39" s="199"/>
      <c r="C39" s="199"/>
      <c r="D39" s="199"/>
      <c r="F39" s="199"/>
      <c r="G39" s="199"/>
      <c r="H39" s="199"/>
      <c r="I39" s="199"/>
      <c r="J39" s="199"/>
      <c r="K39" s="199"/>
      <c r="L39" s="199"/>
      <c r="M39" s="199"/>
      <c r="N39" s="200"/>
    </row>
    <row r="40" spans="1:14" ht="16.5" x14ac:dyDescent="0.25">
      <c r="A40" s="199"/>
      <c r="B40" s="199"/>
      <c r="C40" s="199"/>
      <c r="D40" s="199"/>
      <c r="E40" s="199"/>
      <c r="F40" s="199"/>
      <c r="G40" s="199"/>
      <c r="H40" s="199"/>
      <c r="I40" s="199"/>
      <c r="J40" s="199"/>
      <c r="K40" s="199"/>
      <c r="L40" s="199"/>
      <c r="M40" s="199"/>
      <c r="N40" s="200"/>
    </row>
    <row r="41" spans="1:14" ht="16.5" x14ac:dyDescent="0.25">
      <c r="A41" s="158"/>
      <c r="B41" s="199"/>
      <c r="C41" s="199"/>
      <c r="D41" s="199"/>
      <c r="E41" s="199"/>
      <c r="F41" s="199"/>
      <c r="G41" s="199"/>
      <c r="H41" s="199"/>
      <c r="I41" s="199"/>
      <c r="J41" s="199"/>
      <c r="K41" s="199"/>
      <c r="L41" s="199"/>
      <c r="M41" s="199"/>
      <c r="N41" s="200"/>
    </row>
    <row r="42" spans="1:14" ht="17.25" thickBot="1" x14ac:dyDescent="0.3">
      <c r="A42" s="158"/>
      <c r="B42" s="158"/>
      <c r="C42" s="158"/>
      <c r="D42" s="158"/>
      <c r="E42" s="158"/>
      <c r="F42" s="158"/>
      <c r="G42" s="158"/>
      <c r="H42" s="158"/>
      <c r="I42" s="158"/>
      <c r="J42" s="158"/>
      <c r="K42" s="158"/>
      <c r="L42" s="158"/>
      <c r="M42" s="158"/>
      <c r="N42" s="200"/>
    </row>
    <row r="43" spans="1:14" ht="16.5" x14ac:dyDescent="0.25">
      <c r="A43" s="202" t="s">
        <v>279</v>
      </c>
      <c r="B43" s="202"/>
      <c r="C43" s="202"/>
      <c r="D43" s="215"/>
      <c r="E43" s="215"/>
      <c r="F43" s="215"/>
      <c r="G43" s="215"/>
      <c r="H43" s="215"/>
      <c r="I43" s="202"/>
      <c r="J43" s="202"/>
      <c r="K43" s="202"/>
      <c r="L43" s="215"/>
      <c r="M43" s="215"/>
      <c r="N43" s="200"/>
    </row>
  </sheetData>
  <pageMargins left="0.7" right="0.7" top="0.75" bottom="0.75" header="0.3" footer="0.3"/>
  <pageSetup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Q18"/>
  <sheetViews>
    <sheetView topLeftCell="A4" workbookViewId="0">
      <selection activeCell="C7" sqref="C7:C10"/>
    </sheetView>
  </sheetViews>
  <sheetFormatPr defaultColWidth="9.140625" defaultRowHeight="15" x14ac:dyDescent="0.25"/>
  <cols>
    <col min="1" max="1" width="9.140625" style="4"/>
    <col min="2" max="2" width="22.7109375" style="4" customWidth="1"/>
    <col min="3" max="3" width="13.7109375" style="4" customWidth="1"/>
    <col min="4" max="4" width="12.5703125" style="4" customWidth="1"/>
    <col min="5" max="5" width="11.140625" style="4" customWidth="1"/>
    <col min="6" max="6" width="14.85546875" style="4" customWidth="1"/>
    <col min="7" max="7" width="18.140625" style="4" customWidth="1"/>
    <col min="8" max="8" width="13.7109375" style="4" customWidth="1"/>
    <col min="9" max="9" width="11.7109375" style="4" customWidth="1"/>
    <col min="10" max="10" width="11.28515625" style="4" customWidth="1"/>
    <col min="11" max="11" width="15.85546875" style="4" customWidth="1"/>
    <col min="12" max="12" width="16.5703125" style="4" customWidth="1"/>
    <col min="13" max="13" width="16" style="4" customWidth="1"/>
    <col min="14" max="16384" width="9.140625" style="4"/>
  </cols>
  <sheetData>
    <row r="1" spans="1:17" ht="15.75" x14ac:dyDescent="0.25">
      <c r="A1" s="237" t="s">
        <v>0</v>
      </c>
      <c r="F1" s="235" t="s">
        <v>519</v>
      </c>
    </row>
    <row r="2" spans="1:17" ht="15.75" x14ac:dyDescent="0.25">
      <c r="A2" s="237" t="s">
        <v>301</v>
      </c>
      <c r="F2" s="267" t="s">
        <v>298</v>
      </c>
      <c r="G2" s="385" t="str">
        <f>'A-1 Estimated Revenue Req.'!$E$1</f>
        <v>20190156-EI</v>
      </c>
    </row>
    <row r="3" spans="1:17" ht="15.75" x14ac:dyDescent="0.25">
      <c r="A3" s="237" t="s">
        <v>302</v>
      </c>
    </row>
    <row r="5" spans="1:17" x14ac:dyDescent="0.25">
      <c r="C5" s="9" t="s">
        <v>22</v>
      </c>
      <c r="D5" s="9"/>
      <c r="E5" s="9" t="s">
        <v>24</v>
      </c>
      <c r="F5" s="9" t="s">
        <v>25</v>
      </c>
      <c r="G5" s="9" t="s">
        <v>26</v>
      </c>
      <c r="H5" s="10"/>
      <c r="I5" s="10"/>
      <c r="J5" s="10"/>
      <c r="K5" s="10"/>
      <c r="L5" s="10"/>
      <c r="M5" s="10"/>
      <c r="N5" s="11"/>
      <c r="O5" s="11"/>
      <c r="P5" s="11"/>
      <c r="Q5" s="11"/>
    </row>
    <row r="6" spans="1:17" s="16" customFormat="1" ht="60" x14ac:dyDescent="0.25">
      <c r="A6" s="12" t="s">
        <v>27</v>
      </c>
      <c r="B6" s="12" t="s">
        <v>28</v>
      </c>
      <c r="C6" s="13" t="s">
        <v>476</v>
      </c>
      <c r="D6" s="13" t="s">
        <v>477</v>
      </c>
      <c r="E6" s="13" t="s">
        <v>29</v>
      </c>
      <c r="F6" s="13" t="s">
        <v>30</v>
      </c>
      <c r="G6" s="13" t="s">
        <v>31</v>
      </c>
      <c r="H6" s="14"/>
      <c r="I6" s="14"/>
      <c r="J6" s="14"/>
      <c r="K6" s="14"/>
      <c r="L6" s="15"/>
      <c r="M6" s="15"/>
    </row>
    <row r="7" spans="1:17" x14ac:dyDescent="0.25">
      <c r="A7" s="4">
        <v>1</v>
      </c>
      <c r="B7" s="4" t="s">
        <v>32</v>
      </c>
      <c r="C7" s="17">
        <v>274540960</v>
      </c>
      <c r="D7" s="7">
        <v>10833290</v>
      </c>
      <c r="E7" s="18">
        <f t="shared" ref="E7:E12" si="0">ROUND(D7/D$13,4)</f>
        <v>0.54069999999999996</v>
      </c>
      <c r="F7" s="7">
        <f t="shared" ref="F7:F12" si="1">E7*$F$13</f>
        <v>6372558.7849229397</v>
      </c>
      <c r="G7" s="7">
        <f t="shared" ref="G7:G12" si="2">D7+F7</f>
        <v>17205848.784922939</v>
      </c>
      <c r="H7" s="5"/>
      <c r="I7" s="5"/>
      <c r="J7" s="5"/>
      <c r="K7" s="5"/>
      <c r="L7" s="5"/>
      <c r="M7" s="5"/>
    </row>
    <row r="8" spans="1:17" x14ac:dyDescent="0.25">
      <c r="A8" s="4">
        <v>2</v>
      </c>
      <c r="B8" s="4" t="s">
        <v>33</v>
      </c>
      <c r="C8" s="17">
        <v>53476045</v>
      </c>
      <c r="D8" s="7">
        <v>2371073</v>
      </c>
      <c r="E8" s="18">
        <f t="shared" si="0"/>
        <v>0.1183</v>
      </c>
      <c r="F8" s="7">
        <f t="shared" si="1"/>
        <v>1394255.0476352577</v>
      </c>
      <c r="G8" s="7">
        <f t="shared" si="2"/>
        <v>3765328.0476352577</v>
      </c>
      <c r="H8" s="5"/>
    </row>
    <row r="9" spans="1:17" x14ac:dyDescent="0.25">
      <c r="A9" s="4">
        <v>3</v>
      </c>
      <c r="B9" s="4" t="s">
        <v>34</v>
      </c>
      <c r="C9" s="17">
        <v>164607934</v>
      </c>
      <c r="D9" s="7">
        <v>3518358</v>
      </c>
      <c r="E9" s="18">
        <f t="shared" si="0"/>
        <v>0.17560000000000001</v>
      </c>
      <c r="F9" s="7">
        <f t="shared" si="1"/>
        <v>2069578.9210883453</v>
      </c>
      <c r="G9" s="7">
        <f t="shared" si="2"/>
        <v>5587936.9210883453</v>
      </c>
      <c r="H9" s="5"/>
    </row>
    <row r="10" spans="1:17" x14ac:dyDescent="0.25">
      <c r="A10" s="4">
        <v>4</v>
      </c>
      <c r="B10" s="4" t="s">
        <v>35</v>
      </c>
      <c r="C10" s="17">
        <v>83743267</v>
      </c>
      <c r="D10" s="7">
        <v>1165867</v>
      </c>
      <c r="E10" s="18">
        <f t="shared" si="0"/>
        <v>5.8200000000000002E-2</v>
      </c>
      <c r="F10" s="7">
        <f t="shared" si="1"/>
        <v>685931.0547115131</v>
      </c>
      <c r="G10" s="7">
        <f t="shared" si="2"/>
        <v>1851798.0547115132</v>
      </c>
      <c r="H10" s="5"/>
    </row>
    <row r="11" spans="1:17" x14ac:dyDescent="0.25">
      <c r="A11" s="4">
        <v>5</v>
      </c>
      <c r="B11" s="4" t="s">
        <v>36</v>
      </c>
      <c r="C11" s="17">
        <v>14860000</v>
      </c>
      <c r="D11" s="7">
        <v>466099</v>
      </c>
      <c r="E11" s="18">
        <f t="shared" si="0"/>
        <v>2.3300000000000001E-2</v>
      </c>
      <c r="F11" s="7">
        <f t="shared" si="1"/>
        <v>274608.13702368137</v>
      </c>
      <c r="G11" s="7">
        <f t="shared" si="2"/>
        <v>740707.13702368131</v>
      </c>
      <c r="H11" s="5"/>
    </row>
    <row r="12" spans="1:17" x14ac:dyDescent="0.25">
      <c r="A12" s="4">
        <v>6</v>
      </c>
      <c r="B12" s="4" t="s">
        <v>37</v>
      </c>
      <c r="C12" s="17">
        <v>7497990</v>
      </c>
      <c r="D12" s="7">
        <v>1680896</v>
      </c>
      <c r="E12" s="18">
        <f t="shared" si="0"/>
        <v>8.3900000000000002E-2</v>
      </c>
      <c r="F12" s="7">
        <f t="shared" si="1"/>
        <v>988825.00842432899</v>
      </c>
      <c r="G12" s="7">
        <f t="shared" si="2"/>
        <v>2669721.0084243291</v>
      </c>
      <c r="H12" s="5"/>
    </row>
    <row r="13" spans="1:17" ht="15.75" thickBot="1" x14ac:dyDescent="0.3">
      <c r="C13" s="19">
        <f>SUM(C7:C12)</f>
        <v>598726196</v>
      </c>
      <c r="D13" s="20">
        <f>SUM(D7:D12)</f>
        <v>20035583</v>
      </c>
      <c r="E13" s="334">
        <f>SUM(E7:E12)</f>
        <v>0.99999999999999989</v>
      </c>
      <c r="F13" s="20">
        <f>'A-1 Estimated Revenue Req.'!D23</f>
        <v>11785756.953806067</v>
      </c>
      <c r="G13" s="20">
        <f>SUM(G7:G12)</f>
        <v>31821339.953806065</v>
      </c>
      <c r="H13" s="290"/>
    </row>
    <row r="14" spans="1:17" ht="15.75" thickTop="1" x14ac:dyDescent="0.25">
      <c r="B14" s="4" t="s">
        <v>105</v>
      </c>
      <c r="C14" s="17"/>
      <c r="D14" s="7"/>
      <c r="F14" s="3">
        <f>F13/D13</f>
        <v>0.58824127822015793</v>
      </c>
      <c r="G14" s="7"/>
    </row>
    <row r="15" spans="1:17" x14ac:dyDescent="0.25">
      <c r="D15" s="7"/>
      <c r="F15" s="41">
        <f>F14+1</f>
        <v>1.588241278220158</v>
      </c>
      <c r="G15" s="7"/>
    </row>
    <row r="16" spans="1:17" x14ac:dyDescent="0.25">
      <c r="D16" s="7"/>
      <c r="F16" s="7"/>
      <c r="G16" s="7"/>
    </row>
    <row r="17" spans="4:7" x14ac:dyDescent="0.25">
      <c r="D17" s="7"/>
      <c r="F17" s="7"/>
      <c r="G17" s="7"/>
    </row>
    <row r="18" spans="4:7" x14ac:dyDescent="0.25">
      <c r="F18" s="7"/>
      <c r="G18" s="7"/>
    </row>
  </sheetData>
  <hyperlinks>
    <hyperlink ref="E7" r:id="rId1" display="=@ROUND((D8/D$14),2)"/>
    <hyperlink ref="E8:E12" r:id="rId2" display="=@ROUND((D8/D$14),2)"/>
  </hyperlinks>
  <pageMargins left="0.7" right="0.7" top="0.75" bottom="0.75" header="0.3" footer="0.3"/>
  <pageSetup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A-1 Estimated Revenue Req.</vt:lpstr>
      <vt:lpstr>B-1</vt:lpstr>
      <vt:lpstr>B-2</vt:lpstr>
      <vt:lpstr>B-3</vt:lpstr>
      <vt:lpstr>C-1</vt:lpstr>
      <vt:lpstr>C-2</vt:lpstr>
      <vt:lpstr>D-1a</vt:lpstr>
      <vt:lpstr>D-1b</vt:lpstr>
      <vt:lpstr>Uniform Rate Inc</vt:lpstr>
      <vt:lpstr>Rates by Tariff</vt:lpstr>
      <vt:lpstr>Uniform Rate Inc lighting</vt:lpstr>
      <vt:lpstr>Storm Cost Detail</vt:lpstr>
      <vt:lpstr>Reg Asset Lost Customers</vt:lpstr>
      <vt:lpstr>Reg Asset Exp Not Rec in Base</vt:lpstr>
      <vt:lpstr>Regulatory Asset for AD change</vt:lpstr>
      <vt:lpstr>'C-1'!Print_Area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