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1.xml" ContentType="application/vnd.openxmlformats-officedocument.spreadsheetml.comments+xml"/>
  <Override PartName="/xl/worksheets/sheet9.xml" ContentType="application/vnd.openxmlformats-officedocument.spreadsheetml.worksheet+xml"/>
  <Override PartName="/xl/comments2.xml" ContentType="application/vnd.openxmlformats-officedocument.spreadsheetml.comments+xml"/>
  <Override PartName="/xl/externalLinks/externalLink4.xml" ContentType="application/vnd.openxmlformats-officedocument.spreadsheetml.externalLink+xml"/>
  <Override PartName="/xl/externalLinks/externalLink9.xml" ContentType="application/vnd.openxmlformats-officedocument.spreadsheetml.externalLink+xml"/>
  <Override PartName="/xl/externalLinks/externalLink3.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5.xml" ContentType="application/vnd.openxmlformats-officedocument.spreadsheetml.externalLink+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970" tabRatio="919"/>
  </bookViews>
  <sheets>
    <sheet name="As filed Original " sheetId="16" r:id="rId1"/>
    <sheet name="As filed Revised" sheetId="18" r:id="rId2"/>
    <sheet name="Calculation Revised" sheetId="4" r:id="rId3"/>
    <sheet name="Date Customer Activated" sheetId="1" r:id="rId4"/>
    <sheet name="pivot of activation" sheetId="3" r:id="rId5"/>
    <sheet name="2019 Volume Budget Using 5+7 FC" sheetId="19" r:id="rId6"/>
    <sheet name="2019 Cust Budget Using 5 + 7" sheetId="21" r:id="rId7"/>
    <sheet name="kw summary" sheetId="11" state="hidden" r:id="rId8"/>
    <sheet name="Margin Input_Forecast" sheetId="12"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INPUT" localSheetId="0">#REF!</definedName>
    <definedName name="\INPUT" localSheetId="7">#REF!</definedName>
    <definedName name="\INPUT">#REF!</definedName>
    <definedName name="\p" localSheetId="0">[1]DE!#REF!</definedName>
    <definedName name="\p" localSheetId="7">[1]DE!#REF!</definedName>
    <definedName name="\p">[1]DE!#REF!</definedName>
    <definedName name="\PRINTADJ" localSheetId="0">#REF!</definedName>
    <definedName name="\PRINTADJ" localSheetId="7">#REF!</definedName>
    <definedName name="\PRINTADJ">#REF!</definedName>
    <definedName name="\STORAGEINPUT" localSheetId="0">#REF!</definedName>
    <definedName name="\STORAGEINPUT" localSheetId="7">#REF!</definedName>
    <definedName name="\STORAGEINPUT">#REF!</definedName>
    <definedName name="_10O_MBORDER" localSheetId="0">#REF!</definedName>
    <definedName name="_10O_MBORDER" localSheetId="7">#REF!</definedName>
    <definedName name="_10O_MBORDER">#REF!</definedName>
    <definedName name="_11PRODUCTION_TILD" localSheetId="0">#REF!</definedName>
    <definedName name="_11PRODUCTION_TILD" localSheetId="7">#REF!</definedName>
    <definedName name="_11PRODUCTION_TILD">#REF!</definedName>
    <definedName name="_12PROJECT_1" localSheetId="0">#REF!</definedName>
    <definedName name="_12PROJECT_1" localSheetId="7">#REF!</definedName>
    <definedName name="_12PROJECT_1">#REF!</definedName>
    <definedName name="_13PROJECT_2" localSheetId="0">#REF!</definedName>
    <definedName name="_13PROJECT_2" localSheetId="7">#REF!</definedName>
    <definedName name="_13PROJECT_2">#REF!</definedName>
    <definedName name="_14PROJECT_3" localSheetId="0">#REF!</definedName>
    <definedName name="_14PROJECT_3" localSheetId="7">#REF!</definedName>
    <definedName name="_14PROJECT_3">#REF!</definedName>
    <definedName name="_15PROJECT_4" localSheetId="0">#REF!</definedName>
    <definedName name="_15PROJECT_4" localSheetId="7">#REF!</definedName>
    <definedName name="_15PROJECT_4">#REF!</definedName>
    <definedName name="_16PROJECT_5" localSheetId="0">#REF!</definedName>
    <definedName name="_16PROJECT_5" localSheetId="7">#REF!</definedName>
    <definedName name="_16PROJECT_5">#REF!</definedName>
    <definedName name="_17PROJECT_6" localSheetId="0">#REF!</definedName>
    <definedName name="_17PROJECT_6" localSheetId="7">#REF!</definedName>
    <definedName name="_17PROJECT_6">#REF!</definedName>
    <definedName name="_18RET_TAXBTO" localSheetId="0">#REF!</definedName>
    <definedName name="_18RET_TAXBTO" localSheetId="7">#REF!</definedName>
    <definedName name="_18RET_TAXBTO">#REF!</definedName>
    <definedName name="_19STORBASE1" localSheetId="0">#REF!</definedName>
    <definedName name="_19STORBASE1" localSheetId="7">#REF!</definedName>
    <definedName name="_19STORBASE1">#REF!</definedName>
    <definedName name="_1INCREMCOS" localSheetId="0">#REF!</definedName>
    <definedName name="_1INCREMCOS" localSheetId="7">#REF!</definedName>
    <definedName name="_1INCREMCOS">#REF!</definedName>
    <definedName name="_20STORBASE2" localSheetId="0">#REF!</definedName>
    <definedName name="_20STORBASE2" localSheetId="7">#REF!</definedName>
    <definedName name="_20STORBASE2">#REF!</definedName>
    <definedName name="_21STOR_GSSTRANSP" localSheetId="0">#REF!</definedName>
    <definedName name="_21STOR_GSSTRANSP" localSheetId="7">#REF!</definedName>
    <definedName name="_21STOR_GSSTRANSP">#REF!</definedName>
    <definedName name="_22STOR_WSSTRANSP" localSheetId="0">#REF!</definedName>
    <definedName name="_22STOR_WSSTRANSP" localSheetId="7">#REF!</definedName>
    <definedName name="_22STOR_WSSTRANSP">#REF!</definedName>
    <definedName name="_23TRANSM_GSS" localSheetId="0">#REF!</definedName>
    <definedName name="_23TRANSM_GSS" localSheetId="7">#REF!</definedName>
    <definedName name="_23TRANSM_GSS">#REF!</definedName>
    <definedName name="_24TRANSM_LSS" localSheetId="0">#REF!</definedName>
    <definedName name="_24TRANSM_LSS" localSheetId="7">#REF!</definedName>
    <definedName name="_24TRANSM_LSS">#REF!</definedName>
    <definedName name="_25TRANSM_SS1" localSheetId="0">#REF!</definedName>
    <definedName name="_25TRANSM_SS1" localSheetId="7">#REF!</definedName>
    <definedName name="_25TRANSM_SS1">#REF!</definedName>
    <definedName name="_2INPUTSHEET" localSheetId="0">#REF!</definedName>
    <definedName name="_2INPUTSHEET" localSheetId="7">#REF!</definedName>
    <definedName name="_2INPUTSHEET">#REF!</definedName>
    <definedName name="_3MACROS" localSheetId="0">#REF!</definedName>
    <definedName name="_3MACROS" localSheetId="7">#REF!</definedName>
    <definedName name="_3MACROS">#REF!</definedName>
    <definedName name="_4ROLLINPROJECTS" localSheetId="0">#REF!</definedName>
    <definedName name="_4ROLLINPROJECTS" localSheetId="7">#REF!</definedName>
    <definedName name="_4ROLLINPROJECTS">#REF!</definedName>
    <definedName name="_5\I_FILING" localSheetId="0">#REF!</definedName>
    <definedName name="_5\I_FILING" localSheetId="7">#REF!</definedName>
    <definedName name="_5\I_FILING">#REF!</definedName>
    <definedName name="_6_1CHOICE" localSheetId="0">#REF!</definedName>
    <definedName name="_6_1CHOICE" localSheetId="7">#REF!</definedName>
    <definedName name="_6_1CHOICE">#REF!</definedName>
    <definedName name="_7HESTER_MIDLA" localSheetId="0">#REF!</definedName>
    <definedName name="_7HESTER_MIDLA" localSheetId="7">#REF!</definedName>
    <definedName name="_7HESTER_MIDLA">#REF!</definedName>
    <definedName name="_8HESTER_FT" localSheetId="0">#REF!</definedName>
    <definedName name="_8HESTER_FT" localSheetId="7">#REF!</definedName>
    <definedName name="_8HESTER_FT">#REF!</definedName>
    <definedName name="_9INC_PLANT" localSheetId="0">#REF!</definedName>
    <definedName name="_9INC_PLANT" localSheetId="7">#REF!</definedName>
    <definedName name="_9INC_PLANT">#REF!</definedName>
    <definedName name="_xlnm._FilterDatabase" localSheetId="3" hidden="1">'Date Customer Activated'!$A$1:$H$166</definedName>
    <definedName name="_Key1" localSheetId="0" hidden="1">#REF!</definedName>
    <definedName name="_Key1" localSheetId="7" hidden="1">#REF!</definedName>
    <definedName name="_Key1" hidden="1">#REF!</definedName>
    <definedName name="_Order1" hidden="1">255</definedName>
    <definedName name="_Sort" localSheetId="0" hidden="1">#REF!</definedName>
    <definedName name="_Sort" localSheetId="7" hidden="1">#REF!</definedName>
    <definedName name="_Sort" hidden="1">#REF!</definedName>
    <definedName name="AD_BAL2" localSheetId="0">#REF!</definedName>
    <definedName name="AD_BAL2" localSheetId="7">#REF!</definedName>
    <definedName name="AD_BAL2">#REF!</definedName>
    <definedName name="ADD" localSheetId="0">#REF!</definedName>
    <definedName name="ADD" localSheetId="7">#REF!</definedName>
    <definedName name="ADD">#REF!</definedName>
    <definedName name="ADD_BY_DIST" localSheetId="0">#REF!</definedName>
    <definedName name="ADD_BY_DIST" localSheetId="7">#REF!</definedName>
    <definedName name="ADD_BY_DIST">#REF!</definedName>
    <definedName name="ADJEMINENCE" localSheetId="0">#REF!</definedName>
    <definedName name="ADJEMINENCE" localSheetId="7">#REF!</definedName>
    <definedName name="ADJEMINENCE">#REF!</definedName>
    <definedName name="ADJGSS" localSheetId="0">#REF!</definedName>
    <definedName name="ADJGSS" localSheetId="7">#REF!</definedName>
    <definedName name="ADJGSS">#REF!</definedName>
    <definedName name="ADJHESTER" localSheetId="0">#REF!</definedName>
    <definedName name="ADJHESTER" localSheetId="7">#REF!</definedName>
    <definedName name="ADJHESTER">#REF!</definedName>
    <definedName name="ADJTOTSTOR" localSheetId="0">#REF!</definedName>
    <definedName name="ADJTOTSTOR" localSheetId="7">#REF!</definedName>
    <definedName name="ADJTOTSTOR">#REF!</definedName>
    <definedName name="ADJWSS" localSheetId="0">#REF!</definedName>
    <definedName name="ADJWSS" localSheetId="7">#REF!</definedName>
    <definedName name="ADJWSS">#REF!</definedName>
    <definedName name="ALLOTRANSP3" localSheetId="0">#REF!</definedName>
    <definedName name="ALLOTRANSP3" localSheetId="7">#REF!</definedName>
    <definedName name="ALLOTRANSP3">#REF!</definedName>
    <definedName name="BATTLEBORO" localSheetId="0">#REF!</definedName>
    <definedName name="BATTLEBORO" localSheetId="7">#REF!</definedName>
    <definedName name="BATTLEBORO">#REF!</definedName>
    <definedName name="BBUAprDec" localSheetId="0">#REF!</definedName>
    <definedName name="BBUAprDec" localSheetId="7">#REF!</definedName>
    <definedName name="BBUAprDec">#REF!</definedName>
    <definedName name="BBUAugDec" localSheetId="0">#REF!</definedName>
    <definedName name="BBUAugDec" localSheetId="7">#REF!</definedName>
    <definedName name="BBUAugDec">#REF!</definedName>
    <definedName name="BBUDec" localSheetId="0">#REF!</definedName>
    <definedName name="BBUDec" localSheetId="7">#REF!</definedName>
    <definedName name="BBUDec">#REF!</definedName>
    <definedName name="BBUFebDec" localSheetId="0">#REF!</definedName>
    <definedName name="BBUFebDec" localSheetId="7">#REF!</definedName>
    <definedName name="BBUFebDec">#REF!</definedName>
    <definedName name="BBUJan" localSheetId="0">#REF!</definedName>
    <definedName name="BBUJan" localSheetId="7">#REF!</definedName>
    <definedName name="BBUJan">#REF!</definedName>
    <definedName name="BBUJanApr" localSheetId="0">#REF!</definedName>
    <definedName name="BBUJanApr" localSheetId="7">#REF!</definedName>
    <definedName name="BBUJanApr">#REF!</definedName>
    <definedName name="BBUJanAug" localSheetId="0">#REF!</definedName>
    <definedName name="BBUJanAug" localSheetId="7">#REF!</definedName>
    <definedName name="BBUJanAug">#REF!</definedName>
    <definedName name="BBUJanDec" localSheetId="0">#REF!</definedName>
    <definedName name="BBUJanDec" localSheetId="7">#REF!</definedName>
    <definedName name="BBUJanDec">#REF!</definedName>
    <definedName name="BBUJanFeb" localSheetId="0">#REF!</definedName>
    <definedName name="BBUJanFeb" localSheetId="7">#REF!</definedName>
    <definedName name="BBUJanFeb">#REF!</definedName>
    <definedName name="BBUJanJul" localSheetId="0">#REF!</definedName>
    <definedName name="BBUJanJul" localSheetId="7">#REF!</definedName>
    <definedName name="BBUJanJul">#REF!</definedName>
    <definedName name="BBUJanJun" localSheetId="0">#REF!</definedName>
    <definedName name="BBUJanJun" localSheetId="7">#REF!</definedName>
    <definedName name="BBUJanJun">#REF!</definedName>
    <definedName name="BBUJanMar" localSheetId="0">#REF!</definedName>
    <definedName name="BBUJanMar" localSheetId="7">#REF!</definedName>
    <definedName name="BBUJanMar">#REF!</definedName>
    <definedName name="BBUJanMay" localSheetId="0">#REF!</definedName>
    <definedName name="BBUJanMay" localSheetId="7">#REF!</definedName>
    <definedName name="BBUJanMay">#REF!</definedName>
    <definedName name="BBUJanNov" localSheetId="0">#REF!</definedName>
    <definedName name="BBUJanNov" localSheetId="7">#REF!</definedName>
    <definedName name="BBUJanNov">#REF!</definedName>
    <definedName name="BBUJanOct" localSheetId="0">#REF!</definedName>
    <definedName name="BBUJanOct" localSheetId="7">#REF!</definedName>
    <definedName name="BBUJanOct">#REF!</definedName>
    <definedName name="BBUJanSep" localSheetId="0">#REF!</definedName>
    <definedName name="BBUJanSep" localSheetId="7">#REF!</definedName>
    <definedName name="BBUJanSep">#REF!</definedName>
    <definedName name="BBUJulDec" localSheetId="0">#REF!</definedName>
    <definedName name="BBUJulDec" localSheetId="7">#REF!</definedName>
    <definedName name="BBUJulDec">#REF!</definedName>
    <definedName name="BBUJunDec" localSheetId="0">#REF!</definedName>
    <definedName name="BBUJunDec" localSheetId="7">#REF!</definedName>
    <definedName name="BBUJunDec">#REF!</definedName>
    <definedName name="BBUMarDec" localSheetId="0">#REF!</definedName>
    <definedName name="BBUMarDec" localSheetId="7">#REF!</definedName>
    <definedName name="BBUMarDec">#REF!</definedName>
    <definedName name="BBUMayDec" localSheetId="0">#REF!</definedName>
    <definedName name="BBUMayDec" localSheetId="7">#REF!</definedName>
    <definedName name="BBUMayDec">#REF!</definedName>
    <definedName name="BBUNovDec" localSheetId="0">#REF!</definedName>
    <definedName name="BBUNovDec" localSheetId="7">#REF!</definedName>
    <definedName name="BBUNovDec">#REF!</definedName>
    <definedName name="BBUOctDec" localSheetId="0">#REF!</definedName>
    <definedName name="BBUOctDec" localSheetId="7">#REF!</definedName>
    <definedName name="BBUOctDec">#REF!</definedName>
    <definedName name="BBUSepDec" localSheetId="0">#REF!</definedName>
    <definedName name="BBUSepDec" localSheetId="7">#REF!</definedName>
    <definedName name="BBUSepDec">#REF!</definedName>
    <definedName name="BCAprDec" localSheetId="0">#REF!</definedName>
    <definedName name="BCAprDec" localSheetId="7">#REF!</definedName>
    <definedName name="BCAprDec">#REF!</definedName>
    <definedName name="BCAugDec" localSheetId="0">#REF!</definedName>
    <definedName name="BCAugDec" localSheetId="7">#REF!</definedName>
    <definedName name="BCAugDec">#REF!</definedName>
    <definedName name="BCDec" localSheetId="0">#REF!</definedName>
    <definedName name="BCDec" localSheetId="7">#REF!</definedName>
    <definedName name="BCDec">#REF!</definedName>
    <definedName name="BCFebDec" localSheetId="0">#REF!</definedName>
    <definedName name="BCFebDec" localSheetId="7">#REF!</definedName>
    <definedName name="BCFebDec">#REF!</definedName>
    <definedName name="BCJan" localSheetId="0">#REF!</definedName>
    <definedName name="BCJan" localSheetId="7">#REF!</definedName>
    <definedName name="BCJan">#REF!</definedName>
    <definedName name="BCJanApr" localSheetId="0">#REF!</definedName>
    <definedName name="BCJanApr" localSheetId="7">#REF!</definedName>
    <definedName name="BCJanApr">#REF!</definedName>
    <definedName name="BCJanAug" localSheetId="0">#REF!</definedName>
    <definedName name="BCJanAug" localSheetId="7">#REF!</definedName>
    <definedName name="BCJanAug">#REF!</definedName>
    <definedName name="BCJanDec" localSheetId="0">#REF!</definedName>
    <definedName name="BCJanDec" localSheetId="7">#REF!</definedName>
    <definedName name="BCJanDec">#REF!</definedName>
    <definedName name="BCJanFeb" localSheetId="0">#REF!</definedName>
    <definedName name="BCJanFeb" localSheetId="7">#REF!</definedName>
    <definedName name="BCJanFeb">#REF!</definedName>
    <definedName name="BCJanJul" localSheetId="0">#REF!</definedName>
    <definedName name="BCJanJul" localSheetId="7">#REF!</definedName>
    <definedName name="BCJanJul">#REF!</definedName>
    <definedName name="BCJanJun" localSheetId="0">#REF!</definedName>
    <definedName name="BCJanJun" localSheetId="7">#REF!</definedName>
    <definedName name="BCJanJun">#REF!</definedName>
    <definedName name="BCJanMar" localSheetId="0">#REF!</definedName>
    <definedName name="BCJanMar" localSheetId="7">#REF!</definedName>
    <definedName name="BCJanMar">#REF!</definedName>
    <definedName name="BCJanMay" localSheetId="0">#REF!</definedName>
    <definedName name="BCJanMay" localSheetId="7">#REF!</definedName>
    <definedName name="BCJanMay">#REF!</definedName>
    <definedName name="BCJanNov" localSheetId="0">#REF!</definedName>
    <definedName name="BCJanNov" localSheetId="7">#REF!</definedName>
    <definedName name="BCJanNov">#REF!</definedName>
    <definedName name="BCJanOct" localSheetId="0">#REF!</definedName>
    <definedName name="BCJanOct" localSheetId="7">#REF!</definedName>
    <definedName name="BCJanOct">#REF!</definedName>
    <definedName name="BCJanSep" localSheetId="0">#REF!</definedName>
    <definedName name="BCJanSep" localSheetId="7">#REF!</definedName>
    <definedName name="BCJanSep">#REF!</definedName>
    <definedName name="BCJulDec" localSheetId="0">#REF!</definedName>
    <definedName name="BCJulDec" localSheetId="7">#REF!</definedName>
    <definedName name="BCJulDec">#REF!</definedName>
    <definedName name="BCJunDec" localSheetId="0">#REF!</definedName>
    <definedName name="BCJunDec" localSheetId="7">#REF!</definedName>
    <definedName name="BCJunDec">#REF!</definedName>
    <definedName name="BCMarDec" localSheetId="0">#REF!</definedName>
    <definedName name="BCMarDec" localSheetId="7">#REF!</definedName>
    <definedName name="BCMarDec">#REF!</definedName>
    <definedName name="BCMayDec" localSheetId="0">#REF!</definedName>
    <definedName name="BCMayDec" localSheetId="7">#REF!</definedName>
    <definedName name="BCMayDec">#REF!</definedName>
    <definedName name="BCNovDec" localSheetId="0">#REF!</definedName>
    <definedName name="BCNovDec" localSheetId="7">#REF!</definedName>
    <definedName name="BCNovDec">#REF!</definedName>
    <definedName name="BCOctDec" localSheetId="0">#REF!</definedName>
    <definedName name="BCOctDec" localSheetId="7">#REF!</definedName>
    <definedName name="BCOctDec">#REF!</definedName>
    <definedName name="BCSepDec" localSheetId="0">#REF!</definedName>
    <definedName name="BCSepDec" localSheetId="7">#REF!</definedName>
    <definedName name="BCSepDec">#REF!</definedName>
    <definedName name="BGMAprDec" localSheetId="0">#REF!</definedName>
    <definedName name="BGMAprDec" localSheetId="7">#REF!</definedName>
    <definedName name="BGMAprDec">#REF!</definedName>
    <definedName name="BGMAugDec" localSheetId="0">#REF!</definedName>
    <definedName name="BGMAugDec" localSheetId="7">#REF!</definedName>
    <definedName name="BGMAugDec">#REF!</definedName>
    <definedName name="BGMDec" localSheetId="0">#REF!</definedName>
    <definedName name="BGMDec" localSheetId="7">#REF!</definedName>
    <definedName name="BGMDec">#REF!</definedName>
    <definedName name="BGMFebDec" localSheetId="0">#REF!</definedName>
    <definedName name="BGMFebDec" localSheetId="7">#REF!</definedName>
    <definedName name="BGMFebDec">#REF!</definedName>
    <definedName name="BGMJan" localSheetId="0">#REF!</definedName>
    <definedName name="BGMJan" localSheetId="7">#REF!</definedName>
    <definedName name="BGMJan">#REF!</definedName>
    <definedName name="BGMJanApr" localSheetId="0">#REF!</definedName>
    <definedName name="BGMJanApr" localSheetId="7">#REF!</definedName>
    <definedName name="BGMJanApr">#REF!</definedName>
    <definedName name="BGMJanAug" localSheetId="0">#REF!</definedName>
    <definedName name="BGMJanAug" localSheetId="7">#REF!</definedName>
    <definedName name="BGMJanAug">#REF!</definedName>
    <definedName name="BGMJanDec" localSheetId="0">#REF!</definedName>
    <definedName name="BGMJanDec" localSheetId="7">#REF!</definedName>
    <definedName name="BGMJanDec">#REF!</definedName>
    <definedName name="BGMJanFeb" localSheetId="0">#REF!</definedName>
    <definedName name="BGMJanFeb" localSheetId="7">#REF!</definedName>
    <definedName name="BGMJanFeb">#REF!</definedName>
    <definedName name="BGMJanJul" localSheetId="0">#REF!</definedName>
    <definedName name="BGMJanJul" localSheetId="7">#REF!</definedName>
    <definedName name="BGMJanJul">#REF!</definedName>
    <definedName name="BGMJanJun" localSheetId="0">#REF!</definedName>
    <definedName name="BGMJanJun" localSheetId="7">#REF!</definedName>
    <definedName name="BGMJanJun">#REF!</definedName>
    <definedName name="BGMJanMar" localSheetId="0">#REF!</definedName>
    <definedName name="BGMJanMar" localSheetId="7">#REF!</definedName>
    <definedName name="BGMJanMar">#REF!</definedName>
    <definedName name="BGMJanMay" localSheetId="0">#REF!</definedName>
    <definedName name="BGMJanMay" localSheetId="7">#REF!</definedName>
    <definedName name="BGMJanMay">#REF!</definedName>
    <definedName name="BGMJanNov" localSheetId="0">#REF!</definedName>
    <definedName name="BGMJanNov" localSheetId="7">#REF!</definedName>
    <definedName name="BGMJanNov">#REF!</definedName>
    <definedName name="BGMJanOct" localSheetId="0">#REF!</definedName>
    <definedName name="BGMJanOct" localSheetId="7">#REF!</definedName>
    <definedName name="BGMJanOct">#REF!</definedName>
    <definedName name="BGMJanSep" localSheetId="0">#REF!</definedName>
    <definedName name="BGMJanSep" localSheetId="7">#REF!</definedName>
    <definedName name="BGMJanSep">#REF!</definedName>
    <definedName name="BGMJulDec" localSheetId="0">#REF!</definedName>
    <definedName name="BGMJulDec" localSheetId="7">#REF!</definedName>
    <definedName name="BGMJulDec">#REF!</definedName>
    <definedName name="BGMJunDec" localSheetId="0">#REF!</definedName>
    <definedName name="BGMJunDec" localSheetId="7">#REF!</definedName>
    <definedName name="BGMJunDec">#REF!</definedName>
    <definedName name="BGMMarDec" localSheetId="0">#REF!</definedName>
    <definedName name="BGMMarDec" localSheetId="7">#REF!</definedName>
    <definedName name="BGMMarDec">#REF!</definedName>
    <definedName name="BGMMayDec" localSheetId="0">#REF!</definedName>
    <definedName name="BGMMayDec" localSheetId="7">#REF!</definedName>
    <definedName name="BGMMayDec">#REF!</definedName>
    <definedName name="BGMNovDec" localSheetId="0">#REF!</definedName>
    <definedName name="BGMNovDec" localSheetId="7">#REF!</definedName>
    <definedName name="BGMNovDec">#REF!</definedName>
    <definedName name="BGMOctDec" localSheetId="0">#REF!</definedName>
    <definedName name="BGMOctDec" localSheetId="7">#REF!</definedName>
    <definedName name="BGMOctDec">#REF!</definedName>
    <definedName name="BGMSepDec" localSheetId="0">#REF!</definedName>
    <definedName name="BGMSepDec" localSheetId="7">#REF!</definedName>
    <definedName name="BGMSepDec">#REF!</definedName>
    <definedName name="BUAprDec" localSheetId="0">#REF!</definedName>
    <definedName name="BUAprDec" localSheetId="7">#REF!</definedName>
    <definedName name="BUAprDec">#REF!</definedName>
    <definedName name="BUAugDec" localSheetId="0">#REF!</definedName>
    <definedName name="BUAugDec" localSheetId="7">#REF!</definedName>
    <definedName name="BUAugDec">#REF!</definedName>
    <definedName name="BUDec" localSheetId="0">#REF!</definedName>
    <definedName name="BUDec" localSheetId="7">#REF!</definedName>
    <definedName name="BUDec">#REF!</definedName>
    <definedName name="BUFebDec" localSheetId="0">#REF!</definedName>
    <definedName name="BUFebDec" localSheetId="7">#REF!</definedName>
    <definedName name="BUFebDec">#REF!</definedName>
    <definedName name="BUJan" localSheetId="0">#REF!</definedName>
    <definedName name="BUJan" localSheetId="7">#REF!</definedName>
    <definedName name="BUJan">#REF!</definedName>
    <definedName name="BUJanApr" localSheetId="0">#REF!</definedName>
    <definedName name="BUJanApr" localSheetId="7">#REF!</definedName>
    <definedName name="BUJanApr">#REF!</definedName>
    <definedName name="BUJanAug" localSheetId="0">#REF!</definedName>
    <definedName name="BUJanAug" localSheetId="7">#REF!</definedName>
    <definedName name="BUJanAug">#REF!</definedName>
    <definedName name="BUJanDec" localSheetId="0">#REF!</definedName>
    <definedName name="BUJanDec" localSheetId="7">#REF!</definedName>
    <definedName name="BUJanDec">#REF!</definedName>
    <definedName name="BUJanFeb" localSheetId="0">#REF!</definedName>
    <definedName name="BUJanFeb" localSheetId="7">#REF!</definedName>
    <definedName name="BUJanFeb">#REF!</definedName>
    <definedName name="BUJanJul" localSheetId="0">#REF!</definedName>
    <definedName name="BUJanJul" localSheetId="7">#REF!</definedName>
    <definedName name="BUJanJul">#REF!</definedName>
    <definedName name="BUJanJun" localSheetId="0">#REF!</definedName>
    <definedName name="BUJanJun" localSheetId="7">#REF!</definedName>
    <definedName name="BUJanJun">#REF!</definedName>
    <definedName name="BUJanMar" localSheetId="0">#REF!</definedName>
    <definedName name="BUJanMar" localSheetId="7">#REF!</definedName>
    <definedName name="BUJanMar">#REF!</definedName>
    <definedName name="BUJanMay" localSheetId="0">#REF!</definedName>
    <definedName name="BUJanMay" localSheetId="7">#REF!</definedName>
    <definedName name="BUJanMay">#REF!</definedName>
    <definedName name="BUJanNov" localSheetId="0">#REF!</definedName>
    <definedName name="BUJanNov" localSheetId="7">#REF!</definedName>
    <definedName name="BUJanNov">#REF!</definedName>
    <definedName name="BUJanOct" localSheetId="0">#REF!</definedName>
    <definedName name="BUJanOct" localSheetId="7">#REF!</definedName>
    <definedName name="BUJanOct">#REF!</definedName>
    <definedName name="BUJanSep" localSheetId="0">#REF!</definedName>
    <definedName name="BUJanSep" localSheetId="7">#REF!</definedName>
    <definedName name="BUJanSep">#REF!</definedName>
    <definedName name="BUJulDec" localSheetId="0">#REF!</definedName>
    <definedName name="BUJulDec" localSheetId="7">#REF!</definedName>
    <definedName name="BUJulDec">#REF!</definedName>
    <definedName name="BUJunDec" localSheetId="0">#REF!</definedName>
    <definedName name="BUJunDec" localSheetId="7">#REF!</definedName>
    <definedName name="BUJunDec">#REF!</definedName>
    <definedName name="BUMarDec" localSheetId="0">#REF!</definedName>
    <definedName name="BUMarDec" localSheetId="7">#REF!</definedName>
    <definedName name="BUMarDec">#REF!</definedName>
    <definedName name="BUMayDec" localSheetId="0">#REF!</definedName>
    <definedName name="BUMayDec" localSheetId="7">#REF!</definedName>
    <definedName name="BUMayDec">#REF!</definedName>
    <definedName name="BUNovDec" localSheetId="0">#REF!</definedName>
    <definedName name="BUNovDec" localSheetId="7">#REF!</definedName>
    <definedName name="BUNovDec">#REF!</definedName>
    <definedName name="BUOctDec" localSheetId="0">#REF!</definedName>
    <definedName name="BUOctDec" localSheetId="7">#REF!</definedName>
    <definedName name="BUOctDec">#REF!</definedName>
    <definedName name="BUSepDec" localSheetId="0">#REF!</definedName>
    <definedName name="BUSepDec" localSheetId="7">#REF!</definedName>
    <definedName name="BUSepDec">#REF!</definedName>
    <definedName name="Cap">'[2]2002'!$A$1:$O$101</definedName>
    <definedName name="CAPITAL" localSheetId="0">#REF!</definedName>
    <definedName name="CAPITAL" localSheetId="7">#REF!</definedName>
    <definedName name="CAPITAL">#REF!</definedName>
    <definedName name="CAprDec" localSheetId="0">#REF!</definedName>
    <definedName name="CAprDec" localSheetId="7">#REF!</definedName>
    <definedName name="CAprDec">#REF!</definedName>
    <definedName name="CAPSUM" localSheetId="0">#REF!</definedName>
    <definedName name="CAPSUM" localSheetId="7">#REF!</definedName>
    <definedName name="CAPSUM">#REF!</definedName>
    <definedName name="CAugDec" localSheetId="0">#REF!</definedName>
    <definedName name="CAugDec" localSheetId="7">#REF!</definedName>
    <definedName name="CAugDec">#REF!</definedName>
    <definedName name="CDec" localSheetId="0">#REF!</definedName>
    <definedName name="CDec" localSheetId="7">#REF!</definedName>
    <definedName name="CDec">#REF!</definedName>
    <definedName name="CFebDec" localSheetId="0">#REF!</definedName>
    <definedName name="CFebDec" localSheetId="7">#REF!</definedName>
    <definedName name="CFebDec">#REF!</definedName>
    <definedName name="CJan" localSheetId="0">#REF!</definedName>
    <definedName name="CJan" localSheetId="7">#REF!</definedName>
    <definedName name="CJan">#REF!</definedName>
    <definedName name="CJanApr" localSheetId="0">#REF!</definedName>
    <definedName name="CJanApr" localSheetId="7">#REF!</definedName>
    <definedName name="CJanApr">#REF!</definedName>
    <definedName name="CJanAug" localSheetId="0">#REF!</definedName>
    <definedName name="CJanAug" localSheetId="7">#REF!</definedName>
    <definedName name="CJanAug">#REF!</definedName>
    <definedName name="CJanDec" localSheetId="0">#REF!</definedName>
    <definedName name="CJanDec" localSheetId="7">#REF!</definedName>
    <definedName name="CJanDec">#REF!</definedName>
    <definedName name="CJanFeb" localSheetId="0">#REF!</definedName>
    <definedName name="CJanFeb" localSheetId="7">#REF!</definedName>
    <definedName name="CJanFeb">#REF!</definedName>
    <definedName name="CJanJul" localSheetId="0">#REF!</definedName>
    <definedName name="CJanJul" localSheetId="7">#REF!</definedName>
    <definedName name="CJanJul">#REF!</definedName>
    <definedName name="CJanJun" localSheetId="0">#REF!</definedName>
    <definedName name="CJanJun" localSheetId="7">#REF!</definedName>
    <definedName name="CJanJun">#REF!</definedName>
    <definedName name="CJanMar" localSheetId="0">#REF!</definedName>
    <definedName name="CJanMar" localSheetId="7">#REF!</definedName>
    <definedName name="CJanMar">#REF!</definedName>
    <definedName name="CJanMay" localSheetId="0">#REF!</definedName>
    <definedName name="CJanMay" localSheetId="7">#REF!</definedName>
    <definedName name="CJanMay">#REF!</definedName>
    <definedName name="CJanNov" localSheetId="0">#REF!</definedName>
    <definedName name="CJanNov" localSheetId="7">#REF!</definedName>
    <definedName name="CJanNov">#REF!</definedName>
    <definedName name="CJanOct" localSheetId="0">#REF!</definedName>
    <definedName name="CJanOct" localSheetId="7">#REF!</definedName>
    <definedName name="CJanOct">#REF!</definedName>
    <definedName name="CJanSep" localSheetId="0">#REF!</definedName>
    <definedName name="CJanSep" localSheetId="7">#REF!</definedName>
    <definedName name="CJanSep">#REF!</definedName>
    <definedName name="CJulDec" localSheetId="0">#REF!</definedName>
    <definedName name="CJulDec" localSheetId="7">#REF!</definedName>
    <definedName name="CJulDec">#REF!</definedName>
    <definedName name="CJunDec" localSheetId="0">#REF!</definedName>
    <definedName name="CJunDec" localSheetId="7">#REF!</definedName>
    <definedName name="CJunDec">#REF!</definedName>
    <definedName name="CMarDec" localSheetId="0">#REF!</definedName>
    <definedName name="CMarDec" localSheetId="7">#REF!</definedName>
    <definedName name="CMarDec">#REF!</definedName>
    <definedName name="CMayDec" localSheetId="0">#REF!</definedName>
    <definedName name="CMayDec" localSheetId="7">#REF!</definedName>
    <definedName name="CMayDec">#REF!</definedName>
    <definedName name="CNovDec" localSheetId="0">#REF!</definedName>
    <definedName name="CNovDec" localSheetId="7">#REF!</definedName>
    <definedName name="CNovDec">#REF!</definedName>
    <definedName name="COctDec" localSheetId="0">#REF!</definedName>
    <definedName name="COctDec" localSheetId="7">#REF!</definedName>
    <definedName name="COctDec">#REF!</definedName>
    <definedName name="COSBYCLASS2" localSheetId="0">#REF!</definedName>
    <definedName name="COSBYCLASS2" localSheetId="7">#REF!</definedName>
    <definedName name="COSBYCLASS2">#REF!</definedName>
    <definedName name="CSepDec" localSheetId="0">#REF!</definedName>
    <definedName name="CSepDec" localSheetId="7">#REF!</definedName>
    <definedName name="CSepDec">#REF!</definedName>
    <definedName name="DELIVINCREM" localSheetId="0">#REF!</definedName>
    <definedName name="DELIVINCREM" localSheetId="7">#REF!</definedName>
    <definedName name="DELIVINCREM">#REF!</definedName>
    <definedName name="DEPRBYDIST">[3]DeprCoDetail:DeprSum!$A$1:$G$36</definedName>
    <definedName name="DETAILHESTER" localSheetId="0">#REF!</definedName>
    <definedName name="DETAILHESTER" localSheetId="7">#REF!</definedName>
    <definedName name="DETAILHESTER">#REF!</definedName>
    <definedName name="EMINTOPGAS" localSheetId="0">#REF!</definedName>
    <definedName name="EMINTOPGAS" localSheetId="7">#REF!</definedName>
    <definedName name="EMINTOPGAS">#REF!</definedName>
    <definedName name="FACTORS2" localSheetId="0">#REF!</definedName>
    <definedName name="FACTORS2" localSheetId="7">#REF!</definedName>
    <definedName name="FACTORS2">#REF!</definedName>
    <definedName name="fds">'[4]FRCT INPUT-CFG'!$D$41:$H$41</definedName>
    <definedName name="Forecast_Period" localSheetId="7">'[5]List Master'!$A$3:$A$13</definedName>
    <definedName name="Forecast_Period">'[6]List Master'!$A$3:$A$13</definedName>
    <definedName name="GMAprDec" localSheetId="0">#REF!</definedName>
    <definedName name="GMAprDec" localSheetId="7">#REF!</definedName>
    <definedName name="GMAprDec">#REF!</definedName>
    <definedName name="GMAugDec" localSheetId="0">#REF!</definedName>
    <definedName name="GMAugDec" localSheetId="7">#REF!</definedName>
    <definedName name="GMAugDec">#REF!</definedName>
    <definedName name="GMDec" localSheetId="0">#REF!</definedName>
    <definedName name="GMDec" localSheetId="7">#REF!</definedName>
    <definedName name="GMDec">#REF!</definedName>
    <definedName name="GMFebDec" localSheetId="0">#REF!</definedName>
    <definedName name="GMFebDec" localSheetId="7">#REF!</definedName>
    <definedName name="GMFebDec">#REF!</definedName>
    <definedName name="GMJan" localSheetId="0">#REF!</definedName>
    <definedName name="GMJan" localSheetId="7">#REF!</definedName>
    <definedName name="GMJan">#REF!</definedName>
    <definedName name="GMJanApr" localSheetId="0">#REF!</definedName>
    <definedName name="GMJanApr" localSheetId="7">#REF!</definedName>
    <definedName name="GMJanApr">#REF!</definedName>
    <definedName name="GMJanAug" localSheetId="0">#REF!</definedName>
    <definedName name="GMJanAug" localSheetId="7">#REF!</definedName>
    <definedName name="GMJanAug">#REF!</definedName>
    <definedName name="GMJanDec" localSheetId="0">#REF!</definedName>
    <definedName name="GMJanDec" localSheetId="7">#REF!</definedName>
    <definedName name="GMJanDec">#REF!</definedName>
    <definedName name="GMJanFeb" localSheetId="0">#REF!</definedName>
    <definedName name="GMJanFeb" localSheetId="7">#REF!</definedName>
    <definedName name="GMJanFeb">#REF!</definedName>
    <definedName name="GMJanJul" localSheetId="0">#REF!</definedName>
    <definedName name="GMJanJul" localSheetId="7">#REF!</definedName>
    <definedName name="GMJanJul">#REF!</definedName>
    <definedName name="GMJanJun" localSheetId="0">#REF!</definedName>
    <definedName name="GMJanJun" localSheetId="7">#REF!</definedName>
    <definedName name="GMJanJun">#REF!</definedName>
    <definedName name="GMJanMar" localSheetId="0">#REF!</definedName>
    <definedName name="GMJanMar" localSheetId="7">#REF!</definedName>
    <definedName name="GMJanMar">#REF!</definedName>
    <definedName name="GMJanMay" localSheetId="0">#REF!</definedName>
    <definedName name="GMJanMay" localSheetId="7">#REF!</definedName>
    <definedName name="GMJanMay">#REF!</definedName>
    <definedName name="GMJanNov" localSheetId="0">#REF!</definedName>
    <definedName name="GMJanNov" localSheetId="7">#REF!</definedName>
    <definedName name="GMJanNov">#REF!</definedName>
    <definedName name="GMJanOct" localSheetId="0">#REF!</definedName>
    <definedName name="GMJanOct" localSheetId="7">#REF!</definedName>
    <definedName name="GMJanOct">#REF!</definedName>
    <definedName name="GMJanSep" localSheetId="0">#REF!</definedName>
    <definedName name="GMJanSep" localSheetId="7">#REF!</definedName>
    <definedName name="GMJanSep">#REF!</definedName>
    <definedName name="GMJulDec" localSheetId="0">#REF!</definedName>
    <definedName name="GMJulDec" localSheetId="7">#REF!</definedName>
    <definedName name="GMJulDec">#REF!</definedName>
    <definedName name="GMJunDec" localSheetId="0">#REF!</definedName>
    <definedName name="GMJunDec" localSheetId="7">#REF!</definedName>
    <definedName name="GMJunDec">#REF!</definedName>
    <definedName name="GMMarDec" localSheetId="0">#REF!</definedName>
    <definedName name="GMMarDec" localSheetId="7">#REF!</definedName>
    <definedName name="GMMarDec">#REF!</definedName>
    <definedName name="GMMayDec" localSheetId="0">#REF!</definedName>
    <definedName name="GMMayDec" localSheetId="7">#REF!</definedName>
    <definedName name="GMMayDec">#REF!</definedName>
    <definedName name="GMNovDec" localSheetId="0">#REF!</definedName>
    <definedName name="GMNovDec" localSheetId="7">#REF!</definedName>
    <definedName name="GMNovDec">#REF!</definedName>
    <definedName name="GMOctDec" localSheetId="0">#REF!</definedName>
    <definedName name="GMOctDec" localSheetId="7">#REF!</definedName>
    <definedName name="GMOctDec">#REF!</definedName>
    <definedName name="GMSepDec" localSheetId="0">#REF!</definedName>
    <definedName name="GMSepDec" localSheetId="7">#REF!</definedName>
    <definedName name="GMSepDec">#REF!</definedName>
    <definedName name="INCREMCOS" localSheetId="0">#REF!</definedName>
    <definedName name="INCREMCOS" localSheetId="7">#REF!</definedName>
    <definedName name="INCREMCOS">#REF!</definedName>
    <definedName name="INCREMDELIV" localSheetId="0">#REF!</definedName>
    <definedName name="INCREMDELIV" localSheetId="7">#REF!</definedName>
    <definedName name="INCREMDELIV">#REF!</definedName>
    <definedName name="INCREMDTMILES" localSheetId="0">#REF!</definedName>
    <definedName name="INCREMDTMILES" localSheetId="7">#REF!</definedName>
    <definedName name="INCREMDTMILES">#REF!</definedName>
    <definedName name="INCREMINPUT" localSheetId="0">#REF!</definedName>
    <definedName name="INCREMINPUT" localSheetId="7">#REF!</definedName>
    <definedName name="INCREMINPUT">#REF!</definedName>
    <definedName name="INPUT1" localSheetId="0">#REF!</definedName>
    <definedName name="INPUT1" localSheetId="7">#REF!</definedName>
    <definedName name="INPUT1">#REF!</definedName>
    <definedName name="INPUT2" localSheetId="0">#REF!</definedName>
    <definedName name="INPUT2" localSheetId="7">#REF!</definedName>
    <definedName name="INPUT2">#REF!</definedName>
    <definedName name="INPUT3" localSheetId="0">#REF!</definedName>
    <definedName name="INPUT3" localSheetId="7">#REF!</definedName>
    <definedName name="INPUT3">#REF!</definedName>
    <definedName name="INPUT4" localSheetId="0">#REF!</definedName>
    <definedName name="INPUT4" localSheetId="7">#REF!</definedName>
    <definedName name="INPUT4">#REF!</definedName>
    <definedName name="INPUTINCREMDEL" localSheetId="0">#REF!</definedName>
    <definedName name="INPUTINCREMDEL" localSheetId="7">#REF!</definedName>
    <definedName name="INPUTINCREMDEL">#REF!</definedName>
    <definedName name="INPUTINCREMMILE" localSheetId="0">#REF!</definedName>
    <definedName name="INPUTINCREMMILE" localSheetId="7">#REF!</definedName>
    <definedName name="INPUTINCREMMILE">#REF!</definedName>
    <definedName name="INPUTOTHERMILES" localSheetId="0">#REF!</definedName>
    <definedName name="INPUTOTHERMILES" localSheetId="7">#REF!</definedName>
    <definedName name="INPUTOTHERMILES">#REF!</definedName>
    <definedName name="INPUTSTORLABOR" localSheetId="0">#REF!</definedName>
    <definedName name="INPUTSTORLABOR" localSheetId="7">#REF!</definedName>
    <definedName name="INPUTSTORLABOR">#REF!</definedName>
    <definedName name="INPUTSTORMAT" localSheetId="0">#REF!</definedName>
    <definedName name="INPUTSTORMAT" localSheetId="7">#REF!</definedName>
    <definedName name="INPUTSTORMAT">#REF!</definedName>
    <definedName name="INPUTSTORPRINT" localSheetId="0">#REF!</definedName>
    <definedName name="INPUTSTORPRINT" localSheetId="7">#REF!</definedName>
    <definedName name="INPUTSTORPRINT">#REF!</definedName>
    <definedName name="l" localSheetId="0">[1]DE!#REF!</definedName>
    <definedName name="l" localSheetId="7">[1]DE!#REF!</definedName>
    <definedName name="l">[1]DE!#REF!</definedName>
    <definedName name="MIDLADETAILED" localSheetId="0">#REF!</definedName>
    <definedName name="MIDLADETAILED" localSheetId="7">#REF!</definedName>
    <definedName name="MIDLADETAILED">#REF!</definedName>
    <definedName name="MILESINCREM" localSheetId="0">#REF!</definedName>
    <definedName name="MILESINCREM" localSheetId="7">#REF!</definedName>
    <definedName name="MILESINCREM">#REF!</definedName>
    <definedName name="MILESINDICATOR" localSheetId="0">#REF!</definedName>
    <definedName name="MILESINDICATOR" localSheetId="7">#REF!</definedName>
    <definedName name="MILESINDICATOR">#REF!</definedName>
    <definedName name="MOBILBAYPROJECT" localSheetId="0">#REF!</definedName>
    <definedName name="MOBILBAYPROJECT" localSheetId="7">#REF!</definedName>
    <definedName name="MOBILBAYPROJECT">#REF!</definedName>
    <definedName name="MONTHLY_DEPR2" localSheetId="0">#REF!</definedName>
    <definedName name="MONTHLY_DEPR2" localSheetId="7">#REF!</definedName>
    <definedName name="MONTHLY_DEPR2">#REF!</definedName>
    <definedName name="OTHERTHANZONE6" localSheetId="0">#REF!</definedName>
    <definedName name="OTHERTHANZONE6" localSheetId="7">#REF!</definedName>
    <definedName name="OTHERTHANZONE6">#REF!</definedName>
    <definedName name="PAGE11" localSheetId="0">[7]Prepayments!#REF!</definedName>
    <definedName name="PAGE11" localSheetId="7">[7]Prepayments!#REF!</definedName>
    <definedName name="PAGE11">[7]Prepayments!#REF!</definedName>
    <definedName name="PAGE12" localSheetId="0">[7]Prepayments!#REF!</definedName>
    <definedName name="PAGE12" localSheetId="7">[7]Prepayments!#REF!</definedName>
    <definedName name="PAGE12">[7]Prepayments!#REF!</definedName>
    <definedName name="PAGE13" localSheetId="0">[7]Prepayments!#REF!</definedName>
    <definedName name="PAGE13" localSheetId="7">[7]Prepayments!#REF!</definedName>
    <definedName name="PAGE13">[7]Prepayments!#REF!</definedName>
    <definedName name="PAGE14" localSheetId="0">#REF!</definedName>
    <definedName name="PAGE14" localSheetId="7">#REF!</definedName>
    <definedName name="PAGE14">#REF!</definedName>
    <definedName name="PAGE15" localSheetId="0">[7]RateBase!#REF!</definedName>
    <definedName name="PAGE15" localSheetId="7">[7]RateBase!#REF!</definedName>
    <definedName name="PAGE15">[7]RateBase!#REF!</definedName>
    <definedName name="PIPELINE_INPUT">'[8]FPL Interconnect Actual'!$E$7:$P$53</definedName>
    <definedName name="PLANT_BAL2" localSheetId="0">#REF!</definedName>
    <definedName name="PLANT_BAL2" localSheetId="7">#REF!</definedName>
    <definedName name="PLANT_BAL2">#REF!</definedName>
    <definedName name="PRINT" localSheetId="0">#REF!</definedName>
    <definedName name="PRINT" localSheetId="7">#REF!</definedName>
    <definedName name="PRINT">#REF!</definedName>
    <definedName name="_xlnm.Print_Area">#REF!</definedName>
    <definedName name="PRINT_EXPLANATI" localSheetId="0">#REF!</definedName>
    <definedName name="PRINT_EXPLANATI" localSheetId="7">#REF!</definedName>
    <definedName name="PRINT_EXPLANATI">#REF!</definedName>
    <definedName name="_xlnm.Print_Titles">#REF!</definedName>
    <definedName name="PRINTADJ" localSheetId="0">#REF!</definedName>
    <definedName name="PRINTADJ" localSheetId="7">#REF!</definedName>
    <definedName name="PRINTADJ">#REF!</definedName>
    <definedName name="PRODUCTION" localSheetId="0">#REF!</definedName>
    <definedName name="PRODUCTION" localSheetId="7">#REF!</definedName>
    <definedName name="PRODUCTION">#REF!</definedName>
    <definedName name="REG_ASSET" localSheetId="0">#REF!</definedName>
    <definedName name="REG_ASSET" localSheetId="7">#REF!</definedName>
    <definedName name="REG_ASSET">#REF!</definedName>
    <definedName name="RET" localSheetId="0">#REF!</definedName>
    <definedName name="RET" localSheetId="7">#REF!</definedName>
    <definedName name="RET">#REF!</definedName>
    <definedName name="RET_BY_DIST" localSheetId="0">#REF!</definedName>
    <definedName name="RET_BY_DIST" localSheetId="7">#REF!</definedName>
    <definedName name="RET_BY_DIST">#REF!</definedName>
    <definedName name="ROETAX" localSheetId="0">#REF!</definedName>
    <definedName name="ROETAX" localSheetId="7">#REF!</definedName>
    <definedName name="ROETAX">#REF!</definedName>
    <definedName name="STORBASE2" localSheetId="0">#REF!</definedName>
    <definedName name="STORBASE2" localSheetId="7">#REF!</definedName>
    <definedName name="STORBASE2">#REF!</definedName>
    <definedName name="Summ">'[9]DEL-updated'!$A$11:$T$372</definedName>
    <definedName name="TRUEUP_BAL2" localSheetId="0">#REF!</definedName>
    <definedName name="TRUEUP_BAL2" localSheetId="7">#REF!</definedName>
    <definedName name="TRUEUP_BAL2">#REF!</definedName>
  </definedNames>
  <calcPr calcId="162913"/>
  <pivotCaches>
    <pivotCache cacheId="0" r:id="rId19"/>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21" l="1"/>
  <c r="N6" i="21"/>
  <c r="N7" i="21"/>
  <c r="N8" i="21"/>
  <c r="N9" i="21"/>
  <c r="N5" i="21"/>
  <c r="M10" i="21"/>
  <c r="L10" i="21"/>
  <c r="K10" i="21"/>
  <c r="J10" i="21"/>
  <c r="I10" i="21"/>
  <c r="H10" i="21"/>
  <c r="G10" i="21"/>
  <c r="F10" i="21"/>
  <c r="E10" i="21"/>
  <c r="D10" i="21"/>
  <c r="C10" i="21"/>
  <c r="B10" i="21"/>
  <c r="N10" i="21" l="1"/>
  <c r="N27" i="19" l="1"/>
  <c r="N24" i="19"/>
  <c r="N23" i="19"/>
  <c r="N22" i="19"/>
  <c r="N21" i="19"/>
  <c r="N20" i="19"/>
  <c r="N17" i="19"/>
  <c r="N13" i="19"/>
  <c r="C14" i="19"/>
  <c r="D14" i="19"/>
  <c r="E14" i="19"/>
  <c r="F14" i="19"/>
  <c r="G14" i="19"/>
  <c r="H14" i="19"/>
  <c r="I14" i="19"/>
  <c r="J14" i="19"/>
  <c r="K14" i="19"/>
  <c r="L14" i="19"/>
  <c r="M14" i="19"/>
  <c r="B14" i="19"/>
  <c r="C10" i="19"/>
  <c r="D10" i="19"/>
  <c r="E10" i="19"/>
  <c r="F10" i="19"/>
  <c r="G10" i="19"/>
  <c r="H10" i="19"/>
  <c r="I10" i="19"/>
  <c r="J10" i="19"/>
  <c r="K10" i="19"/>
  <c r="L10" i="19"/>
  <c r="M10" i="19"/>
  <c r="B10" i="19"/>
  <c r="N6" i="19"/>
  <c r="N7" i="19"/>
  <c r="N8" i="19"/>
  <c r="N9" i="19"/>
  <c r="N5" i="19"/>
  <c r="N10" i="19" l="1"/>
  <c r="N14" i="19"/>
  <c r="E22" i="18"/>
  <c r="E23" i="18" s="1"/>
  <c r="D22" i="18"/>
  <c r="D23" i="18" s="1"/>
  <c r="D24" i="18" s="1"/>
  <c r="G20" i="18"/>
  <c r="G22" i="18" s="1"/>
  <c r="G23" i="18" s="1"/>
  <c r="F20" i="18"/>
  <c r="F22" i="18" s="1"/>
  <c r="F23" i="18" s="1"/>
  <c r="E20" i="18"/>
  <c r="D20" i="18"/>
  <c r="Q19" i="18"/>
  <c r="F24" i="18" l="1"/>
  <c r="G24" i="18" s="1"/>
  <c r="E24" i="18"/>
  <c r="H20" i="18"/>
  <c r="I20" i="18" l="1"/>
  <c r="H22" i="18"/>
  <c r="H23" i="18" s="1"/>
  <c r="H24" i="18" s="1"/>
  <c r="H7" i="16"/>
  <c r="I22" i="18" l="1"/>
  <c r="I23" i="18" s="1"/>
  <c r="I24" i="18" s="1"/>
  <c r="J20" i="18"/>
  <c r="I7" i="16"/>
  <c r="C8" i="16"/>
  <c r="C6" i="16"/>
  <c r="H6" i="16" s="1"/>
  <c r="C5" i="16"/>
  <c r="H5" i="16" s="1"/>
  <c r="J22" i="18" l="1"/>
  <c r="J23" i="18" s="1"/>
  <c r="J24" i="18" s="1"/>
  <c r="K20" i="18"/>
  <c r="J7" i="16"/>
  <c r="J6" i="16"/>
  <c r="I6" i="16"/>
  <c r="J5" i="16"/>
  <c r="H8" i="16"/>
  <c r="I5" i="16"/>
  <c r="K22" i="18" l="1"/>
  <c r="K23" i="18" s="1"/>
  <c r="K24" i="18" s="1"/>
  <c r="L20" i="18"/>
  <c r="H9" i="16"/>
  <c r="H11" i="16" s="1"/>
  <c r="M20" i="18" l="1"/>
  <c r="L22" i="18"/>
  <c r="L23" i="18" s="1"/>
  <c r="L24" i="18" s="1"/>
  <c r="O21" i="16"/>
  <c r="K21" i="16"/>
  <c r="G21" i="16"/>
  <c r="M21" i="16"/>
  <c r="E21" i="16"/>
  <c r="P21" i="16"/>
  <c r="H21" i="16"/>
  <c r="N21" i="16"/>
  <c r="J21" i="16"/>
  <c r="F21" i="16"/>
  <c r="Q21" i="16"/>
  <c r="I21" i="16"/>
  <c r="L21" i="16"/>
  <c r="D21" i="16"/>
  <c r="D22" i="16" s="1"/>
  <c r="D24" i="16" s="1"/>
  <c r="D25" i="16" s="1"/>
  <c r="D26" i="16" s="1"/>
  <c r="M22" i="18" l="1"/>
  <c r="M23" i="18" s="1"/>
  <c r="M24" i="18" s="1"/>
  <c r="N20" i="18"/>
  <c r="E22" i="16"/>
  <c r="E24" i="16" s="1"/>
  <c r="E25" i="16" s="1"/>
  <c r="E26" i="16" s="1"/>
  <c r="N22" i="18" l="1"/>
  <c r="N23" i="18" s="1"/>
  <c r="N24" i="18" s="1"/>
  <c r="O20" i="18"/>
  <c r="F22" i="16"/>
  <c r="F24" i="16" s="1"/>
  <c r="F25" i="16" s="1"/>
  <c r="F26" i="16" s="1"/>
  <c r="G22" i="16"/>
  <c r="G24" i="16" s="1"/>
  <c r="G25" i="16" s="1"/>
  <c r="G26" i="16" s="1"/>
  <c r="O22" i="18" l="1"/>
  <c r="O23" i="18" s="1"/>
  <c r="O24" i="18" s="1"/>
  <c r="P20" i="18"/>
  <c r="H22" i="16"/>
  <c r="H24" i="16"/>
  <c r="H25" i="16" s="1"/>
  <c r="H26" i="16" s="1"/>
  <c r="I22" i="16"/>
  <c r="P22" i="18" l="1"/>
  <c r="P23" i="18" s="1"/>
  <c r="P24" i="18" s="1"/>
  <c r="Q20" i="18"/>
  <c r="I24" i="16"/>
  <c r="I25" i="16" s="1"/>
  <c r="I26" i="16" s="1"/>
  <c r="J22" i="16"/>
  <c r="Q22" i="18" l="1"/>
  <c r="Q23" i="18" s="1"/>
  <c r="Q24" i="18" s="1"/>
  <c r="H8" i="18" s="1"/>
  <c r="H9" i="18" s="1"/>
  <c r="J24" i="16"/>
  <c r="J25" i="16" s="1"/>
  <c r="J26" i="16" s="1"/>
  <c r="K22" i="16"/>
  <c r="C31" i="18" l="1"/>
  <c r="K24" i="16"/>
  <c r="K25" i="16" s="1"/>
  <c r="K26" i="16" s="1"/>
  <c r="L22" i="16"/>
  <c r="D31" i="18" l="1"/>
  <c r="E31" i="18" s="1"/>
  <c r="F31" i="18" s="1"/>
  <c r="G31" i="18" s="1"/>
  <c r="H31" i="18" s="1"/>
  <c r="I31" i="18" s="1"/>
  <c r="J31" i="18" s="1"/>
  <c r="K31" i="18" s="1"/>
  <c r="L31" i="18" s="1"/>
  <c r="M31" i="18" s="1"/>
  <c r="N31" i="18" s="1"/>
  <c r="O31" i="18" s="1"/>
  <c r="L24" i="16"/>
  <c r="L25" i="16" s="1"/>
  <c r="L26" i="16" s="1"/>
  <c r="M22" i="16"/>
  <c r="P31" i="18" l="1"/>
  <c r="M24" i="16"/>
  <c r="M25" i="16" s="1"/>
  <c r="M26" i="16" s="1"/>
  <c r="N22" i="16"/>
  <c r="N24" i="16" l="1"/>
  <c r="N25" i="16" s="1"/>
  <c r="N26" i="16" s="1"/>
  <c r="O22" i="16"/>
  <c r="O24" i="16" l="1"/>
  <c r="O25" i="16" s="1"/>
  <c r="O26" i="16" s="1"/>
  <c r="P22" i="16"/>
  <c r="P24" i="16" l="1"/>
  <c r="P25" i="16" s="1"/>
  <c r="P26" i="16" s="1"/>
  <c r="Q22" i="16"/>
  <c r="Q24" i="16" s="1"/>
  <c r="Q25" i="16" s="1"/>
  <c r="Q26" i="16" l="1"/>
  <c r="H12" i="16" s="1"/>
  <c r="H13" i="16" s="1"/>
  <c r="H15" i="16" s="1"/>
  <c r="C33" i="16" l="1"/>
  <c r="D33" i="16" s="1"/>
  <c r="E33" i="16" s="1"/>
  <c r="F33" i="16" s="1"/>
  <c r="G33" i="16" s="1"/>
  <c r="H33" i="16" s="1"/>
  <c r="I33" i="16" s="1"/>
  <c r="J33" i="16" s="1"/>
  <c r="K33" i="16" s="1"/>
  <c r="L33" i="16" s="1"/>
  <c r="M33" i="16" s="1"/>
  <c r="N33" i="16" s="1"/>
  <c r="O33" i="16" s="1"/>
  <c r="P33" i="16" l="1"/>
  <c r="AY94" i="12" l="1"/>
  <c r="Y94" i="12"/>
  <c r="X94" i="12"/>
  <c r="W94" i="12"/>
  <c r="V94" i="12"/>
  <c r="U94" i="12"/>
  <c r="T94" i="12"/>
  <c r="S94" i="12"/>
  <c r="R94" i="12"/>
  <c r="Q94" i="12"/>
  <c r="P94" i="12"/>
  <c r="O94" i="12"/>
  <c r="N94" i="12"/>
  <c r="M94" i="12"/>
  <c r="L94" i="12"/>
  <c r="K94" i="12"/>
  <c r="J94" i="12"/>
  <c r="I94" i="12"/>
  <c r="H94" i="12"/>
  <c r="G94" i="12"/>
  <c r="F94" i="12"/>
  <c r="E94" i="12"/>
  <c r="D94" i="12"/>
  <c r="C94" i="12"/>
  <c r="B94" i="12"/>
  <c r="BC91" i="12"/>
  <c r="BC94" i="12" s="1"/>
  <c r="BB91" i="12"/>
  <c r="BB94" i="12" s="1"/>
  <c r="BA91" i="12"/>
  <c r="BA94" i="12" s="1"/>
  <c r="AZ91" i="12"/>
  <c r="BL91" i="12"/>
  <c r="BJ91" i="12"/>
  <c r="BH91" i="12"/>
  <c r="BG91" i="12"/>
  <c r="BF91" i="12"/>
  <c r="BF94" i="12" s="1"/>
  <c r="BE91" i="12"/>
  <c r="BE94" i="12" s="1"/>
  <c r="BW90" i="12"/>
  <c r="AZ90" i="12"/>
  <c r="AZ28" i="12" s="1"/>
  <c r="BT90" i="12"/>
  <c r="BR90" i="12"/>
  <c r="BP90" i="12"/>
  <c r="BW89" i="12"/>
  <c r="CI89" i="12" s="1"/>
  <c r="AZ89" i="12"/>
  <c r="AZ27" i="12" s="1"/>
  <c r="BU89" i="12"/>
  <c r="CG89" i="12" s="1"/>
  <c r="BS89" i="12"/>
  <c r="BQ89" i="12"/>
  <c r="BO89" i="12"/>
  <c r="BM89" i="12"/>
  <c r="BW88" i="12"/>
  <c r="AZ88" i="12"/>
  <c r="AZ26" i="12" s="1"/>
  <c r="BT88" i="12"/>
  <c r="BR88" i="12"/>
  <c r="CD88" i="12" s="1"/>
  <c r="BP88" i="12"/>
  <c r="BN88" i="12"/>
  <c r="BW87" i="12"/>
  <c r="AZ87" i="12"/>
  <c r="AZ25" i="12" s="1"/>
  <c r="BU87" i="12"/>
  <c r="CG87" i="12" s="1"/>
  <c r="BS87" i="12"/>
  <c r="BQ87" i="12"/>
  <c r="BO87" i="12"/>
  <c r="BW86" i="12"/>
  <c r="AZ86" i="12"/>
  <c r="BX86" i="12" s="1"/>
  <c r="BV86" i="12"/>
  <c r="BN86" i="12"/>
  <c r="BW85" i="12"/>
  <c r="CI85" i="12" s="1"/>
  <c r="AZ85" i="12"/>
  <c r="BU85" i="12"/>
  <c r="BS85" i="12"/>
  <c r="CE85" i="12" s="1"/>
  <c r="BQ85" i="12"/>
  <c r="BO85" i="12"/>
  <c r="BM85" i="12"/>
  <c r="BW84" i="12"/>
  <c r="AZ84" i="12"/>
  <c r="AZ22" i="12" s="1"/>
  <c r="BV84" i="12"/>
  <c r="CH84" i="12" s="1"/>
  <c r="BT84" i="12"/>
  <c r="BR84" i="12"/>
  <c r="BP84" i="12"/>
  <c r="BN84" i="12"/>
  <c r="BW83" i="12"/>
  <c r="AZ83" i="12"/>
  <c r="BU83" i="12"/>
  <c r="BM83" i="12"/>
  <c r="AM79" i="12"/>
  <c r="AK13" i="12"/>
  <c r="AJ13" i="12"/>
  <c r="AH13" i="12"/>
  <c r="AF13" i="12"/>
  <c r="AE13" i="12"/>
  <c r="AD13" i="12"/>
  <c r="AC13" i="12"/>
  <c r="AB13" i="12"/>
  <c r="AA13" i="12"/>
  <c r="Z13" i="12"/>
  <c r="AM78" i="12"/>
  <c r="AM77" i="12"/>
  <c r="AM76" i="12"/>
  <c r="AM73" i="12"/>
  <c r="AM80" i="12" s="1"/>
  <c r="AZ68" i="12"/>
  <c r="AY68" i="12"/>
  <c r="AK68" i="12"/>
  <c r="AJ68" i="12"/>
  <c r="AI68" i="12"/>
  <c r="AH68" i="12"/>
  <c r="AG68" i="12"/>
  <c r="AF68" i="12"/>
  <c r="AE68" i="12"/>
  <c r="AD68" i="12"/>
  <c r="AC68" i="12"/>
  <c r="AB68" i="12"/>
  <c r="AA68" i="12"/>
  <c r="Z68" i="12"/>
  <c r="Y68" i="12"/>
  <c r="X68" i="12"/>
  <c r="W68" i="12"/>
  <c r="V68" i="12"/>
  <c r="U68" i="12"/>
  <c r="T68" i="12"/>
  <c r="S68" i="12"/>
  <c r="R68" i="12"/>
  <c r="Q68" i="12"/>
  <c r="P68" i="12"/>
  <c r="O68" i="12"/>
  <c r="N68" i="12"/>
  <c r="M68" i="12"/>
  <c r="L68" i="12"/>
  <c r="K68" i="12"/>
  <c r="J68" i="12"/>
  <c r="I68" i="12"/>
  <c r="H68" i="12"/>
  <c r="G68" i="12"/>
  <c r="F68" i="12"/>
  <c r="E68" i="12"/>
  <c r="D68" i="12"/>
  <c r="C68" i="12"/>
  <c r="B68" i="12"/>
  <c r="AV31" i="12"/>
  <c r="AU31" i="12"/>
  <c r="AR31" i="12"/>
  <c r="AQ31" i="12"/>
  <c r="AX30" i="12"/>
  <c r="AW30" i="12"/>
  <c r="AT30" i="12"/>
  <c r="AP30" i="12"/>
  <c r="AO30" i="12"/>
  <c r="AW29" i="12"/>
  <c r="BH65" i="12"/>
  <c r="BH29" i="12" s="1"/>
  <c r="BE65" i="12"/>
  <c r="BD65" i="12"/>
  <c r="BC65" i="12"/>
  <c r="BA65" i="12"/>
  <c r="BL64" i="12"/>
  <c r="BK64" i="12"/>
  <c r="BK28" i="12" s="1"/>
  <c r="AW28" i="12"/>
  <c r="AV28" i="12"/>
  <c r="AR28" i="12"/>
  <c r="BB64" i="12"/>
  <c r="BB28" i="12" s="1"/>
  <c r="AO28" i="12"/>
  <c r="BL63" i="12"/>
  <c r="BX63" i="12" s="1"/>
  <c r="BK63" i="12"/>
  <c r="BK27" i="12" s="1"/>
  <c r="AW27" i="12"/>
  <c r="AS27" i="12"/>
  <c r="BD63" i="12"/>
  <c r="BC63" i="12"/>
  <c r="BC27" i="12" s="1"/>
  <c r="AO27" i="12"/>
  <c r="BL62" i="12"/>
  <c r="BK62" i="12"/>
  <c r="BK26" i="12" s="1"/>
  <c r="BJ62" i="12"/>
  <c r="BJ26" i="12" s="1"/>
  <c r="BI62" i="12"/>
  <c r="BI26" i="12" s="1"/>
  <c r="BF62" i="12"/>
  <c r="BF26" i="12" s="1"/>
  <c r="BE62" i="12"/>
  <c r="BE26" i="12" s="1"/>
  <c r="AR26" i="12"/>
  <c r="BB62" i="12"/>
  <c r="BB26" i="12" s="1"/>
  <c r="BA62" i="12"/>
  <c r="BA26" i="12" s="1"/>
  <c r="BL61" i="12"/>
  <c r="BX61" i="12" s="1"/>
  <c r="BK61" i="12"/>
  <c r="AW25" i="12"/>
  <c r="BG61" i="12"/>
  <c r="BG25" i="12" s="1"/>
  <c r="AS25" i="12"/>
  <c r="AO25" i="12"/>
  <c r="BL60" i="12"/>
  <c r="BL24" i="12" s="1"/>
  <c r="BK60" i="12"/>
  <c r="BK24" i="12" s="1"/>
  <c r="AW24" i="12"/>
  <c r="BB60" i="12"/>
  <c r="BB24" i="12" s="1"/>
  <c r="BA60" i="12"/>
  <c r="BA24" i="12" s="1"/>
  <c r="BL59" i="12"/>
  <c r="BX59" i="12" s="1"/>
  <c r="CJ59" i="12" s="1"/>
  <c r="BK59" i="12"/>
  <c r="BK23" i="12" s="1"/>
  <c r="AW23" i="12"/>
  <c r="BH59" i="12"/>
  <c r="BG59" i="12"/>
  <c r="BG23" i="12" s="1"/>
  <c r="AS23" i="12"/>
  <c r="AR23" i="12"/>
  <c r="BC59" i="12"/>
  <c r="BC23" i="12" s="1"/>
  <c r="AO23" i="12"/>
  <c r="BL58" i="12"/>
  <c r="BK58" i="12"/>
  <c r="BJ58" i="12"/>
  <c r="BJ22" i="12" s="1"/>
  <c r="BI58" i="12"/>
  <c r="BI22" i="12" s="1"/>
  <c r="BE58" i="12"/>
  <c r="BE22" i="12" s="1"/>
  <c r="BB58" i="12"/>
  <c r="BB22" i="12" s="1"/>
  <c r="BA58" i="12"/>
  <c r="BA22" i="12" s="1"/>
  <c r="BL57" i="12"/>
  <c r="BL68" i="12" s="1"/>
  <c r="BK57" i="12"/>
  <c r="BK68" i="12" s="1"/>
  <c r="BH57" i="12"/>
  <c r="AS21" i="12"/>
  <c r="AM54" i="12"/>
  <c r="AU13" i="12"/>
  <c r="AT13" i="12"/>
  <c r="AQ13" i="12"/>
  <c r="AP13" i="12"/>
  <c r="AL53" i="12"/>
  <c r="AN53" i="12" s="1"/>
  <c r="G11" i="11" s="1"/>
  <c r="G12" i="11" s="1"/>
  <c r="CJ12" i="12"/>
  <c r="CI12" i="12"/>
  <c r="CH12" i="12"/>
  <c r="CG12" i="12"/>
  <c r="CF12" i="12"/>
  <c r="CE12" i="12"/>
  <c r="CD12" i="12"/>
  <c r="CC12" i="12"/>
  <c r="CB12" i="12"/>
  <c r="CA12" i="12"/>
  <c r="BZ12" i="12"/>
  <c r="BY12" i="12"/>
  <c r="BX12" i="12"/>
  <c r="BW12" i="12"/>
  <c r="BV12" i="12"/>
  <c r="BU12" i="12"/>
  <c r="BT12" i="12"/>
  <c r="BS12" i="12"/>
  <c r="BR12" i="12"/>
  <c r="BQ12" i="12"/>
  <c r="BP12" i="12"/>
  <c r="BO12" i="12"/>
  <c r="BN12" i="12"/>
  <c r="BM12" i="12"/>
  <c r="BL12" i="12"/>
  <c r="BK12" i="12"/>
  <c r="BJ12" i="12"/>
  <c r="BI12" i="12"/>
  <c r="BH12" i="12"/>
  <c r="BG12" i="12"/>
  <c r="BF12" i="12"/>
  <c r="BE12" i="12"/>
  <c r="BD12" i="12"/>
  <c r="BC12" i="12"/>
  <c r="BB12" i="12"/>
  <c r="BA12" i="12"/>
  <c r="AZ12" i="12"/>
  <c r="AY12" i="12"/>
  <c r="AS12" i="12"/>
  <c r="AR12" i="12"/>
  <c r="AQ12" i="12"/>
  <c r="AP12" i="12"/>
  <c r="AO12" i="12"/>
  <c r="AK12" i="12"/>
  <c r="AJ12" i="12"/>
  <c r="AI12" i="12"/>
  <c r="AH12" i="12"/>
  <c r="AG12" i="12"/>
  <c r="AF12" i="12"/>
  <c r="AE12" i="12"/>
  <c r="AD12" i="12"/>
  <c r="AC12" i="12"/>
  <c r="AB12" i="12"/>
  <c r="AA12" i="12"/>
  <c r="Z12" i="12"/>
  <c r="AL51" i="12"/>
  <c r="AN51" i="12" s="1"/>
  <c r="AN47" i="12"/>
  <c r="AN46" i="12"/>
  <c r="BJ39" i="12"/>
  <c r="BF39" i="12"/>
  <c r="BL36" i="12"/>
  <c r="BK36" i="12"/>
  <c r="BJ36" i="12"/>
  <c r="BI36" i="12"/>
  <c r="BH36" i="12"/>
  <c r="BG36" i="12"/>
  <c r="BF36" i="12"/>
  <c r="BE36" i="12"/>
  <c r="BD36" i="12"/>
  <c r="BC36" i="12"/>
  <c r="BB36" i="12"/>
  <c r="BA36" i="12"/>
  <c r="AY36" i="12"/>
  <c r="DE35" i="12"/>
  <c r="CV35" i="12"/>
  <c r="DH35" i="12" s="1"/>
  <c r="CU35" i="12"/>
  <c r="DG35" i="12" s="1"/>
  <c r="CT35" i="12"/>
  <c r="DF35" i="12" s="1"/>
  <c r="CS35" i="12"/>
  <c r="CR35" i="12"/>
  <c r="DD35" i="12" s="1"/>
  <c r="CQ35" i="12"/>
  <c r="DC35" i="12" s="1"/>
  <c r="CP35" i="12"/>
  <c r="DB35" i="12" s="1"/>
  <c r="CO35" i="12"/>
  <c r="DA35" i="12" s="1"/>
  <c r="CN35" i="12"/>
  <c r="CZ35" i="12" s="1"/>
  <c r="CM35" i="12"/>
  <c r="CY35" i="12" s="1"/>
  <c r="CL35" i="12"/>
  <c r="CX35" i="12" s="1"/>
  <c r="CK35" i="12"/>
  <c r="CW35" i="12" s="1"/>
  <c r="BA35" i="12"/>
  <c r="AK32" i="12"/>
  <c r="AJ32" i="12"/>
  <c r="AI32" i="12"/>
  <c r="AH32" i="12"/>
  <c r="AG32" i="12"/>
  <c r="AF32" i="12"/>
  <c r="AE32" i="12"/>
  <c r="AD32" i="12"/>
  <c r="AC32" i="12"/>
  <c r="AB32" i="12"/>
  <c r="AA32" i="12"/>
  <c r="Z32" i="12"/>
  <c r="DT31" i="12"/>
  <c r="DS31" i="12"/>
  <c r="DR31" i="12"/>
  <c r="DQ31" i="12"/>
  <c r="DP31" i="12"/>
  <c r="DO31" i="12"/>
  <c r="DN31" i="12"/>
  <c r="DM31" i="12"/>
  <c r="DL31" i="12"/>
  <c r="DK31" i="12"/>
  <c r="DJ31" i="12"/>
  <c r="DI31" i="12"/>
  <c r="DH31" i="12"/>
  <c r="DG31" i="12"/>
  <c r="DF31" i="12"/>
  <c r="DE31" i="12"/>
  <c r="DD31" i="12"/>
  <c r="DC31" i="12"/>
  <c r="DB31" i="12"/>
  <c r="DA31" i="12"/>
  <c r="CZ31" i="12"/>
  <c r="CY31" i="12"/>
  <c r="CX31" i="12"/>
  <c r="CW31" i="12"/>
  <c r="CV31" i="12"/>
  <c r="CU31" i="12"/>
  <c r="CT31" i="12"/>
  <c r="CS31" i="12"/>
  <c r="CR31" i="12"/>
  <c r="CQ31" i="12"/>
  <c r="CP31" i="12"/>
  <c r="CO31" i="12"/>
  <c r="CN31" i="12"/>
  <c r="CM31" i="12"/>
  <c r="CL31" i="12"/>
  <c r="CK31" i="12"/>
  <c r="CJ31" i="12"/>
  <c r="CI31" i="12"/>
  <c r="CH31" i="12"/>
  <c r="CG31" i="12"/>
  <c r="CF31" i="12"/>
  <c r="CE31" i="12"/>
  <c r="CD31" i="12"/>
  <c r="CC31" i="12"/>
  <c r="CB31" i="12"/>
  <c r="CA31" i="12"/>
  <c r="BZ31" i="12"/>
  <c r="BY31" i="12"/>
  <c r="BX31" i="12"/>
  <c r="BW31" i="12"/>
  <c r="BV31" i="12"/>
  <c r="BU31" i="12"/>
  <c r="BT31" i="12"/>
  <c r="BS31" i="12"/>
  <c r="BR31" i="12"/>
  <c r="BQ31" i="12"/>
  <c r="BP31" i="12"/>
  <c r="BO31" i="12"/>
  <c r="BN31" i="12"/>
  <c r="BM31" i="12"/>
  <c r="BL31" i="12"/>
  <c r="BK31" i="12"/>
  <c r="BJ31" i="12"/>
  <c r="BI31" i="12"/>
  <c r="BH31" i="12"/>
  <c r="BG31" i="12"/>
  <c r="BF31" i="12"/>
  <c r="BE31" i="12"/>
  <c r="BD31" i="12"/>
  <c r="BC31" i="12"/>
  <c r="BB31" i="12"/>
  <c r="BA31" i="12"/>
  <c r="AZ31" i="12"/>
  <c r="AY31" i="12"/>
  <c r="DT30" i="12"/>
  <c r="DS30" i="12"/>
  <c r="DR30" i="12"/>
  <c r="DQ30" i="12"/>
  <c r="DP30" i="12"/>
  <c r="DO30" i="12"/>
  <c r="DN30" i="12"/>
  <c r="DM30" i="12"/>
  <c r="DL30" i="12"/>
  <c r="DK30" i="12"/>
  <c r="DJ30" i="12"/>
  <c r="DI30" i="12"/>
  <c r="DH30" i="12"/>
  <c r="DG30" i="12"/>
  <c r="DF30" i="12"/>
  <c r="DE30" i="12"/>
  <c r="DD30" i="12"/>
  <c r="DC30" i="12"/>
  <c r="DB30" i="12"/>
  <c r="DA30" i="12"/>
  <c r="CZ30" i="12"/>
  <c r="CY30" i="12"/>
  <c r="CX30" i="12"/>
  <c r="CW30" i="12"/>
  <c r="CV30" i="12"/>
  <c r="CU30" i="12"/>
  <c r="CT30" i="12"/>
  <c r="CS30" i="12"/>
  <c r="CR30" i="12"/>
  <c r="CQ30" i="12"/>
  <c r="CP30" i="12"/>
  <c r="CO30" i="12"/>
  <c r="CN30" i="12"/>
  <c r="CM30" i="12"/>
  <c r="CL30" i="12"/>
  <c r="CK30" i="12"/>
  <c r="CJ30" i="12"/>
  <c r="CI30" i="12"/>
  <c r="CH30" i="12"/>
  <c r="CG30" i="12"/>
  <c r="CF30" i="12"/>
  <c r="CE30" i="12"/>
  <c r="CD30" i="12"/>
  <c r="CC30" i="12"/>
  <c r="CB30" i="12"/>
  <c r="CA30" i="12"/>
  <c r="BZ30" i="12"/>
  <c r="BY30" i="12"/>
  <c r="BX30" i="12"/>
  <c r="BW30" i="12"/>
  <c r="BV30" i="12"/>
  <c r="BU30" i="12"/>
  <c r="BT30" i="12"/>
  <c r="BS30" i="12"/>
  <c r="BR30" i="12"/>
  <c r="BQ30" i="12"/>
  <c r="BP30" i="12"/>
  <c r="BO30" i="12"/>
  <c r="BN30" i="12"/>
  <c r="BM30" i="12"/>
  <c r="BL30" i="12"/>
  <c r="BK30" i="12"/>
  <c r="BJ30" i="12"/>
  <c r="BI30" i="12"/>
  <c r="BH30" i="12"/>
  <c r="BG30" i="12"/>
  <c r="BF30" i="12"/>
  <c r="BE30" i="12"/>
  <c r="BD30" i="12"/>
  <c r="BC30" i="12"/>
  <c r="BB30" i="12"/>
  <c r="BA30" i="12"/>
  <c r="AZ30" i="12"/>
  <c r="AY30" i="12"/>
  <c r="AS30" i="12"/>
  <c r="BL29" i="12"/>
  <c r="AZ29" i="12"/>
  <c r="AY29" i="12"/>
  <c r="BL28" i="12"/>
  <c r="AY28" i="12"/>
  <c r="AS28" i="12"/>
  <c r="BL27" i="12"/>
  <c r="AY27" i="12"/>
  <c r="BL26" i="12"/>
  <c r="AY26" i="12"/>
  <c r="AV26" i="12"/>
  <c r="BL25" i="12"/>
  <c r="BK25" i="12"/>
  <c r="AY25" i="12"/>
  <c r="AR25" i="12"/>
  <c r="AZ24" i="12"/>
  <c r="AY24" i="12"/>
  <c r="AS24" i="12"/>
  <c r="AZ23" i="12"/>
  <c r="AY23" i="12"/>
  <c r="BL22" i="12"/>
  <c r="BK22" i="12"/>
  <c r="AY22" i="12"/>
  <c r="AZ21" i="12"/>
  <c r="AY21" i="12"/>
  <c r="AG13" i="12"/>
  <c r="DT11" i="12"/>
  <c r="DS11" i="12"/>
  <c r="DR11" i="12"/>
  <c r="DQ11" i="12"/>
  <c r="DP11" i="12"/>
  <c r="DO11" i="12"/>
  <c r="DN11" i="12"/>
  <c r="DM11" i="12"/>
  <c r="DL11" i="12"/>
  <c r="DK11" i="12"/>
  <c r="DJ11" i="12"/>
  <c r="DI11" i="12"/>
  <c r="DH11" i="12"/>
  <c r="DG11" i="12"/>
  <c r="DF11" i="12"/>
  <c r="DE11" i="12"/>
  <c r="DD11" i="12"/>
  <c r="DC11" i="12"/>
  <c r="DB11" i="12"/>
  <c r="DA11" i="12"/>
  <c r="CZ11" i="12"/>
  <c r="CY11" i="12"/>
  <c r="CX11" i="12"/>
  <c r="CW11" i="12"/>
  <c r="CV11" i="12"/>
  <c r="CU11" i="12"/>
  <c r="CT11" i="12"/>
  <c r="CS11" i="12"/>
  <c r="CR11" i="12"/>
  <c r="CQ11" i="12"/>
  <c r="CP11" i="12"/>
  <c r="CO11" i="12"/>
  <c r="CN11" i="12"/>
  <c r="CM11" i="12"/>
  <c r="CL11" i="12"/>
  <c r="CK11" i="12"/>
  <c r="AK11" i="12"/>
  <c r="AJ11" i="12"/>
  <c r="AI11" i="12"/>
  <c r="AH11" i="12"/>
  <c r="AG11" i="12"/>
  <c r="AF11" i="12"/>
  <c r="AE11" i="12"/>
  <c r="AD11" i="12"/>
  <c r="AC11" i="12"/>
  <c r="AB11" i="12"/>
  <c r="AA11" i="12"/>
  <c r="Z11" i="12"/>
  <c r="AO24" i="12" l="1"/>
  <c r="AQ8" i="12"/>
  <c r="AJ6" i="12"/>
  <c r="AV9" i="12"/>
  <c r="AU9" i="12"/>
  <c r="AF7" i="12"/>
  <c r="AO21" i="12"/>
  <c r="AA73" i="12"/>
  <c r="AJ8" i="12"/>
  <c r="AZ13" i="12"/>
  <c r="AW8" i="12"/>
  <c r="AV27" i="12"/>
  <c r="BH63" i="12"/>
  <c r="BT63" i="12" s="1"/>
  <c r="CF63" i="12" s="1"/>
  <c r="AQ9" i="12"/>
  <c r="AQ29" i="12"/>
  <c r="AS29" i="12"/>
  <c r="AW13" i="12"/>
  <c r="AT22" i="12"/>
  <c r="AR13" i="12"/>
  <c r="AA7" i="12"/>
  <c r="AB9" i="12"/>
  <c r="AI73" i="12"/>
  <c r="AX13" i="12"/>
  <c r="AB8" i="12"/>
  <c r="AQ68" i="12"/>
  <c r="AU68" i="12"/>
  <c r="AQ22" i="12"/>
  <c r="AU22" i="12"/>
  <c r="AQ26" i="12"/>
  <c r="AU26" i="12"/>
  <c r="AU27" i="12"/>
  <c r="AT28" i="12"/>
  <c r="AX28" i="12"/>
  <c r="AX29" i="12"/>
  <c r="AR30" i="12"/>
  <c r="AW9" i="12"/>
  <c r="AC73" i="12"/>
  <c r="AG7" i="12"/>
  <c r="BK21" i="12"/>
  <c r="AP24" i="12"/>
  <c r="AQ27" i="12"/>
  <c r="AE8" i="12"/>
  <c r="G17" i="11"/>
  <c r="G23" i="11" s="1"/>
  <c r="AV13" i="12"/>
  <c r="BC29" i="12"/>
  <c r="L19" i="11"/>
  <c r="BL21" i="12"/>
  <c r="BL32" i="12" s="1"/>
  <c r="AR27" i="12"/>
  <c r="AO13" i="12"/>
  <c r="AK73" i="12"/>
  <c r="AX22" i="12"/>
  <c r="AU25" i="12"/>
  <c r="AB73" i="12"/>
  <c r="J7" i="11"/>
  <c r="AA6" i="12"/>
  <c r="AV21" i="12"/>
  <c r="AQ23" i="12"/>
  <c r="AP26" i="12"/>
  <c r="AP28" i="12"/>
  <c r="AG6" i="12"/>
  <c r="AU8" i="12"/>
  <c r="AS13" i="12"/>
  <c r="J4" i="11"/>
  <c r="H6" i="11"/>
  <c r="N21" i="11"/>
  <c r="AY32" i="12"/>
  <c r="AU23" i="12"/>
  <c r="BL23" i="12"/>
  <c r="AX24" i="12"/>
  <c r="AT26" i="12"/>
  <c r="AO8" i="12"/>
  <c r="BA29" i="12"/>
  <c r="AO6" i="12"/>
  <c r="AE73" i="12"/>
  <c r="AS8" i="12"/>
  <c r="AH9" i="12"/>
  <c r="CP12" i="12"/>
  <c r="AI6" i="12"/>
  <c r="AT6" i="12"/>
  <c r="AX6" i="12"/>
  <c r="AC6" i="12"/>
  <c r="AG8" i="12"/>
  <c r="AE6" i="12"/>
  <c r="AA9" i="12"/>
  <c r="AC8" i="12"/>
  <c r="AI9" i="12"/>
  <c r="BC61" i="12"/>
  <c r="BC25" i="12" s="1"/>
  <c r="AQ25" i="12"/>
  <c r="AU21" i="12"/>
  <c r="AR29" i="12"/>
  <c r="AR21" i="12"/>
  <c r="BH61" i="12"/>
  <c r="BH25" i="12" s="1"/>
  <c r="AV25" i="12"/>
  <c r="BG65" i="12"/>
  <c r="BG29" i="12" s="1"/>
  <c r="AU29" i="12"/>
  <c r="AV30" i="12"/>
  <c r="AP31" i="12"/>
  <c r="AT31" i="12"/>
  <c r="AX31" i="12"/>
  <c r="AQ80" i="12"/>
  <c r="AU80" i="12"/>
  <c r="Z6" i="12"/>
  <c r="AL74" i="12"/>
  <c r="AS6" i="12"/>
  <c r="AQ94" i="12"/>
  <c r="AU94" i="12"/>
  <c r="BR86" i="12"/>
  <c r="CD86" i="12" s="1"/>
  <c r="AT24" i="12"/>
  <c r="BV88" i="12"/>
  <c r="CH88" i="12" s="1"/>
  <c r="AX26" i="12"/>
  <c r="BD91" i="12"/>
  <c r="BD29" i="12" s="1"/>
  <c r="AO29" i="12"/>
  <c r="AH8" i="12"/>
  <c r="AF45" i="12"/>
  <c r="AF6" i="12"/>
  <c r="AS45" i="12"/>
  <c r="AO68" i="12"/>
  <c r="AS68" i="12"/>
  <c r="AW68" i="12"/>
  <c r="AW21" i="12"/>
  <c r="AR75" i="12"/>
  <c r="AR7" i="12" s="1"/>
  <c r="AE7" i="12"/>
  <c r="AP9" i="12"/>
  <c r="AT9" i="12"/>
  <c r="AX9" i="12"/>
  <c r="AQ21" i="12"/>
  <c r="AP22" i="12"/>
  <c r="AV23" i="12"/>
  <c r="AV29" i="12"/>
  <c r="AO45" i="12"/>
  <c r="AA8" i="12"/>
  <c r="AF8" i="12"/>
  <c r="AF9" i="12"/>
  <c r="AW6" i="12"/>
  <c r="AR9" i="12"/>
  <c r="BY83" i="12"/>
  <c r="CK83" i="12" s="1"/>
  <c r="AI7" i="12"/>
  <c r="AE9" i="12"/>
  <c r="AJ9" i="12"/>
  <c r="Z9" i="12"/>
  <c r="AS9" i="12"/>
  <c r="AV75" i="12"/>
  <c r="AV7" i="12" s="1"/>
  <c r="AC78" i="12"/>
  <c r="AC80" i="12" s="1"/>
  <c r="AG78" i="12"/>
  <c r="AG80" i="12" s="1"/>
  <c r="Z78" i="12"/>
  <c r="AD78" i="12"/>
  <c r="AH78" i="12"/>
  <c r="AF73" i="12"/>
  <c r="AA50" i="12"/>
  <c r="AA78" i="12"/>
  <c r="AA80" i="12" s="1"/>
  <c r="AE78" i="12"/>
  <c r="AE80" i="12" s="1"/>
  <c r="AQ45" i="12"/>
  <c r="AJ73" i="12"/>
  <c r="AL73" i="12" s="1"/>
  <c r="AN73" i="12" s="1"/>
  <c r="AD9" i="12"/>
  <c r="AL75" i="12"/>
  <c r="AD45" i="12"/>
  <c r="AJ7" i="12"/>
  <c r="AR8" i="12"/>
  <c r="AB6" i="12"/>
  <c r="AA45" i="12"/>
  <c r="AA5" i="12" s="1"/>
  <c r="AL76" i="12"/>
  <c r="AN76" i="12" s="1"/>
  <c r="AC9" i="12"/>
  <c r="AG9" i="12"/>
  <c r="Z8" i="12"/>
  <c r="Z45" i="12"/>
  <c r="AH45" i="12"/>
  <c r="AB7" i="12"/>
  <c r="AR11" i="12"/>
  <c r="AP75" i="12"/>
  <c r="AP7" i="12" s="1"/>
  <c r="AT75" i="12"/>
  <c r="AT7" i="12" s="1"/>
  <c r="AT5" i="12" s="1"/>
  <c r="AX75" i="12"/>
  <c r="AQ6" i="12"/>
  <c r="Z7" i="12"/>
  <c r="AD7" i="12"/>
  <c r="AH7" i="12"/>
  <c r="AL77" i="12"/>
  <c r="AN77" i="12" s="1"/>
  <c r="AD6" i="12"/>
  <c r="AH6" i="12"/>
  <c r="BT57" i="12"/>
  <c r="BH21" i="12"/>
  <c r="BT59" i="12"/>
  <c r="CF59" i="12" s="1"/>
  <c r="CR59" i="12" s="1"/>
  <c r="BH23" i="12"/>
  <c r="BP63" i="12"/>
  <c r="BD27" i="12"/>
  <c r="BJ94" i="12"/>
  <c r="BJ29" i="12"/>
  <c r="AZ36" i="12"/>
  <c r="BC57" i="12"/>
  <c r="BC21" i="12" s="1"/>
  <c r="BO83" i="12"/>
  <c r="CA83" i="12" s="1"/>
  <c r="BZ84" i="12"/>
  <c r="CL84" i="12" s="1"/>
  <c r="BT86" i="12"/>
  <c r="BM87" i="12"/>
  <c r="BY87" i="12" s="1"/>
  <c r="CD90" i="12"/>
  <c r="CP90" i="12" s="1"/>
  <c r="DB90" i="12" s="1"/>
  <c r="DN90" i="12" s="1"/>
  <c r="AQ30" i="12"/>
  <c r="AU30" i="12"/>
  <c r="AO31" i="12"/>
  <c r="AS31" i="12"/>
  <c r="AW31" i="12"/>
  <c r="BD57" i="12"/>
  <c r="BF58" i="12"/>
  <c r="BF22" i="12" s="1"/>
  <c r="BF60" i="12"/>
  <c r="BF24" i="12" s="1"/>
  <c r="BF64" i="12"/>
  <c r="BF28" i="12" s="1"/>
  <c r="AK9" i="12"/>
  <c r="BQ83" i="12"/>
  <c r="BN90" i="12"/>
  <c r="BZ90" i="12" s="1"/>
  <c r="BV90" i="12"/>
  <c r="CH90" i="12" s="1"/>
  <c r="BM91" i="12"/>
  <c r="BY91" i="12" s="1"/>
  <c r="D5" i="11"/>
  <c r="AE45" i="12"/>
  <c r="AE5" i="12" s="1"/>
  <c r="BG57" i="12"/>
  <c r="BG21" i="12" s="1"/>
  <c r="BD59" i="12"/>
  <c r="BP59" i="12" s="1"/>
  <c r="BJ60" i="12"/>
  <c r="BJ24" i="12" s="1"/>
  <c r="BD61" i="12"/>
  <c r="BV62" i="12"/>
  <c r="BV26" i="12" s="1"/>
  <c r="BJ64" i="12"/>
  <c r="BJ28" i="12" s="1"/>
  <c r="AU75" i="12"/>
  <c r="AU7" i="12" s="1"/>
  <c r="BS83" i="12"/>
  <c r="CE83" i="12" s="1"/>
  <c r="CQ83" i="12" s="1"/>
  <c r="BP86" i="12"/>
  <c r="AZ32" i="12"/>
  <c r="M10" i="11"/>
  <c r="N10" i="11" s="1"/>
  <c r="BX57" i="12"/>
  <c r="CJ57" i="12" s="1"/>
  <c r="AV68" i="12"/>
  <c r="BE29" i="12"/>
  <c r="AV8" i="12"/>
  <c r="AO9" i="12"/>
  <c r="AS94" i="12"/>
  <c r="M14" i="11"/>
  <c r="N20" i="11"/>
  <c r="N19" i="11"/>
  <c r="N15" i="11"/>
  <c r="N18" i="11"/>
  <c r="N22" i="11"/>
  <c r="B13" i="11"/>
  <c r="D14" i="11"/>
  <c r="J14" i="11" s="1"/>
  <c r="CJ63" i="12"/>
  <c r="BD58" i="12"/>
  <c r="BH60" i="12"/>
  <c r="BT60" i="12" s="1"/>
  <c r="CF60" i="12" s="1"/>
  <c r="AR68" i="12"/>
  <c r="BM88" i="12"/>
  <c r="BY88" i="12" s="1"/>
  <c r="AO26" i="12"/>
  <c r="BQ88" i="12"/>
  <c r="AS26" i="12"/>
  <c r="J11" i="11"/>
  <c r="L18" i="11"/>
  <c r="L20" i="11"/>
  <c r="L22" i="11"/>
  <c r="AV22" i="12"/>
  <c r="BV58" i="12"/>
  <c r="CH58" i="12" s="1"/>
  <c r="CT58" i="12" s="1"/>
  <c r="BN60" i="12"/>
  <c r="BZ60" i="12" s="1"/>
  <c r="BB61" i="12"/>
  <c r="AP25" i="12"/>
  <c r="BF61" i="12"/>
  <c r="AT25" i="12"/>
  <c r="BJ61" i="12"/>
  <c r="AX25" i="12"/>
  <c r="CJ61" i="12"/>
  <c r="BN62" i="12"/>
  <c r="BB63" i="12"/>
  <c r="AP27" i="12"/>
  <c r="BF63" i="12"/>
  <c r="AT27" i="12"/>
  <c r="BJ63" i="12"/>
  <c r="AX27" i="12"/>
  <c r="BD64" i="12"/>
  <c r="BP64" i="12" s="1"/>
  <c r="CB64" i="12" s="1"/>
  <c r="BH64" i="12"/>
  <c r="BN64" i="12"/>
  <c r="BZ64" i="12" s="1"/>
  <c r="CL64" i="12" s="1"/>
  <c r="BB65" i="12"/>
  <c r="BB29" i="12" s="1"/>
  <c r="AP29" i="12"/>
  <c r="BF65" i="12"/>
  <c r="BF29" i="12" s="1"/>
  <c r="AT29" i="12"/>
  <c r="AO75" i="12"/>
  <c r="AO80" i="12"/>
  <c r="AS80" i="12"/>
  <c r="AW80" i="12"/>
  <c r="AR80" i="12"/>
  <c r="AR94" i="12"/>
  <c r="BP83" i="12"/>
  <c r="AV94" i="12"/>
  <c r="BT83" i="12"/>
  <c r="CG83" i="12"/>
  <c r="CD84" i="12"/>
  <c r="CT84" i="12"/>
  <c r="BN85" i="12"/>
  <c r="BR85" i="12"/>
  <c r="CD85" i="12" s="1"/>
  <c r="BV85" i="12"/>
  <c r="CA85" i="12"/>
  <c r="CQ85" i="12"/>
  <c r="DC85" i="12" s="1"/>
  <c r="DO85" i="12" s="1"/>
  <c r="CJ86" i="12"/>
  <c r="CC87" i="12"/>
  <c r="CS87" i="12"/>
  <c r="DE87" i="12" s="1"/>
  <c r="DQ87" i="12" s="1"/>
  <c r="BZ88" i="12"/>
  <c r="CP88" i="12"/>
  <c r="CU89" i="12"/>
  <c r="BO90" i="12"/>
  <c r="CA90" i="12" s="1"/>
  <c r="AQ28" i="12"/>
  <c r="BS90" i="12"/>
  <c r="AU28" i="12"/>
  <c r="BX90" i="12"/>
  <c r="CJ90" i="12" s="1"/>
  <c r="CF90" i="12"/>
  <c r="BM36" i="12"/>
  <c r="BN36" i="12" s="1"/>
  <c r="BO36" i="12" s="1"/>
  <c r="BP36" i="12" s="1"/>
  <c r="BQ36" i="12" s="1"/>
  <c r="BR36" i="12" s="1"/>
  <c r="BS36" i="12" s="1"/>
  <c r="BT36" i="12" s="1"/>
  <c r="BU36" i="12" s="1"/>
  <c r="BV36" i="12" s="1"/>
  <c r="BW36" i="12" s="1"/>
  <c r="BX36" i="12" s="1"/>
  <c r="BY36" i="12" s="1"/>
  <c r="BZ36" i="12" s="1"/>
  <c r="CA36" i="12" s="1"/>
  <c r="CB36" i="12" s="1"/>
  <c r="CC36" i="12" s="1"/>
  <c r="CD36" i="12" s="1"/>
  <c r="CE36" i="12" s="1"/>
  <c r="CF36" i="12" s="1"/>
  <c r="CG36" i="12" s="1"/>
  <c r="CH36" i="12" s="1"/>
  <c r="CI36" i="12" s="1"/>
  <c r="CJ36" i="12" s="1"/>
  <c r="CK36" i="12" s="1"/>
  <c r="CL36" i="12" s="1"/>
  <c r="CM36" i="12" s="1"/>
  <c r="CN36" i="12" s="1"/>
  <c r="CO36" i="12" s="1"/>
  <c r="CP36" i="12" s="1"/>
  <c r="CQ36" i="12" s="1"/>
  <c r="CR36" i="12" s="1"/>
  <c r="CS36" i="12" s="1"/>
  <c r="CT36" i="12" s="1"/>
  <c r="CU36" i="12" s="1"/>
  <c r="CV36" i="12" s="1"/>
  <c r="CW36" i="12" s="1"/>
  <c r="CX36" i="12" s="1"/>
  <c r="CY36" i="12" s="1"/>
  <c r="CZ36" i="12" s="1"/>
  <c r="DA36" i="12" s="1"/>
  <c r="DB36" i="12" s="1"/>
  <c r="DC36" i="12" s="1"/>
  <c r="DD36" i="12" s="1"/>
  <c r="DE36" i="12" s="1"/>
  <c r="DF36" i="12" s="1"/>
  <c r="DG36" i="12" s="1"/>
  <c r="DH36" i="12" s="1"/>
  <c r="DI36" i="12" s="1"/>
  <c r="DJ36" i="12" s="1"/>
  <c r="DK36" i="12" s="1"/>
  <c r="DL36" i="12" s="1"/>
  <c r="DM36" i="12" s="1"/>
  <c r="DN36" i="12" s="1"/>
  <c r="DO36" i="12" s="1"/>
  <c r="DP36" i="12" s="1"/>
  <c r="DQ36" i="12" s="1"/>
  <c r="DR36" i="12" s="1"/>
  <c r="DS36" i="12" s="1"/>
  <c r="DT36" i="12" s="1"/>
  <c r="BH58" i="12"/>
  <c r="BU88" i="12"/>
  <c r="CG88" i="12" s="1"/>
  <c r="AW26" i="12"/>
  <c r="AR22" i="12"/>
  <c r="AV24" i="12"/>
  <c r="AL52" i="12"/>
  <c r="AN52" i="12" s="1"/>
  <c r="CF57" i="12"/>
  <c r="CV59" i="12"/>
  <c r="BD62" i="12"/>
  <c r="BP62" i="12" s="1"/>
  <c r="BH62" i="12"/>
  <c r="BR62" i="12"/>
  <c r="CB63" i="12"/>
  <c r="AV80" i="12"/>
  <c r="AO94" i="12"/>
  <c r="AW94" i="12"/>
  <c r="CU85" i="12"/>
  <c r="DG85" i="12" s="1"/>
  <c r="BP87" i="12"/>
  <c r="BT87" i="12"/>
  <c r="CT88" i="12"/>
  <c r="DF88" i="12" s="1"/>
  <c r="BN89" i="12"/>
  <c r="BR89" i="12"/>
  <c r="BV89" i="12"/>
  <c r="CA89" i="12"/>
  <c r="CM89" i="12" s="1"/>
  <c r="CS89" i="12"/>
  <c r="DE89" i="12" s="1"/>
  <c r="M16" i="11"/>
  <c r="AC7" i="12"/>
  <c r="AK7" i="12"/>
  <c r="BD60" i="12"/>
  <c r="K15" i="11"/>
  <c r="L15" i="11" s="1"/>
  <c r="AR24" i="12"/>
  <c r="BI39" i="12"/>
  <c r="BL39" i="12"/>
  <c r="BH39" i="12"/>
  <c r="BK39" i="12"/>
  <c r="BG39" i="12"/>
  <c r="AR45" i="12"/>
  <c r="AR6" i="12"/>
  <c r="AP68" i="12"/>
  <c r="BB57" i="12"/>
  <c r="AP21" i="12"/>
  <c r="AT68" i="12"/>
  <c r="BF57" i="12"/>
  <c r="BR57" i="12" s="1"/>
  <c r="AT21" i="12"/>
  <c r="AX68" i="12"/>
  <c r="BJ57" i="12"/>
  <c r="AX21" i="12"/>
  <c r="BN58" i="12"/>
  <c r="BB59" i="12"/>
  <c r="BN59" i="12" s="1"/>
  <c r="AP23" i="12"/>
  <c r="BF59" i="12"/>
  <c r="AT23" i="12"/>
  <c r="BJ59" i="12"/>
  <c r="AX23" i="12"/>
  <c r="AL79" i="12"/>
  <c r="AN79" i="12" s="1"/>
  <c r="AI13" i="12"/>
  <c r="BM84" i="12"/>
  <c r="AO22" i="12"/>
  <c r="BQ84" i="12"/>
  <c r="AS22" i="12"/>
  <c r="BU84" i="12"/>
  <c r="CG84" i="12" s="1"/>
  <c r="AW22" i="12"/>
  <c r="BO86" i="12"/>
  <c r="AQ24" i="12"/>
  <c r="BS86" i="12"/>
  <c r="CE86" i="12" s="1"/>
  <c r="AU24" i="12"/>
  <c r="CE89" i="12"/>
  <c r="CQ89" i="12" s="1"/>
  <c r="BH94" i="12"/>
  <c r="BL94" i="12"/>
  <c r="BG94" i="12"/>
  <c r="BS91" i="12"/>
  <c r="CE91" i="12" s="1"/>
  <c r="AD8" i="12"/>
  <c r="AI8" i="12"/>
  <c r="AP8" i="12"/>
  <c r="AT8" i="12"/>
  <c r="AX8" i="12"/>
  <c r="L21" i="11"/>
  <c r="BA57" i="12"/>
  <c r="BE57" i="12"/>
  <c r="BQ57" i="12" s="1"/>
  <c r="BI57" i="12"/>
  <c r="BC58" i="12"/>
  <c r="BG58" i="12"/>
  <c r="BS58" i="12" s="1"/>
  <c r="BW58" i="12"/>
  <c r="BA59" i="12"/>
  <c r="BE59" i="12"/>
  <c r="BQ59" i="12" s="1"/>
  <c r="BI59" i="12"/>
  <c r="BU59" i="12" s="1"/>
  <c r="BC60" i="12"/>
  <c r="BO60" i="12" s="1"/>
  <c r="BG60" i="12"/>
  <c r="BS60" i="12" s="1"/>
  <c r="BW60" i="12"/>
  <c r="CI60" i="12"/>
  <c r="CU60" i="12" s="1"/>
  <c r="BA61" i="12"/>
  <c r="BE61" i="12"/>
  <c r="BQ61" i="12" s="1"/>
  <c r="BI61" i="12"/>
  <c r="BU61" i="12" s="1"/>
  <c r="BC62" i="12"/>
  <c r="BG62" i="12"/>
  <c r="BS62" i="12" s="1"/>
  <c r="CE62" i="12" s="1"/>
  <c r="BW62" i="12"/>
  <c r="CI62" i="12" s="1"/>
  <c r="BA63" i="12"/>
  <c r="BE63" i="12"/>
  <c r="BQ63" i="12" s="1"/>
  <c r="BI63" i="12"/>
  <c r="BU63" i="12" s="1"/>
  <c r="BC64" i="12"/>
  <c r="BO64" i="12" s="1"/>
  <c r="BG64" i="12"/>
  <c r="BS64" i="12" s="1"/>
  <c r="BW64" i="12"/>
  <c r="CI64" i="12"/>
  <c r="CU64" i="12" s="1"/>
  <c r="BN83" i="12"/>
  <c r="BR83" i="12"/>
  <c r="CD83" i="12" s="1"/>
  <c r="BV83" i="12"/>
  <c r="BO84" i="12"/>
  <c r="BS84" i="12"/>
  <c r="CE84" i="12" s="1"/>
  <c r="CI84" i="12"/>
  <c r="BP85" i="12"/>
  <c r="BT85" i="12"/>
  <c r="BT23" i="12" s="1"/>
  <c r="BX85" i="12"/>
  <c r="CJ85" i="12" s="1"/>
  <c r="BM86" i="12"/>
  <c r="BY86" i="12" s="1"/>
  <c r="BQ86" i="12"/>
  <c r="CC86" i="12" s="1"/>
  <c r="BU86" i="12"/>
  <c r="BN87" i="12"/>
  <c r="BR87" i="12"/>
  <c r="CD87" i="12" s="1"/>
  <c r="BV87" i="12"/>
  <c r="BO88" i="12"/>
  <c r="CA88" i="12" s="1"/>
  <c r="BS88" i="12"/>
  <c r="CI88" i="12"/>
  <c r="CU88" i="12" s="1"/>
  <c r="BP89" i="12"/>
  <c r="CB89" i="12" s="1"/>
  <c r="BT89" i="12"/>
  <c r="BX89" i="12"/>
  <c r="CB90" i="12"/>
  <c r="BN91" i="12"/>
  <c r="BZ91" i="12" s="1"/>
  <c r="BR91" i="12"/>
  <c r="CD91" i="12" s="1"/>
  <c r="BV91" i="12"/>
  <c r="BI91" i="12"/>
  <c r="BO91" i="12"/>
  <c r="BX58" i="12"/>
  <c r="BX60" i="12"/>
  <c r="CJ60" i="12" s="1"/>
  <c r="BX62" i="12"/>
  <c r="BX64" i="12"/>
  <c r="CJ64" i="12"/>
  <c r="AP80" i="12"/>
  <c r="AT80" i="12"/>
  <c r="AX80" i="12"/>
  <c r="AP94" i="12"/>
  <c r="AT94" i="12"/>
  <c r="AX94" i="12"/>
  <c r="CI83" i="12"/>
  <c r="CU83" i="12" s="1"/>
  <c r="BX84" i="12"/>
  <c r="CJ84" i="12" s="1"/>
  <c r="CB84" i="12"/>
  <c r="CF84" i="12"/>
  <c r="BY85" i="12"/>
  <c r="CK85" i="12" s="1"/>
  <c r="CC85" i="12"/>
  <c r="CG85" i="12"/>
  <c r="CS85" i="12" s="1"/>
  <c r="DE85" i="12" s="1"/>
  <c r="BZ86" i="12"/>
  <c r="CL86" i="12" s="1"/>
  <c r="CX86" i="12" s="1"/>
  <c r="CH86" i="12"/>
  <c r="CA87" i="12"/>
  <c r="CE87" i="12"/>
  <c r="CI87" i="12"/>
  <c r="CU87" i="12" s="1"/>
  <c r="DG87" i="12" s="1"/>
  <c r="BX88" i="12"/>
  <c r="CJ88" i="12" s="1"/>
  <c r="CB88" i="12"/>
  <c r="CN88" i="12" s="1"/>
  <c r="CF88" i="12"/>
  <c r="BY89" i="12"/>
  <c r="CK89" i="12" s="1"/>
  <c r="CC89" i="12"/>
  <c r="BM90" i="12"/>
  <c r="BQ90" i="12"/>
  <c r="BU90" i="12"/>
  <c r="BQ91" i="12"/>
  <c r="BW57" i="12"/>
  <c r="BM58" i="12"/>
  <c r="BQ58" i="12"/>
  <c r="BU58" i="12"/>
  <c r="BO59" i="12"/>
  <c r="BS59" i="12"/>
  <c r="BW59" i="12"/>
  <c r="CI59" i="12" s="1"/>
  <c r="BE60" i="12"/>
  <c r="BI60" i="12"/>
  <c r="BU60" i="12" s="1"/>
  <c r="BM60" i="12"/>
  <c r="BS61" i="12"/>
  <c r="BW61" i="12"/>
  <c r="CI61" i="12" s="1"/>
  <c r="BM62" i="12"/>
  <c r="BY62" i="12" s="1"/>
  <c r="BQ62" i="12"/>
  <c r="CC62" i="12" s="1"/>
  <c r="BU62" i="12"/>
  <c r="CG62" i="12" s="1"/>
  <c r="BG63" i="12"/>
  <c r="BO63" i="12"/>
  <c r="CA63" i="12" s="1"/>
  <c r="BW63" i="12"/>
  <c r="CI63" i="12" s="1"/>
  <c r="BA64" i="12"/>
  <c r="BM64" i="12" s="1"/>
  <c r="BY64" i="12" s="1"/>
  <c r="BE64" i="12"/>
  <c r="BI64" i="12"/>
  <c r="AZ94" i="12"/>
  <c r="BX83" i="12"/>
  <c r="CI86" i="12"/>
  <c r="CU86" i="12" s="1"/>
  <c r="BX87" i="12"/>
  <c r="BT91" i="12"/>
  <c r="BK91" i="12"/>
  <c r="CI90" i="12"/>
  <c r="BX91" i="12"/>
  <c r="CJ91" i="12" s="1"/>
  <c r="CZ12" i="12"/>
  <c r="DQ12" i="12"/>
  <c r="DM12" i="12"/>
  <c r="DI12" i="12"/>
  <c r="DE12" i="12"/>
  <c r="DA12" i="12"/>
  <c r="CW12" i="12"/>
  <c r="CS12" i="12"/>
  <c r="CO12" i="12"/>
  <c r="DR12" i="12"/>
  <c r="DG12" i="12"/>
  <c r="DB12" i="12"/>
  <c r="CV12" i="12"/>
  <c r="CQ12" i="12"/>
  <c r="DT12" i="12"/>
  <c r="DO12" i="12"/>
  <c r="DD12" i="12"/>
  <c r="CT12" i="12"/>
  <c r="CN12" i="12"/>
  <c r="DS12" i="12"/>
  <c r="DN12" i="12"/>
  <c r="DH12" i="12"/>
  <c r="DC12" i="12"/>
  <c r="CR12" i="12"/>
  <c r="CM12" i="12"/>
  <c r="DF12" i="12"/>
  <c r="DP12" i="12"/>
  <c r="CU12" i="12"/>
  <c r="AE50" i="12"/>
  <c r="AI50" i="12"/>
  <c r="AB50" i="12"/>
  <c r="AF50" i="12"/>
  <c r="AJ50" i="12"/>
  <c r="AC50" i="12"/>
  <c r="AG50" i="12"/>
  <c r="AK50" i="12"/>
  <c r="Z50" i="12"/>
  <c r="AD50" i="12"/>
  <c r="AH50" i="12"/>
  <c r="AB45" i="12" l="1"/>
  <c r="AG73" i="12"/>
  <c r="BO57" i="12"/>
  <c r="BT61" i="12"/>
  <c r="CH62" i="12"/>
  <c r="CT62" i="12" s="1"/>
  <c r="CT26" i="12" s="1"/>
  <c r="BM29" i="12"/>
  <c r="AG45" i="12"/>
  <c r="AG5" i="12" s="1"/>
  <c r="AB5" i="12"/>
  <c r="BH27" i="12"/>
  <c r="AC10" i="12"/>
  <c r="AC14" i="12" s="1"/>
  <c r="AC34" i="12" s="1"/>
  <c r="AC38" i="12" s="1"/>
  <c r="BS57" i="12"/>
  <c r="CE57" i="12" s="1"/>
  <c r="CQ57" i="12" s="1"/>
  <c r="CQ21" i="12" s="1"/>
  <c r="BT25" i="12"/>
  <c r="AO32" i="12"/>
  <c r="G5" i="11"/>
  <c r="BD94" i="12"/>
  <c r="AH73" i="12"/>
  <c r="AH5" i="12" s="1"/>
  <c r="AS75" i="12"/>
  <c r="AS7" i="12" s="1"/>
  <c r="AS5" i="12" s="1"/>
  <c r="CF61" i="12"/>
  <c r="CR61" i="12" s="1"/>
  <c r="AF5" i="12"/>
  <c r="AH10" i="12"/>
  <c r="AH14" i="12" s="1"/>
  <c r="AH34" i="12" s="1"/>
  <c r="AH38" i="12" s="1"/>
  <c r="BO61" i="12"/>
  <c r="CA61" i="12" s="1"/>
  <c r="CA25" i="12" s="1"/>
  <c r="AS32" i="12"/>
  <c r="CV57" i="12"/>
  <c r="AH80" i="12"/>
  <c r="CT22" i="12"/>
  <c r="AU6" i="12"/>
  <c r="AX7" i="12"/>
  <c r="AX5" i="12" s="1"/>
  <c r="F5" i="11"/>
  <c r="BT21" i="12"/>
  <c r="AQ75" i="12"/>
  <c r="AQ7" i="12" s="1"/>
  <c r="AQ5" i="12" s="1"/>
  <c r="AA10" i="12"/>
  <c r="AA14" i="12" s="1"/>
  <c r="AA34" i="12" s="1"/>
  <c r="AA38" i="12" s="1"/>
  <c r="AE10" i="12"/>
  <c r="AE14" i="12" s="1"/>
  <c r="AE34" i="12" s="1"/>
  <c r="AE38" i="12" s="1"/>
  <c r="AD10" i="12"/>
  <c r="AD14" i="12" s="1"/>
  <c r="AD34" i="12" s="1"/>
  <c r="AD38" i="12" s="1"/>
  <c r="AG10" i="12"/>
  <c r="AG14" i="12" s="1"/>
  <c r="AG34" i="12" s="1"/>
  <c r="AG38" i="12" s="1"/>
  <c r="AC45" i="12"/>
  <c r="AC5" i="12" s="1"/>
  <c r="AQ32" i="12"/>
  <c r="AW75" i="12"/>
  <c r="AW7" i="12" s="1"/>
  <c r="AW5" i="12" s="1"/>
  <c r="AO7" i="12"/>
  <c r="K10" i="11"/>
  <c r="L10" i="11" s="1"/>
  <c r="AV6" i="12"/>
  <c r="AV5" i="12" s="1"/>
  <c r="BP91" i="12"/>
  <c r="BP94" i="12" s="1"/>
  <c r="AU32" i="12"/>
  <c r="AD73" i="12"/>
  <c r="K11" i="11"/>
  <c r="L11" i="11" s="1"/>
  <c r="AW32" i="12"/>
  <c r="CF87" i="12"/>
  <c r="CF25" i="12" s="1"/>
  <c r="CP84" i="12"/>
  <c r="DB84" i="12" s="1"/>
  <c r="DN84" i="12" s="1"/>
  <c r="CF83" i="12"/>
  <c r="AD80" i="12"/>
  <c r="AI45" i="12"/>
  <c r="AI5" i="12" s="1"/>
  <c r="AP45" i="12"/>
  <c r="AP6" i="12"/>
  <c r="AP5" i="12" s="1"/>
  <c r="Z73" i="12"/>
  <c r="Z5" i="12" s="1"/>
  <c r="AU5" i="12"/>
  <c r="Z80" i="12"/>
  <c r="AL49" i="12"/>
  <c r="AN49" i="12" s="1"/>
  <c r="AJ45" i="12"/>
  <c r="AJ5" i="12" s="1"/>
  <c r="AD5" i="12"/>
  <c r="K6" i="11"/>
  <c r="K8" i="11"/>
  <c r="L8" i="11" s="1"/>
  <c r="CK87" i="12"/>
  <c r="CW87" i="12" s="1"/>
  <c r="CT90" i="12"/>
  <c r="DF90" i="12" s="1"/>
  <c r="CU24" i="12"/>
  <c r="CL90" i="12"/>
  <c r="CX90" i="12" s="1"/>
  <c r="CI58" i="12"/>
  <c r="CU58" i="12" s="1"/>
  <c r="BY58" i="12"/>
  <c r="CK58" i="12" s="1"/>
  <c r="DG88" i="12"/>
  <c r="BD21" i="12"/>
  <c r="BR64" i="12"/>
  <c r="BR58" i="12"/>
  <c r="CC83" i="12"/>
  <c r="CU62" i="12"/>
  <c r="CU26" i="12" s="1"/>
  <c r="DQ89" i="12"/>
  <c r="CD62" i="12"/>
  <c r="CP62" i="12" s="1"/>
  <c r="AV32" i="12"/>
  <c r="BD25" i="12"/>
  <c r="E6" i="11"/>
  <c r="CX84" i="12"/>
  <c r="DJ84" i="12" s="1"/>
  <c r="BP61" i="12"/>
  <c r="DR88" i="12"/>
  <c r="CE61" i="12"/>
  <c r="CQ61" i="12" s="1"/>
  <c r="DC61" i="12" s="1"/>
  <c r="AR32" i="12"/>
  <c r="CO87" i="12"/>
  <c r="DA87" i="12" s="1"/>
  <c r="DM87" i="12" s="1"/>
  <c r="BV60" i="12"/>
  <c r="CF86" i="12"/>
  <c r="CR86" i="12" s="1"/>
  <c r="CA64" i="12"/>
  <c r="CA28" i="12" s="1"/>
  <c r="BO62" i="12"/>
  <c r="CA62" i="12" s="1"/>
  <c r="BO58" i="12"/>
  <c r="CA58" i="12" s="1"/>
  <c r="DB88" i="12"/>
  <c r="DN88" i="12" s="1"/>
  <c r="CB59" i="12"/>
  <c r="CN59" i="12" s="1"/>
  <c r="BD23" i="12"/>
  <c r="BV64" i="12"/>
  <c r="BR60" i="12"/>
  <c r="CB86" i="12"/>
  <c r="BP57" i="12"/>
  <c r="BP21" i="12" s="1"/>
  <c r="BR21" i="12"/>
  <c r="AP11" i="12"/>
  <c r="BQ25" i="12"/>
  <c r="BZ24" i="12"/>
  <c r="CL60" i="12"/>
  <c r="CL24" i="12" s="1"/>
  <c r="DC83" i="12"/>
  <c r="BZ29" i="12"/>
  <c r="CJ23" i="12"/>
  <c r="CB28" i="12"/>
  <c r="BY26" i="12"/>
  <c r="CK62" i="12"/>
  <c r="CW62" i="12" s="1"/>
  <c r="BQ27" i="12"/>
  <c r="BQ23" i="12"/>
  <c r="BN23" i="12"/>
  <c r="AP50" i="12"/>
  <c r="AP10" i="12" s="1"/>
  <c r="CI27" i="12"/>
  <c r="BG27" i="12"/>
  <c r="BE24" i="12"/>
  <c r="BX22" i="12"/>
  <c r="CD29" i="12"/>
  <c r="BU27" i="12"/>
  <c r="BU25" i="12"/>
  <c r="BU23" i="12"/>
  <c r="BS22" i="12"/>
  <c r="BQ21" i="12"/>
  <c r="CG26" i="12"/>
  <c r="AT32" i="12"/>
  <c r="AR5" i="12"/>
  <c r="BH26" i="12"/>
  <c r="CC59" i="12"/>
  <c r="BY29" i="12"/>
  <c r="CK91" i="12"/>
  <c r="CK29" i="12" s="1"/>
  <c r="CS83" i="12"/>
  <c r="DE83" i="12" s="1"/>
  <c r="BH28" i="12"/>
  <c r="M11" i="11"/>
  <c r="N11" i="11" s="1"/>
  <c r="BW27" i="12"/>
  <c r="BQ60" i="12"/>
  <c r="CC60" i="12" s="1"/>
  <c r="CA57" i="12"/>
  <c r="CJ24" i="12"/>
  <c r="BS94" i="12"/>
  <c r="BN94" i="12"/>
  <c r="BA25" i="12"/>
  <c r="BA23" i="12"/>
  <c r="CC57" i="12"/>
  <c r="CE29" i="12"/>
  <c r="CW85" i="12"/>
  <c r="DI85" i="12" s="1"/>
  <c r="BJ23" i="12"/>
  <c r="BV57" i="12"/>
  <c r="CH57" i="12" s="1"/>
  <c r="BP60" i="12"/>
  <c r="CH89" i="12"/>
  <c r="BT62" i="12"/>
  <c r="CE25" i="12"/>
  <c r="BT64" i="12"/>
  <c r="CF64" i="12" s="1"/>
  <c r="BJ27" i="12"/>
  <c r="BF27" i="12"/>
  <c r="BB27" i="12"/>
  <c r="DH57" i="12"/>
  <c r="DT57" i="12" s="1"/>
  <c r="CC88" i="12"/>
  <c r="CO88" i="12" s="1"/>
  <c r="DA88" i="12" s="1"/>
  <c r="CG61" i="12"/>
  <c r="CS61" i="12" s="1"/>
  <c r="CS25" i="12" s="1"/>
  <c r="BD22" i="12"/>
  <c r="BD68" i="12"/>
  <c r="DS85" i="12"/>
  <c r="DF84" i="12"/>
  <c r="DR84" i="12" s="1"/>
  <c r="L14" i="11"/>
  <c r="N14" i="11"/>
  <c r="AJ56" i="12"/>
  <c r="AK56" i="12" s="1"/>
  <c r="CY12" i="12"/>
  <c r="DL12" i="12"/>
  <c r="BX94" i="12"/>
  <c r="BU24" i="12"/>
  <c r="CJ29" i="12"/>
  <c r="BX26" i="12"/>
  <c r="BS28" i="12"/>
  <c r="BS26" i="12"/>
  <c r="BS24" i="12"/>
  <c r="BP26" i="12"/>
  <c r="CJ87" i="12"/>
  <c r="CG60" i="12"/>
  <c r="CS60" i="12" s="1"/>
  <c r="AT50" i="12"/>
  <c r="AT10" i="12" s="1"/>
  <c r="BU26" i="12"/>
  <c r="BU22" i="12"/>
  <c r="CO85" i="12"/>
  <c r="DA85" i="12" s="1"/>
  <c r="CJ28" i="12"/>
  <c r="BV29" i="12"/>
  <c r="CN89" i="12"/>
  <c r="BA27" i="12"/>
  <c r="BM57" i="12"/>
  <c r="CV91" i="12"/>
  <c r="CV29" i="12" s="1"/>
  <c r="BF23" i="12"/>
  <c r="CE58" i="12"/>
  <c r="AP32" i="12"/>
  <c r="CE88" i="12"/>
  <c r="CQ88" i="12" s="1"/>
  <c r="CA27" i="12"/>
  <c r="BT58" i="12"/>
  <c r="CF58" i="12" s="1"/>
  <c r="K16" i="11"/>
  <c r="AB78" i="12"/>
  <c r="AB80" i="12" s="1"/>
  <c r="AY13" i="12"/>
  <c r="AK8" i="12"/>
  <c r="DJ12" i="12"/>
  <c r="AT12" i="12"/>
  <c r="CP91" i="12"/>
  <c r="CP29" i="12" s="1"/>
  <c r="BX29" i="12"/>
  <c r="BU64" i="12"/>
  <c r="CG64" i="12" s="1"/>
  <c r="BE28" i="12"/>
  <c r="BS63" i="12"/>
  <c r="CE63" i="12" s="1"/>
  <c r="BQ26" i="12"/>
  <c r="BS25" i="12"/>
  <c r="BM24" i="12"/>
  <c r="BW23" i="12"/>
  <c r="BQ22" i="12"/>
  <c r="BW68" i="12"/>
  <c r="BW21" i="12"/>
  <c r="CM87" i="12"/>
  <c r="CY87" i="12" s="1"/>
  <c r="CT86" i="12"/>
  <c r="DF86" i="12" s="1"/>
  <c r="CR84" i="12"/>
  <c r="DD84" i="12" s="1"/>
  <c r="CV84" i="12"/>
  <c r="BX28" i="12"/>
  <c r="BX24" i="12"/>
  <c r="CH91" i="12"/>
  <c r="CO89" i="12"/>
  <c r="CO86" i="12"/>
  <c r="BP23" i="12"/>
  <c r="CI28" i="12"/>
  <c r="BG28" i="12"/>
  <c r="BM63" i="12"/>
  <c r="CI26" i="12"/>
  <c r="BG26" i="12"/>
  <c r="CQ62" i="12"/>
  <c r="BM61" i="12"/>
  <c r="BY61" i="12" s="1"/>
  <c r="CI24" i="12"/>
  <c r="BG24" i="12"/>
  <c r="BM59" i="12"/>
  <c r="CI22" i="12"/>
  <c r="BG22" i="12"/>
  <c r="BI68" i="12"/>
  <c r="BI21" i="12"/>
  <c r="BS29" i="12"/>
  <c r="DC89" i="12"/>
  <c r="DO89" i="12" s="1"/>
  <c r="CF85" i="12"/>
  <c r="CR85" i="12" s="1"/>
  <c r="CR23" i="12" s="1"/>
  <c r="BY84" i="12"/>
  <c r="CK84" i="12" s="1"/>
  <c r="CE60" i="12"/>
  <c r="BV59" i="12"/>
  <c r="BR59" i="12"/>
  <c r="BN22" i="12"/>
  <c r="BB68" i="12"/>
  <c r="BB21" i="12"/>
  <c r="CW89" i="12"/>
  <c r="DI89" i="12" s="1"/>
  <c r="CY89" i="12"/>
  <c r="DK89" i="12" s="1"/>
  <c r="CB87" i="12"/>
  <c r="BO94" i="12"/>
  <c r="CB27" i="12"/>
  <c r="CH26" i="12"/>
  <c r="DF62" i="12"/>
  <c r="DF26" i="12" s="1"/>
  <c r="CF62" i="12"/>
  <c r="CF21" i="12"/>
  <c r="BZ28" i="12"/>
  <c r="CU59" i="12"/>
  <c r="CU23" i="12" s="1"/>
  <c r="BQ94" i="12"/>
  <c r="CE90" i="12"/>
  <c r="CQ90" i="12" s="1"/>
  <c r="DC90" i="12" s="1"/>
  <c r="DG86" i="12"/>
  <c r="DS86" i="12" s="1"/>
  <c r="CA84" i="12"/>
  <c r="BM94" i="12"/>
  <c r="CN63" i="12"/>
  <c r="BV63" i="12"/>
  <c r="BR63" i="12"/>
  <c r="BN63" i="12"/>
  <c r="BZ63" i="12" s="1"/>
  <c r="BN26" i="12"/>
  <c r="BZ62" i="12"/>
  <c r="CL62" i="12" s="1"/>
  <c r="BJ25" i="12"/>
  <c r="BF25" i="12"/>
  <c r="BB25" i="12"/>
  <c r="BY60" i="12"/>
  <c r="CG58" i="12"/>
  <c r="CR57" i="12"/>
  <c r="CZ88" i="12"/>
  <c r="DL88" i="12" s="1"/>
  <c r="CH87" i="12"/>
  <c r="BT27" i="12"/>
  <c r="BP58" i="12"/>
  <c r="CV63" i="12"/>
  <c r="D13" i="11"/>
  <c r="J13" i="11" s="1"/>
  <c r="B16" i="11"/>
  <c r="BP27" i="12"/>
  <c r="BT29" i="12"/>
  <c r="BM28" i="12"/>
  <c r="CI25" i="12"/>
  <c r="BO23" i="12"/>
  <c r="CE21" i="12"/>
  <c r="BI29" i="12"/>
  <c r="BU91" i="12"/>
  <c r="BU94" i="12" s="1"/>
  <c r="BI94" i="12"/>
  <c r="DH85" i="12"/>
  <c r="CV85" i="12"/>
  <c r="BX23" i="12"/>
  <c r="BR94" i="12"/>
  <c r="CP83" i="12"/>
  <c r="DB83" i="12" s="1"/>
  <c r="DN83" i="12" s="1"/>
  <c r="BE27" i="12"/>
  <c r="BE25" i="12"/>
  <c r="BE23" i="12"/>
  <c r="BA68" i="12"/>
  <c r="BA21" i="12"/>
  <c r="BJ68" i="12"/>
  <c r="BJ21" i="12"/>
  <c r="BX21" i="12"/>
  <c r="BD24" i="12"/>
  <c r="BH22" i="12"/>
  <c r="CM90" i="12"/>
  <c r="CP85" i="12"/>
  <c r="DB85" i="12" s="1"/>
  <c r="DN85" i="12" s="1"/>
  <c r="BH68" i="12"/>
  <c r="BP28" i="12"/>
  <c r="BT24" i="12"/>
  <c r="CH22" i="12"/>
  <c r="DD59" i="12"/>
  <c r="DP59" i="12" s="1"/>
  <c r="CV61" i="12"/>
  <c r="AF78" i="12"/>
  <c r="AF80" i="12" s="1"/>
  <c r="AR50" i="12"/>
  <c r="AR10" i="12" s="1"/>
  <c r="AO50" i="12"/>
  <c r="CF91" i="12"/>
  <c r="BI28" i="12"/>
  <c r="BW25" i="12"/>
  <c r="CI23" i="12"/>
  <c r="CC90" i="12"/>
  <c r="CQ87" i="12"/>
  <c r="DC87" i="12" s="1"/>
  <c r="DO87" i="12" s="1"/>
  <c r="BN29" i="12"/>
  <c r="CM88" i="12"/>
  <c r="CQ84" i="12"/>
  <c r="BO28" i="12"/>
  <c r="BO26" i="12"/>
  <c r="BO24" i="12"/>
  <c r="BZ83" i="12"/>
  <c r="BB23" i="12"/>
  <c r="BF68" i="12"/>
  <c r="BF21" i="12"/>
  <c r="BF32" i="12" s="1"/>
  <c r="CV64" i="12"/>
  <c r="DH64" i="12" s="1"/>
  <c r="AO11" i="12"/>
  <c r="BZ89" i="12"/>
  <c r="CL89" i="12" s="1"/>
  <c r="CR63" i="12"/>
  <c r="CB62" i="12"/>
  <c r="CF23" i="12"/>
  <c r="CF89" i="12"/>
  <c r="CF27" i="12" s="1"/>
  <c r="CC61" i="12"/>
  <c r="CO61" i="12" s="1"/>
  <c r="BP25" i="12"/>
  <c r="AL50" i="12"/>
  <c r="AN50" i="12" s="1"/>
  <c r="Z10" i="12"/>
  <c r="AB10" i="12"/>
  <c r="AB14" i="12" s="1"/>
  <c r="AB34" i="12" s="1"/>
  <c r="AB38" i="12" s="1"/>
  <c r="AS50" i="12"/>
  <c r="AQ50" i="12"/>
  <c r="CL12" i="12"/>
  <c r="CL91" i="12"/>
  <c r="CL29" i="12" s="1"/>
  <c r="CU90" i="12"/>
  <c r="BK29" i="12"/>
  <c r="BK32" i="12" s="1"/>
  <c r="BK94" i="12"/>
  <c r="BW91" i="12"/>
  <c r="CJ83" i="12"/>
  <c r="BQ64" i="12"/>
  <c r="CC64" i="12" s="1"/>
  <c r="CK64" i="12"/>
  <c r="CW64" i="12" s="1"/>
  <c r="DI64" i="12" s="1"/>
  <c r="BA28" i="12"/>
  <c r="BO27" i="12"/>
  <c r="BM26" i="12"/>
  <c r="BO25" i="12"/>
  <c r="BI24" i="12"/>
  <c r="BS23" i="12"/>
  <c r="BM22" i="12"/>
  <c r="CI57" i="12"/>
  <c r="DC57" i="12"/>
  <c r="DO57" i="12" s="1"/>
  <c r="BS21" i="12"/>
  <c r="BQ29" i="12"/>
  <c r="CC91" i="12"/>
  <c r="CG90" i="12"/>
  <c r="CS90" i="12" s="1"/>
  <c r="BY90" i="12"/>
  <c r="BY28" i="12" s="1"/>
  <c r="CR88" i="12"/>
  <c r="DD88" i="12" s="1"/>
  <c r="CV88" i="12"/>
  <c r="DH88" i="12" s="1"/>
  <c r="DS87" i="12"/>
  <c r="CP86" i="12"/>
  <c r="DB86" i="12" s="1"/>
  <c r="DJ86" i="12"/>
  <c r="DQ85" i="12"/>
  <c r="CN84" i="12"/>
  <c r="CZ84" i="12" s="1"/>
  <c r="DL84" i="12" s="1"/>
  <c r="DG83" i="12"/>
  <c r="CM83" i="12"/>
  <c r="CJ62" i="12"/>
  <c r="CJ58" i="12"/>
  <c r="CV58" i="12" s="1"/>
  <c r="CA91" i="12"/>
  <c r="BO29" i="12"/>
  <c r="DB91" i="12"/>
  <c r="DB29" i="12" s="1"/>
  <c r="BR29" i="12"/>
  <c r="DS88" i="12"/>
  <c r="CP87" i="12"/>
  <c r="DB87" i="12" s="1"/>
  <c r="DN87" i="12" s="1"/>
  <c r="CK86" i="12"/>
  <c r="CW86" i="12" s="1"/>
  <c r="CU84" i="12"/>
  <c r="BV94" i="12"/>
  <c r="BW28" i="12"/>
  <c r="DG64" i="12"/>
  <c r="BC28" i="12"/>
  <c r="BI27" i="12"/>
  <c r="BW26" i="12"/>
  <c r="DG62" i="12"/>
  <c r="DG26" i="12" s="1"/>
  <c r="BC26" i="12"/>
  <c r="BI25" i="12"/>
  <c r="BW24" i="12"/>
  <c r="DG60" i="12"/>
  <c r="DG24" i="12" s="1"/>
  <c r="BC24" i="12"/>
  <c r="BI23" i="12"/>
  <c r="BW22" i="12"/>
  <c r="BC22" i="12"/>
  <c r="BU57" i="12"/>
  <c r="BE68" i="12"/>
  <c r="BE21" i="12"/>
  <c r="CQ91" i="12"/>
  <c r="CQ29" i="12" s="1"/>
  <c r="CR91" i="12"/>
  <c r="CR29" i="12" s="1"/>
  <c r="CN90" i="12"/>
  <c r="CZ90" i="12" s="1"/>
  <c r="DL90" i="12" s="1"/>
  <c r="CJ89" i="12"/>
  <c r="CV89" i="12" s="1"/>
  <c r="CQ86" i="12"/>
  <c r="DC86" i="12" s="1"/>
  <c r="DO86" i="12" s="1"/>
  <c r="CA86" i="12"/>
  <c r="CB85" i="12"/>
  <c r="CS84" i="12"/>
  <c r="DE84" i="12" s="1"/>
  <c r="CC84" i="12"/>
  <c r="CO84" i="12" s="1"/>
  <c r="CH83" i="12"/>
  <c r="CO62" i="12"/>
  <c r="CA60" i="12"/>
  <c r="BZ59" i="12"/>
  <c r="CL59" i="12" s="1"/>
  <c r="CS58" i="12"/>
  <c r="AX32" i="12"/>
  <c r="CD57" i="12"/>
  <c r="CP57" i="12" s="1"/>
  <c r="BN57" i="12"/>
  <c r="CM85" i="12"/>
  <c r="CY85" i="12" s="1"/>
  <c r="DK85" i="12" s="1"/>
  <c r="CG63" i="12"/>
  <c r="CV60" i="12"/>
  <c r="BC68" i="12"/>
  <c r="CD89" i="12"/>
  <c r="CM63" i="12"/>
  <c r="CM27" i="12" s="1"/>
  <c r="BR26" i="12"/>
  <c r="CN62" i="12"/>
  <c r="CN26" i="12" s="1"/>
  <c r="BD26" i="12"/>
  <c r="CU61" i="12"/>
  <c r="CU25" i="12" s="1"/>
  <c r="CG59" i="12"/>
  <c r="BZ58" i="12"/>
  <c r="BG68" i="12"/>
  <c r="CS88" i="12"/>
  <c r="DE88" i="12" s="1"/>
  <c r="CE64" i="12"/>
  <c r="CQ64" i="12" s="1"/>
  <c r="CE59" i="12"/>
  <c r="CQ59" i="12" s="1"/>
  <c r="CQ23" i="12" s="1"/>
  <c r="CR90" i="12"/>
  <c r="DD90" i="12" s="1"/>
  <c r="CV90" i="12"/>
  <c r="DH90" i="12" s="1"/>
  <c r="DT90" i="12" s="1"/>
  <c r="DG89" i="12"/>
  <c r="DS89" i="12" s="1"/>
  <c r="CL88" i="12"/>
  <c r="CG86" i="12"/>
  <c r="CS86" i="12" s="1"/>
  <c r="DE86" i="12" s="1"/>
  <c r="CH85" i="12"/>
  <c r="BZ85" i="12"/>
  <c r="CW83" i="12"/>
  <c r="DI83" i="12" s="1"/>
  <c r="BT94" i="12"/>
  <c r="CR83" i="12"/>
  <c r="CB83" i="12"/>
  <c r="BX68" i="12"/>
  <c r="BN28" i="12"/>
  <c r="CX64" i="12"/>
  <c r="CN64" i="12"/>
  <c r="CN28" i="12" s="1"/>
  <c r="BD28" i="12"/>
  <c r="CU63" i="12"/>
  <c r="CU27" i="12" s="1"/>
  <c r="CS62" i="12"/>
  <c r="BV61" i="12"/>
  <c r="BR61" i="12"/>
  <c r="BN61" i="12"/>
  <c r="BN24" i="12"/>
  <c r="DH59" i="12"/>
  <c r="BV22" i="12"/>
  <c r="DF58" i="12"/>
  <c r="CC58" i="12"/>
  <c r="CK88" i="12"/>
  <c r="BZ87" i="12"/>
  <c r="CC63" i="12"/>
  <c r="CO63" i="12" s="1"/>
  <c r="CR60" i="12"/>
  <c r="BH24" i="12"/>
  <c r="CA59" i="12"/>
  <c r="BX27" i="12"/>
  <c r="J12" i="11"/>
  <c r="AO5" i="12"/>
  <c r="CV86" i="12"/>
  <c r="DH86" i="12" s="1"/>
  <c r="DD61" i="12"/>
  <c r="CX88" i="12"/>
  <c r="BX25" i="12"/>
  <c r="BO68" i="12" l="1"/>
  <c r="CO27" i="12"/>
  <c r="BO22" i="12"/>
  <c r="BO21" i="12"/>
  <c r="M8" i="11"/>
  <c r="N8" i="11" s="1"/>
  <c r="CM61" i="12"/>
  <c r="CR87" i="12"/>
  <c r="CR25" i="12" s="1"/>
  <c r="J5" i="11"/>
  <c r="G6" i="11"/>
  <c r="J6" i="11" s="1"/>
  <c r="N6" i="11" s="1"/>
  <c r="CM64" i="12"/>
  <c r="CY64" i="12" s="1"/>
  <c r="CC26" i="12"/>
  <c r="CF24" i="12"/>
  <c r="AZ7" i="12"/>
  <c r="BS68" i="12"/>
  <c r="CL28" i="12"/>
  <c r="CS26" i="12"/>
  <c r="BJ32" i="12"/>
  <c r="BP29" i="12"/>
  <c r="DH91" i="12"/>
  <c r="DH29" i="12" s="1"/>
  <c r="BK78" i="12"/>
  <c r="CD26" i="12"/>
  <c r="CR64" i="12"/>
  <c r="CR28" i="12" s="1"/>
  <c r="DF22" i="12"/>
  <c r="CS22" i="12"/>
  <c r="CO25" i="12"/>
  <c r="CE94" i="12"/>
  <c r="AP14" i="12"/>
  <c r="AP34" i="12" s="1"/>
  <c r="AP38" i="12" s="1"/>
  <c r="AP42" i="12" s="1"/>
  <c r="CX28" i="12"/>
  <c r="CB91" i="12"/>
  <c r="CQ28" i="12"/>
  <c r="AY78" i="12"/>
  <c r="BJ78" i="12"/>
  <c r="DE60" i="12"/>
  <c r="DQ60" i="12" s="1"/>
  <c r="BL78" i="12"/>
  <c r="CR62" i="12"/>
  <c r="CR26" i="12" s="1"/>
  <c r="DI62" i="12"/>
  <c r="AP54" i="12"/>
  <c r="M6" i="11"/>
  <c r="CZ59" i="12"/>
  <c r="DL59" i="12" s="1"/>
  <c r="CA26" i="12"/>
  <c r="CM62" i="12"/>
  <c r="CU22" i="12"/>
  <c r="DG58" i="12"/>
  <c r="CP26" i="12"/>
  <c r="DB62" i="12"/>
  <c r="DB26" i="12" s="1"/>
  <c r="CW58" i="12"/>
  <c r="DI58" i="12" s="1"/>
  <c r="CK22" i="12"/>
  <c r="CM58" i="12"/>
  <c r="CY58" i="12" s="1"/>
  <c r="CA22" i="12"/>
  <c r="CR24" i="12"/>
  <c r="DJ88" i="12"/>
  <c r="DD87" i="12"/>
  <c r="CV24" i="12"/>
  <c r="DQ84" i="12"/>
  <c r="DI86" i="12"/>
  <c r="DP88" i="12"/>
  <c r="DC84" i="12"/>
  <c r="DO84" i="12" s="1"/>
  <c r="BH32" i="12"/>
  <c r="CX62" i="12"/>
  <c r="CX26" i="12" s="1"/>
  <c r="BR68" i="12"/>
  <c r="DP90" i="12"/>
  <c r="BR28" i="12"/>
  <c r="CD64" i="12"/>
  <c r="DI87" i="12"/>
  <c r="CO26" i="12"/>
  <c r="CA94" i="12"/>
  <c r="CM84" i="12"/>
  <c r="CY84" i="12" s="1"/>
  <c r="CZ89" i="12"/>
  <c r="DL89" i="12" s="1"/>
  <c r="BD32" i="12"/>
  <c r="CK61" i="12"/>
  <c r="CK25" i="12" s="1"/>
  <c r="BQ68" i="12"/>
  <c r="CM25" i="12"/>
  <c r="CN86" i="12"/>
  <c r="CZ86" i="12" s="1"/>
  <c r="DL86" i="12" s="1"/>
  <c r="AK6" i="12"/>
  <c r="AK45" i="12"/>
  <c r="CB57" i="12"/>
  <c r="DT88" i="12"/>
  <c r="CQ25" i="12"/>
  <c r="DG61" i="12"/>
  <c r="DG25" i="12" s="1"/>
  <c r="DT85" i="12"/>
  <c r="DJ64" i="12"/>
  <c r="DS60" i="12"/>
  <c r="DS24" i="12" s="1"/>
  <c r="CK90" i="12"/>
  <c r="CW90" i="12" s="1"/>
  <c r="CW28" i="12" s="1"/>
  <c r="DT91" i="12"/>
  <c r="DT29" i="12" s="1"/>
  <c r="DG90" i="12"/>
  <c r="DS90" i="12" s="1"/>
  <c r="BR24" i="12"/>
  <c r="CD60" i="12"/>
  <c r="DD86" i="12"/>
  <c r="DP86" i="12" s="1"/>
  <c r="CB61" i="12"/>
  <c r="CB25" i="12" s="1"/>
  <c r="CO83" i="12"/>
  <c r="DA83" i="12" s="1"/>
  <c r="DR90" i="12"/>
  <c r="CY63" i="12"/>
  <c r="CY27" i="12" s="1"/>
  <c r="CQ94" i="12"/>
  <c r="DP87" i="12"/>
  <c r="CW84" i="12"/>
  <c r="DS62" i="12"/>
  <c r="DS26" i="12" s="1"/>
  <c r="DP84" i="12"/>
  <c r="CU28" i="12"/>
  <c r="BV28" i="12"/>
  <c r="CH64" i="12"/>
  <c r="BV24" i="12"/>
  <c r="CH60" i="12"/>
  <c r="CT60" i="12" s="1"/>
  <c r="CT24" i="12" s="1"/>
  <c r="BR22" i="12"/>
  <c r="CD58" i="12"/>
  <c r="DJ90" i="12"/>
  <c r="CY22" i="12"/>
  <c r="DK58" i="12"/>
  <c r="CE27" i="12"/>
  <c r="CP21" i="12"/>
  <c r="DB57" i="12"/>
  <c r="DN57" i="12" s="1"/>
  <c r="CH21" i="12"/>
  <c r="CT57" i="12"/>
  <c r="DF57" i="12" s="1"/>
  <c r="CF22" i="12"/>
  <c r="CF68" i="12"/>
  <c r="CR58" i="12"/>
  <c r="CR22" i="12" s="1"/>
  <c r="CA23" i="12"/>
  <c r="BU68" i="12"/>
  <c r="BU21" i="12"/>
  <c r="CG57" i="12"/>
  <c r="BQ28" i="12"/>
  <c r="AX50" i="12"/>
  <c r="AO10" i="12"/>
  <c r="AO14" i="12" s="1"/>
  <c r="AO34" i="12" s="1"/>
  <c r="AO38" i="12" s="1"/>
  <c r="AO42" i="12" s="1"/>
  <c r="AO54" i="12"/>
  <c r="N13" i="11"/>
  <c r="J16" i="11"/>
  <c r="J17" i="11" s="1"/>
  <c r="L13" i="11"/>
  <c r="BR27" i="12"/>
  <c r="BF50" i="12"/>
  <c r="AZ50" i="12"/>
  <c r="BP13" i="12"/>
  <c r="BD13" i="12"/>
  <c r="BZ27" i="12"/>
  <c r="BZ22" i="12"/>
  <c r="CD59" i="12"/>
  <c r="CP59" i="12" s="1"/>
  <c r="CP23" i="12" s="1"/>
  <c r="CH94" i="12"/>
  <c r="CI68" i="12"/>
  <c r="CI21" i="12"/>
  <c r="CU57" i="12"/>
  <c r="AQ10" i="12"/>
  <c r="AK78" i="12"/>
  <c r="Z14" i="12"/>
  <c r="Z34" i="12" s="1"/>
  <c r="Z38" i="12" s="1"/>
  <c r="BE50" i="12"/>
  <c r="BU29" i="12"/>
  <c r="CV27" i="12"/>
  <c r="DH63" i="12"/>
  <c r="BV27" i="12"/>
  <c r="BV23" i="12"/>
  <c r="DC25" i="12"/>
  <c r="AU12" i="12"/>
  <c r="DK87" i="12"/>
  <c r="DE62" i="12"/>
  <c r="DE26" i="12" s="1"/>
  <c r="DC64" i="12"/>
  <c r="DC28" i="12" s="1"/>
  <c r="CL63" i="12"/>
  <c r="CL27" i="12" s="1"/>
  <c r="BP24" i="12"/>
  <c r="CL83" i="12"/>
  <c r="CX83" i="12" s="1"/>
  <c r="CC23" i="12"/>
  <c r="DC88" i="12"/>
  <c r="DO88" i="12" s="1"/>
  <c r="CO60" i="12"/>
  <c r="CO24" i="12" s="1"/>
  <c r="BA13" i="12"/>
  <c r="CE26" i="12"/>
  <c r="CG28" i="12"/>
  <c r="CB60" i="12"/>
  <c r="CN60" i="12" s="1"/>
  <c r="BN25" i="12"/>
  <c r="BZ61" i="12"/>
  <c r="BZ23" i="12"/>
  <c r="CY83" i="12"/>
  <c r="DK83" i="12" s="1"/>
  <c r="BB50" i="12"/>
  <c r="BY24" i="12"/>
  <c r="CK60" i="12"/>
  <c r="CK24" i="12" s="1"/>
  <c r="BR23" i="12"/>
  <c r="AZ73" i="12"/>
  <c r="CC68" i="12"/>
  <c r="CC21" i="12"/>
  <c r="CV22" i="12"/>
  <c r="CT89" i="12"/>
  <c r="DF89" i="12" s="1"/>
  <c r="DR89" i="12" s="1"/>
  <c r="DE61" i="12"/>
  <c r="DE25" i="12" s="1"/>
  <c r="DM85" i="12"/>
  <c r="BN13" i="12"/>
  <c r="BB13" i="12"/>
  <c r="BK13" i="12"/>
  <c r="CX59" i="12"/>
  <c r="DA61" i="12"/>
  <c r="DA25" i="12" s="1"/>
  <c r="AS11" i="12"/>
  <c r="DH23" i="12"/>
  <c r="DD83" i="12"/>
  <c r="CG27" i="12"/>
  <c r="DT89" i="12"/>
  <c r="BE32" i="12"/>
  <c r="DG28" i="12"/>
  <c r="DH89" i="12"/>
  <c r="CY61" i="12"/>
  <c r="CY25" i="12" s="1"/>
  <c r="CJ94" i="12"/>
  <c r="CJ21" i="12"/>
  <c r="AQ11" i="12"/>
  <c r="CY88" i="12"/>
  <c r="DK88" i="12" s="1"/>
  <c r="DT59" i="12"/>
  <c r="DT23" i="12" s="1"/>
  <c r="CR21" i="12"/>
  <c r="CR68" i="12"/>
  <c r="CL26" i="12"/>
  <c r="CL85" i="12"/>
  <c r="CL23" i="12" s="1"/>
  <c r="DR62" i="12"/>
  <c r="DR26" i="12" s="1"/>
  <c r="DA84" i="12"/>
  <c r="DM84" i="12" s="1"/>
  <c r="BM23" i="12"/>
  <c r="DH28" i="12"/>
  <c r="DG59" i="12"/>
  <c r="DG23" i="12" s="1"/>
  <c r="DD58" i="12"/>
  <c r="DD22" i="12" s="1"/>
  <c r="BT22" i="12"/>
  <c r="BT68" i="12"/>
  <c r="CJ27" i="12"/>
  <c r="DO61" i="12"/>
  <c r="DO25" i="12" s="1"/>
  <c r="DQ83" i="12"/>
  <c r="BU13" i="12"/>
  <c r="BI13" i="12"/>
  <c r="DD25" i="12"/>
  <c r="CW88" i="12"/>
  <c r="DI88" i="12" s="1"/>
  <c r="CC22" i="12"/>
  <c r="CO58" i="12"/>
  <c r="CO22" i="12" s="1"/>
  <c r="CX60" i="12"/>
  <c r="CX24" i="12" s="1"/>
  <c r="BV25" i="12"/>
  <c r="CH61" i="12"/>
  <c r="CT61" i="12" s="1"/>
  <c r="DF61" i="12" s="1"/>
  <c r="CD63" i="12"/>
  <c r="CP63" i="12" s="1"/>
  <c r="CE23" i="12"/>
  <c r="CG23" i="12"/>
  <c r="DA89" i="12"/>
  <c r="DM89" i="12" s="1"/>
  <c r="CH59" i="12"/>
  <c r="CC94" i="12"/>
  <c r="CO57" i="12"/>
  <c r="BC32" i="12"/>
  <c r="CS59" i="12"/>
  <c r="CS23" i="12" s="1"/>
  <c r="CS63" i="12"/>
  <c r="CS27" i="12" s="1"/>
  <c r="CA29" i="12"/>
  <c r="CM91" i="12"/>
  <c r="CJ22" i="12"/>
  <c r="CJ68" i="12"/>
  <c r="DI90" i="12"/>
  <c r="DI28" i="12" s="1"/>
  <c r="CB29" i="12"/>
  <c r="CN91" i="12"/>
  <c r="CN29" i="12" s="1"/>
  <c r="AU50" i="12"/>
  <c r="CY62" i="12"/>
  <c r="DS59" i="12"/>
  <c r="DS23" i="12" s="1"/>
  <c r="CS64" i="12"/>
  <c r="CS28" i="12" s="1"/>
  <c r="BA50" i="12"/>
  <c r="DD60" i="12"/>
  <c r="DP60" i="12" s="1"/>
  <c r="CZ64" i="12"/>
  <c r="CZ28" i="12" s="1"/>
  <c r="DQ88" i="12"/>
  <c r="BA32" i="12"/>
  <c r="CO59" i="12"/>
  <c r="CO23" i="12" s="1"/>
  <c r="CR89" i="12"/>
  <c r="CR94" i="12" s="1"/>
  <c r="DP61" i="12"/>
  <c r="DP25" i="12" s="1"/>
  <c r="CG22" i="12"/>
  <c r="CL61" i="12"/>
  <c r="CN27" i="12"/>
  <c r="CZ63" i="12"/>
  <c r="AL48" i="12"/>
  <c r="AN48" i="12" s="1"/>
  <c r="CE24" i="12"/>
  <c r="DC91" i="12"/>
  <c r="DC29" i="12" s="1"/>
  <c r="BI32" i="12"/>
  <c r="BG32" i="12"/>
  <c r="CQ60" i="12"/>
  <c r="CW61" i="12"/>
  <c r="CW25" i="12" s="1"/>
  <c r="BM25" i="12"/>
  <c r="DS64" i="12"/>
  <c r="DA86" i="12"/>
  <c r="DM86" i="12" s="1"/>
  <c r="CH29" i="12"/>
  <c r="CT91" i="12"/>
  <c r="CT29" i="12" s="1"/>
  <c r="CO64" i="12"/>
  <c r="AZ78" i="12"/>
  <c r="BY59" i="12"/>
  <c r="BM68" i="12"/>
  <c r="BM21" i="12"/>
  <c r="DD85" i="12"/>
  <c r="DD23" i="12" s="1"/>
  <c r="DF91" i="12"/>
  <c r="DF29" i="12" s="1"/>
  <c r="CG24" i="12"/>
  <c r="DH61" i="12"/>
  <c r="DQ61" i="12"/>
  <c r="DQ25" i="12" s="1"/>
  <c r="CG25" i="12"/>
  <c r="DN62" i="12"/>
  <c r="DN26" i="12" s="1"/>
  <c r="DD64" i="12"/>
  <c r="DD28" i="12" s="1"/>
  <c r="BT28" i="12"/>
  <c r="CW91" i="12"/>
  <c r="CW29" i="12" s="1"/>
  <c r="DD62" i="12"/>
  <c r="DD26" i="12" s="1"/>
  <c r="BT26" i="12"/>
  <c r="CN87" i="12"/>
  <c r="AR54" i="12"/>
  <c r="CK59" i="12"/>
  <c r="CK23" i="12" s="1"/>
  <c r="DR86" i="12"/>
  <c r="DT61" i="12"/>
  <c r="DP83" i="12"/>
  <c r="CV23" i="12"/>
  <c r="AR14" i="12"/>
  <c r="AR34" i="12" s="1"/>
  <c r="AR38" i="12" s="1"/>
  <c r="AR42" i="12" s="1"/>
  <c r="DE59" i="12"/>
  <c r="DE23" i="12" s="1"/>
  <c r="DE63" i="12"/>
  <c r="DE27" i="12" s="1"/>
  <c r="CO90" i="12"/>
  <c r="CV87" i="12"/>
  <c r="CV25" i="12" s="1"/>
  <c r="BQ13" i="12"/>
  <c r="BE13" i="12"/>
  <c r="BR13" i="12"/>
  <c r="BF13" i="12"/>
  <c r="BO13" i="12"/>
  <c r="BC13" i="12"/>
  <c r="AW50" i="12"/>
  <c r="DK61" i="12"/>
  <c r="DK25" i="12" s="1"/>
  <c r="DJ60" i="12"/>
  <c r="DJ24" i="12" s="1"/>
  <c r="CD94" i="12"/>
  <c r="CC28" i="12"/>
  <c r="BN68" i="12"/>
  <c r="BN21" i="12"/>
  <c r="BZ57" i="12"/>
  <c r="CL57" i="12" s="1"/>
  <c r="BA78" i="12"/>
  <c r="BP22" i="12"/>
  <c r="BP68" i="12"/>
  <c r="BS27" i="12"/>
  <c r="BS32" i="12" s="1"/>
  <c r="CE22" i="12"/>
  <c r="CC24" i="12"/>
  <c r="CA68" i="12"/>
  <c r="CA21" i="12"/>
  <c r="BR25" i="12"/>
  <c r="CD61" i="12"/>
  <c r="CD21" i="12"/>
  <c r="CB23" i="12"/>
  <c r="CM22" i="12"/>
  <c r="CM26" i="12"/>
  <c r="CC29" i="12"/>
  <c r="CO91" i="12"/>
  <c r="DC59" i="12"/>
  <c r="DC23" i="12" s="1"/>
  <c r="AS10" i="12"/>
  <c r="BZ94" i="12"/>
  <c r="CY90" i="12"/>
  <c r="DK90" i="12" s="1"/>
  <c r="DS83" i="12"/>
  <c r="DD63" i="12"/>
  <c r="DP63" i="12" s="1"/>
  <c r="CQ58" i="12"/>
  <c r="DC58" i="12" s="1"/>
  <c r="DC22" i="12" s="1"/>
  <c r="DH84" i="12"/>
  <c r="DT84" i="12" s="1"/>
  <c r="CX89" i="12"/>
  <c r="DJ89" i="12" s="1"/>
  <c r="CV83" i="12"/>
  <c r="BQ24" i="12"/>
  <c r="BC50" i="12"/>
  <c r="DD57" i="12"/>
  <c r="DP57" i="12" s="1"/>
  <c r="CB58" i="12"/>
  <c r="CC27" i="12"/>
  <c r="CH63" i="12"/>
  <c r="CB94" i="12"/>
  <c r="CB21" i="12"/>
  <c r="DQ86" i="12"/>
  <c r="CE28" i="12"/>
  <c r="CA24" i="12"/>
  <c r="CM60" i="12"/>
  <c r="CM28" i="12"/>
  <c r="CT83" i="12"/>
  <c r="CJ26" i="12"/>
  <c r="DC21" i="12"/>
  <c r="CS24" i="12"/>
  <c r="CW26" i="12"/>
  <c r="BW29" i="12"/>
  <c r="BW94" i="12"/>
  <c r="CI91" i="12"/>
  <c r="AV50" i="12"/>
  <c r="CC25" i="12"/>
  <c r="CB26" i="12"/>
  <c r="CV28" i="12"/>
  <c r="CX91" i="12"/>
  <c r="DO83" i="12"/>
  <c r="DO21" i="12" s="1"/>
  <c r="CF29" i="12"/>
  <c r="DR58" i="12"/>
  <c r="DR22" i="12" s="1"/>
  <c r="BX32" i="12"/>
  <c r="DG84" i="12"/>
  <c r="DG22" i="12" s="1"/>
  <c r="CG91" i="12"/>
  <c r="CE68" i="12"/>
  <c r="DS61" i="12"/>
  <c r="DS25" i="12" s="1"/>
  <c r="DD91" i="12"/>
  <c r="DD29" i="12" s="1"/>
  <c r="D16" i="11"/>
  <c r="B17" i="11"/>
  <c r="CL58" i="12"/>
  <c r="CL22" i="12" s="1"/>
  <c r="BZ26" i="12"/>
  <c r="DJ62" i="12"/>
  <c r="BN27" i="12"/>
  <c r="CF28" i="12"/>
  <c r="CN83" i="12"/>
  <c r="DK84" i="12"/>
  <c r="CT85" i="12"/>
  <c r="DF85" i="12" s="1"/>
  <c r="DO90" i="12"/>
  <c r="CF26" i="12"/>
  <c r="CP89" i="12"/>
  <c r="DB89" i="12" s="1"/>
  <c r="DB94" i="12" s="1"/>
  <c r="BY25" i="12"/>
  <c r="BB32" i="12"/>
  <c r="BY94" i="12"/>
  <c r="CM86" i="12"/>
  <c r="CY86" i="12" s="1"/>
  <c r="CS57" i="12"/>
  <c r="DS58" i="12"/>
  <c r="CQ26" i="12"/>
  <c r="BM27" i="12"/>
  <c r="BY63" i="12"/>
  <c r="CN85" i="12"/>
  <c r="CT87" i="12"/>
  <c r="DF87" i="12" s="1"/>
  <c r="DH60" i="12"/>
  <c r="DH24" i="12" s="1"/>
  <c r="DN86" i="12"/>
  <c r="DE90" i="12"/>
  <c r="BW32" i="12"/>
  <c r="CW60" i="12"/>
  <c r="CW24" i="12" s="1"/>
  <c r="DA62" i="12"/>
  <c r="DA26" i="12" s="1"/>
  <c r="BU28" i="12"/>
  <c r="DT64" i="12"/>
  <c r="DT28" i="12" s="1"/>
  <c r="DE58" i="12"/>
  <c r="DE22" i="12" s="1"/>
  <c r="AF10" i="12"/>
  <c r="CZ62" i="12"/>
  <c r="CZ26" i="12" s="1"/>
  <c r="DC62" i="12"/>
  <c r="CL87" i="12"/>
  <c r="DM88" i="12"/>
  <c r="DT86" i="12"/>
  <c r="CZ87" i="12"/>
  <c r="BV68" i="12"/>
  <c r="BV21" i="12"/>
  <c r="CT59" i="12"/>
  <c r="DG63" i="12"/>
  <c r="DG27" i="12" s="1"/>
  <c r="BY22" i="12"/>
  <c r="CJ25" i="12"/>
  <c r="CF94" i="12"/>
  <c r="CG94" i="12"/>
  <c r="DS84" i="12"/>
  <c r="DN91" i="12"/>
  <c r="DN29" i="12" s="1"/>
  <c r="DH58" i="12"/>
  <c r="DH22" i="12" s="1"/>
  <c r="DA90" i="12"/>
  <c r="CQ63" i="12"/>
  <c r="CQ27" i="12" s="1"/>
  <c r="DH87" i="12"/>
  <c r="BT13" i="12"/>
  <c r="BH13" i="12"/>
  <c r="BJ13" i="12"/>
  <c r="BX13" i="12"/>
  <c r="BL13" i="12"/>
  <c r="BG13" i="12"/>
  <c r="BS13" i="12"/>
  <c r="BD50" i="12"/>
  <c r="DA59" i="12"/>
  <c r="DA23" i="12" s="1"/>
  <c r="DA63" i="12"/>
  <c r="CM59" i="12"/>
  <c r="CM23" i="12" s="1"/>
  <c r="CK26" i="12"/>
  <c r="BY57" i="12"/>
  <c r="CM57" i="12"/>
  <c r="CV62" i="12"/>
  <c r="C19" i="4"/>
  <c r="D19" i="4"/>
  <c r="B19" i="4"/>
  <c r="B11" i="4"/>
  <c r="B17" i="4" s="1"/>
  <c r="C17" i="4" s="1"/>
  <c r="D17" i="4" s="1"/>
  <c r="B10" i="4"/>
  <c r="B13" i="4" s="1"/>
  <c r="BO32" i="12" l="1"/>
  <c r="AS14" i="12"/>
  <c r="AS34" i="12" s="1"/>
  <c r="AS38" i="12" s="1"/>
  <c r="AS42" i="12" s="1"/>
  <c r="CW94" i="12"/>
  <c r="DO91" i="12"/>
  <c r="DO29" i="12" s="1"/>
  <c r="DP64" i="12"/>
  <c r="DP28" i="12" s="1"/>
  <c r="DL64" i="12"/>
  <c r="DL28" i="12" s="1"/>
  <c r="BQ32" i="12"/>
  <c r="DI91" i="12"/>
  <c r="DI29" i="12" s="1"/>
  <c r="CP27" i="12"/>
  <c r="CN24" i="12"/>
  <c r="DE24" i="12"/>
  <c r="DP62" i="12"/>
  <c r="DP26" i="12" s="1"/>
  <c r="CW22" i="12"/>
  <c r="DP24" i="12"/>
  <c r="DQ62" i="12"/>
  <c r="DQ26" i="12" s="1"/>
  <c r="BV13" i="12"/>
  <c r="DE64" i="12"/>
  <c r="DE28" i="12" s="1"/>
  <c r="DI61" i="12"/>
  <c r="DI25" i="12" s="1"/>
  <c r="CX63" i="12"/>
  <c r="CX27" i="12" s="1"/>
  <c r="CK28" i="12"/>
  <c r="DK64" i="12"/>
  <c r="DK28" i="12" s="1"/>
  <c r="DA60" i="12"/>
  <c r="DA24" i="12" s="1"/>
  <c r="DD24" i="12"/>
  <c r="DI84" i="12"/>
  <c r="DI94" i="12" s="1"/>
  <c r="DM61" i="12"/>
  <c r="DM25" i="12" s="1"/>
  <c r="B18" i="4"/>
  <c r="C18" i="4" s="1"/>
  <c r="B20" i="4"/>
  <c r="BR32" i="12"/>
  <c r="BW50" i="12"/>
  <c r="BQ78" i="12"/>
  <c r="DO64" i="12"/>
  <c r="DO28" i="12" s="1"/>
  <c r="CZ91" i="12"/>
  <c r="CZ29" i="12" s="1"/>
  <c r="DA27" i="12"/>
  <c r="BV32" i="12"/>
  <c r="CY26" i="12"/>
  <c r="DI26" i="12"/>
  <c r="CT23" i="12"/>
  <c r="BT78" i="12"/>
  <c r="BX50" i="12"/>
  <c r="DA58" i="12"/>
  <c r="DA22" i="12" s="1"/>
  <c r="CF32" i="12"/>
  <c r="DJ26" i="12"/>
  <c r="BP32" i="12"/>
  <c r="AS54" i="12"/>
  <c r="DO58" i="12"/>
  <c r="DO22" i="12" s="1"/>
  <c r="DS28" i="12"/>
  <c r="DJ28" i="12"/>
  <c r="CD28" i="12"/>
  <c r="CP64" i="12"/>
  <c r="CT63" i="12"/>
  <c r="CT27" i="12" s="1"/>
  <c r="CW59" i="12"/>
  <c r="CW23" i="12" s="1"/>
  <c r="CH28" i="12"/>
  <c r="CT64" i="12"/>
  <c r="AK5" i="12"/>
  <c r="AL45" i="12"/>
  <c r="AN45" i="12" s="1"/>
  <c r="DM90" i="12"/>
  <c r="CZ60" i="12"/>
  <c r="CZ24" i="12" s="1"/>
  <c r="DM83" i="12"/>
  <c r="CD24" i="12"/>
  <c r="CP60" i="12"/>
  <c r="CN61" i="12"/>
  <c r="DK63" i="12"/>
  <c r="DK27" i="12" s="1"/>
  <c r="CE32" i="12"/>
  <c r="DF25" i="12"/>
  <c r="CP58" i="12"/>
  <c r="CD22" i="12"/>
  <c r="DF60" i="12"/>
  <c r="DF24" i="12" s="1"/>
  <c r="CH24" i="12"/>
  <c r="L6" i="11"/>
  <c r="CN57" i="12"/>
  <c r="CZ57" i="12" s="1"/>
  <c r="CK94" i="12"/>
  <c r="BX78" i="12"/>
  <c r="BW78" i="12"/>
  <c r="DJ83" i="12"/>
  <c r="CL68" i="12"/>
  <c r="CL21" i="12"/>
  <c r="BY68" i="12"/>
  <c r="BY21" i="12"/>
  <c r="CK57" i="12"/>
  <c r="CW57" i="12" s="1"/>
  <c r="BI50" i="12"/>
  <c r="AF14" i="12"/>
  <c r="AF34" i="12" s="1"/>
  <c r="AF38" i="12" s="1"/>
  <c r="BY27" i="12"/>
  <c r="CK63" i="12"/>
  <c r="DS22" i="12"/>
  <c r="DR87" i="12"/>
  <c r="CS91" i="12"/>
  <c r="DQ90" i="12"/>
  <c r="CT94" i="12"/>
  <c r="DF83" i="12"/>
  <c r="DF94" i="12" s="1"/>
  <c r="CV94" i="12"/>
  <c r="CV21" i="12"/>
  <c r="DN21" i="12"/>
  <c r="DT60" i="12"/>
  <c r="DT24" i="12" s="1"/>
  <c r="BH50" i="12"/>
  <c r="CX57" i="12"/>
  <c r="DJ57" i="12" s="1"/>
  <c r="BD78" i="12"/>
  <c r="BD10" i="12" s="1"/>
  <c r="DH25" i="12"/>
  <c r="DH83" i="12"/>
  <c r="BV50" i="12"/>
  <c r="BV78" i="12"/>
  <c r="CQ24" i="12"/>
  <c r="DC60" i="12"/>
  <c r="DP85" i="12"/>
  <c r="DP23" i="12" s="1"/>
  <c r="CZ27" i="12"/>
  <c r="DL63" i="12"/>
  <c r="DL27" i="12" s="1"/>
  <c r="AU10" i="12"/>
  <c r="DM58" i="12"/>
  <c r="DM22" i="12" s="1"/>
  <c r="BT32" i="12"/>
  <c r="AN54" i="12"/>
  <c r="CJ32" i="12"/>
  <c r="BW13" i="12"/>
  <c r="CC32" i="12"/>
  <c r="DI60" i="12"/>
  <c r="DI24" i="12" s="1"/>
  <c r="BZ25" i="12"/>
  <c r="AK80" i="12"/>
  <c r="AK10" i="12"/>
  <c r="AK14" i="12" s="1"/>
  <c r="AK34" i="12" s="1"/>
  <c r="AK38" i="12" s="1"/>
  <c r="BI78" i="12"/>
  <c r="CR27" i="12"/>
  <c r="CG68" i="12"/>
  <c r="CG21" i="12"/>
  <c r="DR57" i="12"/>
  <c r="DC26" i="12"/>
  <c r="DO62" i="12"/>
  <c r="DO26" i="12" s="1"/>
  <c r="CS68" i="12"/>
  <c r="CS21" i="12"/>
  <c r="DP21" i="12"/>
  <c r="CP94" i="12"/>
  <c r="AV10" i="12"/>
  <c r="BG50" i="12"/>
  <c r="CI29" i="12"/>
  <c r="CI32" i="12" s="1"/>
  <c r="CI94" i="12"/>
  <c r="CU91" i="12"/>
  <c r="CD68" i="12"/>
  <c r="CA32" i="12"/>
  <c r="DQ24" i="12"/>
  <c r="BC78" i="12"/>
  <c r="BC10" i="12" s="1"/>
  <c r="CO28" i="12"/>
  <c r="BE78" i="12"/>
  <c r="BE10" i="12" s="1"/>
  <c r="BB78" i="12"/>
  <c r="BB10" i="12" s="1"/>
  <c r="CO68" i="12"/>
  <c r="CO21" i="12"/>
  <c r="CH23" i="12"/>
  <c r="DQ59" i="12"/>
  <c r="DQ23" i="12" s="1"/>
  <c r="DO59" i="12"/>
  <c r="DO23" i="12" s="1"/>
  <c r="CD27" i="12"/>
  <c r="BH78" i="12"/>
  <c r="DS63" i="12"/>
  <c r="DS27" i="12" s="1"/>
  <c r="DA57" i="12"/>
  <c r="DM57" i="12" s="1"/>
  <c r="CR32" i="12"/>
  <c r="AZ45" i="12"/>
  <c r="AZ6" i="12"/>
  <c r="AZ5" i="12" s="1"/>
  <c r="DT83" i="12"/>
  <c r="CX87" i="12"/>
  <c r="DJ87" i="12" s="1"/>
  <c r="AZ80" i="12"/>
  <c r="DB59" i="12"/>
  <c r="DB23" i="12" s="1"/>
  <c r="CY28" i="12"/>
  <c r="DJ59" i="12"/>
  <c r="BM13" i="12"/>
  <c r="DF59" i="12"/>
  <c r="DF23" i="12" s="1"/>
  <c r="M7" i="11"/>
  <c r="N7" i="11" s="1"/>
  <c r="K7" i="11"/>
  <c r="L7" i="11" s="1"/>
  <c r="AQ54" i="12"/>
  <c r="CU68" i="12"/>
  <c r="CU21" i="12"/>
  <c r="DG57" i="12"/>
  <c r="CD23" i="12"/>
  <c r="AZ10" i="12"/>
  <c r="CO94" i="12"/>
  <c r="L16" i="11"/>
  <c r="N16" i="11"/>
  <c r="DA64" i="12"/>
  <c r="BU32" i="12"/>
  <c r="DK62" i="12"/>
  <c r="DK26" i="12" s="1"/>
  <c r="CH68" i="12"/>
  <c r="DK22" i="12"/>
  <c r="CV26" i="12"/>
  <c r="DH62" i="12"/>
  <c r="DH26" i="12" s="1"/>
  <c r="B23" i="11"/>
  <c r="D17" i="11"/>
  <c r="D23" i="11" s="1"/>
  <c r="CY57" i="12"/>
  <c r="DK57" i="12" s="1"/>
  <c r="DP91" i="12"/>
  <c r="DP29" i="12" s="1"/>
  <c r="DO94" i="12"/>
  <c r="DL62" i="12"/>
  <c r="DL26" i="12" s="1"/>
  <c r="DT62" i="12"/>
  <c r="DT26" i="12" s="1"/>
  <c r="CM24" i="12"/>
  <c r="CY60" i="12"/>
  <c r="CH27" i="12"/>
  <c r="DM63" i="12"/>
  <c r="DM27" i="12" s="1"/>
  <c r="DC63" i="12"/>
  <c r="DC27" i="12" s="1"/>
  <c r="CV68" i="12"/>
  <c r="BZ68" i="12"/>
  <c r="BZ21" i="12"/>
  <c r="AW10" i="12"/>
  <c r="DL87" i="12"/>
  <c r="CT25" i="12"/>
  <c r="DQ58" i="12"/>
  <c r="DQ22" i="12" s="1"/>
  <c r="BG78" i="12"/>
  <c r="DT58" i="12"/>
  <c r="DK86" i="12"/>
  <c r="DR85" i="12"/>
  <c r="DR61" i="12"/>
  <c r="DR25" i="12" s="1"/>
  <c r="CH25" i="12"/>
  <c r="DD89" i="12"/>
  <c r="DD27" i="12" s="1"/>
  <c r="DQ63" i="12"/>
  <c r="DQ27" i="12" s="1"/>
  <c r="DT87" i="12"/>
  <c r="DT25" i="12" s="1"/>
  <c r="AY8" i="12"/>
  <c r="CX61" i="12"/>
  <c r="CX25" i="12" s="1"/>
  <c r="DL60" i="12"/>
  <c r="DL24" i="12" s="1"/>
  <c r="CB24" i="12"/>
  <c r="CL94" i="12"/>
  <c r="CY59" i="12"/>
  <c r="CY23" i="12" s="1"/>
  <c r="AQ14" i="12"/>
  <c r="AQ34" i="12" s="1"/>
  <c r="AQ38" i="12" s="1"/>
  <c r="AQ42" i="12" s="1"/>
  <c r="DN89" i="12"/>
  <c r="DN94" i="12" s="1"/>
  <c r="DJ63" i="12"/>
  <c r="DJ27" i="12" s="1"/>
  <c r="AX10" i="12"/>
  <c r="DE57" i="12"/>
  <c r="CT21" i="12"/>
  <c r="CX85" i="12"/>
  <c r="DJ85" i="12" s="1"/>
  <c r="DO63" i="12"/>
  <c r="DO27" i="12" s="1"/>
  <c r="CM68" i="12"/>
  <c r="CM21" i="12"/>
  <c r="AI78" i="12"/>
  <c r="CZ85" i="12"/>
  <c r="CZ23" i="12" s="1"/>
  <c r="CN23" i="12"/>
  <c r="CN94" i="12"/>
  <c r="CZ83" i="12"/>
  <c r="CG29" i="12"/>
  <c r="CX29" i="12"/>
  <c r="DJ91" i="12"/>
  <c r="DJ29" i="12" s="1"/>
  <c r="CX12" i="12"/>
  <c r="CB22" i="12"/>
  <c r="CB32" i="12" s="1"/>
  <c r="CB68" i="12"/>
  <c r="DD21" i="12"/>
  <c r="DD68" i="12"/>
  <c r="DK12" i="12"/>
  <c r="CQ22" i="12"/>
  <c r="CQ68" i="12"/>
  <c r="CO29" i="12"/>
  <c r="DA91" i="12"/>
  <c r="DA29" i="12" s="1"/>
  <c r="CD25" i="12"/>
  <c r="CP61" i="12"/>
  <c r="CP25" i="12" s="1"/>
  <c r="DM60" i="12"/>
  <c r="DM24" i="12" s="1"/>
  <c r="CK12" i="12"/>
  <c r="BN32" i="12"/>
  <c r="BM32" i="12"/>
  <c r="BY23" i="12"/>
  <c r="AZ8" i="12"/>
  <c r="DR91" i="12"/>
  <c r="DR29" i="12" s="1"/>
  <c r="CX58" i="12"/>
  <c r="CX22" i="12" s="1"/>
  <c r="CL25" i="12"/>
  <c r="BA10" i="12"/>
  <c r="DL91" i="12"/>
  <c r="DL29" i="12" s="1"/>
  <c r="CM29" i="12"/>
  <c r="CY91" i="12"/>
  <c r="CY29" i="12" s="1"/>
  <c r="J23" i="11"/>
  <c r="DC94" i="12"/>
  <c r="AL54" i="12"/>
  <c r="AU11" i="12"/>
  <c r="AY50" i="12"/>
  <c r="AY10" i="12" s="1"/>
  <c r="DM62" i="12"/>
  <c r="DM26" i="12" s="1"/>
  <c r="BF78" i="12"/>
  <c r="BF10" i="12" s="1"/>
  <c r="CM94" i="12"/>
  <c r="DM59" i="12"/>
  <c r="DM23" i="12" s="1"/>
  <c r="AV12" i="12"/>
  <c r="DH27" i="12"/>
  <c r="DT63" i="12"/>
  <c r="DT27" i="12" s="1"/>
  <c r="DJ58" i="12"/>
  <c r="DJ22" i="12" s="1"/>
  <c r="DB63" i="12"/>
  <c r="DB27" i="12" s="1"/>
  <c r="AJ78" i="12"/>
  <c r="DP58" i="12"/>
  <c r="DP22" i="12" s="1"/>
  <c r="DB21" i="12"/>
  <c r="CN58" i="12"/>
  <c r="N13" i="4"/>
  <c r="O13" i="4"/>
  <c r="M13" i="4"/>
  <c r="L13" i="4"/>
  <c r="BZ32" i="12" l="1"/>
  <c r="DD94" i="12"/>
  <c r="CT68" i="12"/>
  <c r="DQ64" i="12"/>
  <c r="DQ28" i="12" s="1"/>
  <c r="DI22" i="12"/>
  <c r="DP89" i="12"/>
  <c r="CQ32" i="12"/>
  <c r="CH32" i="12"/>
  <c r="C20" i="4"/>
  <c r="D18" i="4"/>
  <c r="BT50" i="12"/>
  <c r="BT10" i="12" s="1"/>
  <c r="BQ50" i="12"/>
  <c r="BQ10" i="12" s="1"/>
  <c r="CG78" i="12"/>
  <c r="CN21" i="12"/>
  <c r="BV10" i="12"/>
  <c r="CK78" i="12"/>
  <c r="DI59" i="12"/>
  <c r="DI23" i="12" s="1"/>
  <c r="CD32" i="12"/>
  <c r="DR83" i="12"/>
  <c r="DR94" i="12" s="1"/>
  <c r="DN59" i="12"/>
  <c r="DN23" i="12" s="1"/>
  <c r="CI78" i="12"/>
  <c r="DL57" i="12"/>
  <c r="DR60" i="12"/>
  <c r="DR24" i="12" s="1"/>
  <c r="CC78" i="12"/>
  <c r="BX10" i="12"/>
  <c r="K5" i="11"/>
  <c r="L5" i="11" s="1"/>
  <c r="M5" i="11"/>
  <c r="N5" i="11" s="1"/>
  <c r="CT28" i="12"/>
  <c r="CT32" i="12" s="1"/>
  <c r="DF64" i="12"/>
  <c r="CP28" i="12"/>
  <c r="DB64" i="12"/>
  <c r="DB28" i="12" s="1"/>
  <c r="CZ61" i="12"/>
  <c r="CZ25" i="12" s="1"/>
  <c r="CJ78" i="12"/>
  <c r="CP22" i="12"/>
  <c r="DB58" i="12"/>
  <c r="CN25" i="12"/>
  <c r="CP24" i="12"/>
  <c r="DB60" i="12"/>
  <c r="DF63" i="12"/>
  <c r="DF68" i="12" s="1"/>
  <c r="CV78" i="12"/>
  <c r="CT78" i="12"/>
  <c r="DK21" i="12"/>
  <c r="CN22" i="12"/>
  <c r="CN68" i="12"/>
  <c r="BS50" i="12"/>
  <c r="BS78" i="12"/>
  <c r="BM73" i="12"/>
  <c r="BA73" i="12"/>
  <c r="BA80" i="12" s="1"/>
  <c r="BJ50" i="12"/>
  <c r="BJ10" i="12" s="1"/>
  <c r="AL78" i="12"/>
  <c r="AI80" i="12"/>
  <c r="AI10" i="12"/>
  <c r="DK59" i="12"/>
  <c r="DK23" i="12" s="1"/>
  <c r="DM21" i="12"/>
  <c r="BM78" i="12"/>
  <c r="BM50" i="12"/>
  <c r="DN63" i="12"/>
  <c r="DN27" i="12" s="1"/>
  <c r="DR59" i="12"/>
  <c r="DR23" i="12" s="1"/>
  <c r="DH68" i="12"/>
  <c r="BG10" i="12"/>
  <c r="AZ17" i="12"/>
  <c r="AZ9" i="12"/>
  <c r="AY7" i="12"/>
  <c r="AY45" i="12"/>
  <c r="AU54" i="12"/>
  <c r="BL50" i="12"/>
  <c r="BL10" i="12" s="1"/>
  <c r="CS29" i="12"/>
  <c r="CS94" i="12"/>
  <c r="DF21" i="12"/>
  <c r="AJ80" i="12"/>
  <c r="AJ10" i="12"/>
  <c r="AJ14" i="12" s="1"/>
  <c r="AJ34" i="12" s="1"/>
  <c r="AJ38" i="12" s="1"/>
  <c r="AW12" i="12"/>
  <c r="BU78" i="12"/>
  <c r="BU50" i="12"/>
  <c r="BN50" i="12"/>
  <c r="BN78" i="12"/>
  <c r="CZ94" i="12"/>
  <c r="CZ21" i="12"/>
  <c r="DE68" i="12"/>
  <c r="DE21" i="12"/>
  <c r="DJ21" i="12"/>
  <c r="DG68" i="12"/>
  <c r="DG21" i="12"/>
  <c r="DS57" i="12"/>
  <c r="DJ23" i="12"/>
  <c r="CX23" i="12"/>
  <c r="CO32" i="12"/>
  <c r="CU29" i="12"/>
  <c r="CU32" i="12" s="1"/>
  <c r="CU94" i="12"/>
  <c r="DP68" i="12"/>
  <c r="CG32" i="12"/>
  <c r="BO50" i="12"/>
  <c r="BO78" i="12"/>
  <c r="AU14" i="12"/>
  <c r="AU34" i="12" s="1"/>
  <c r="AU38" i="12" s="1"/>
  <c r="AU42" i="12" s="1"/>
  <c r="BR50" i="12"/>
  <c r="BR78" i="12"/>
  <c r="BK50" i="12"/>
  <c r="BK10" i="12" s="1"/>
  <c r="CX68" i="12"/>
  <c r="CX21" i="12"/>
  <c r="CK68" i="12"/>
  <c r="CK21" i="12"/>
  <c r="CL32" i="12"/>
  <c r="DB61" i="12"/>
  <c r="DN61" i="12" s="1"/>
  <c r="DN25" i="12" s="1"/>
  <c r="CZ58" i="12"/>
  <c r="DL58" i="12" s="1"/>
  <c r="BW10" i="12"/>
  <c r="DM91" i="12"/>
  <c r="CN32" i="12"/>
  <c r="CM32" i="12"/>
  <c r="CY94" i="12"/>
  <c r="DA94" i="12"/>
  <c r="DT22" i="12"/>
  <c r="DT68" i="12"/>
  <c r="AY9" i="12"/>
  <c r="DC68" i="12"/>
  <c r="CY68" i="12"/>
  <c r="CY21" i="12"/>
  <c r="CP68" i="12"/>
  <c r="DA28" i="12"/>
  <c r="DM64" i="12"/>
  <c r="DM28" i="12" s="1"/>
  <c r="DA68" i="12"/>
  <c r="DA21" i="12"/>
  <c r="DQ57" i="12"/>
  <c r="CV32" i="12"/>
  <c r="CK27" i="12"/>
  <c r="CW63" i="12"/>
  <c r="CW27" i="12" s="1"/>
  <c r="BI10" i="12"/>
  <c r="BY32" i="12"/>
  <c r="DJ94" i="12"/>
  <c r="DE91" i="12"/>
  <c r="CC13" i="12"/>
  <c r="DD32" i="12"/>
  <c r="CY24" i="12"/>
  <c r="DK60" i="12"/>
  <c r="DK24" i="12" s="1"/>
  <c r="DT94" i="12"/>
  <c r="DT21" i="12"/>
  <c r="DT32" i="12" s="1"/>
  <c r="AT11" i="12"/>
  <c r="AT54" i="12"/>
  <c r="BP50" i="12"/>
  <c r="BP78" i="12"/>
  <c r="CS32" i="12"/>
  <c r="DJ61" i="12"/>
  <c r="DJ25" i="12" s="1"/>
  <c r="DC24" i="12"/>
  <c r="DC32" i="12" s="1"/>
  <c r="DO60" i="12"/>
  <c r="DO24" i="12" s="1"/>
  <c r="DO32" i="12" s="1"/>
  <c r="CW21" i="12"/>
  <c r="DH94" i="12"/>
  <c r="DH21" i="12"/>
  <c r="DH32" i="12" s="1"/>
  <c r="BH10" i="12"/>
  <c r="AY73" i="12"/>
  <c r="AY80" i="12" s="1"/>
  <c r="AY6" i="12"/>
  <c r="DI57" i="12"/>
  <c r="DL83" i="12"/>
  <c r="CX94" i="12"/>
  <c r="DK91" i="12"/>
  <c r="DK29" i="12" s="1"/>
  <c r="DL85" i="12"/>
  <c r="DL23" i="12" s="1"/>
  <c r="DG91" i="12"/>
  <c r="CW32" i="12" l="1"/>
  <c r="CI13" i="12"/>
  <c r="CF13" i="12"/>
  <c r="DP94" i="12"/>
  <c r="DP27" i="12"/>
  <c r="DP32" i="12" s="1"/>
  <c r="CW68" i="12"/>
  <c r="CX32" i="12"/>
  <c r="CW78" i="12"/>
  <c r="CH13" i="12"/>
  <c r="DN64" i="12"/>
  <c r="DN28" i="12" s="1"/>
  <c r="CE13" i="12"/>
  <c r="DR21" i="12"/>
  <c r="BU10" i="12"/>
  <c r="BS10" i="12"/>
  <c r="CP32" i="12"/>
  <c r="CP78" i="12"/>
  <c r="CA13" i="12"/>
  <c r="CG13" i="12"/>
  <c r="DI78" i="12"/>
  <c r="DJ78" i="12"/>
  <c r="DC78" i="12"/>
  <c r="M4" i="11"/>
  <c r="N4" i="11" s="1"/>
  <c r="K4" i="11"/>
  <c r="L4" i="11" s="1"/>
  <c r="DB22" i="12"/>
  <c r="DN58" i="12"/>
  <c r="DN22" i="12" s="1"/>
  <c r="DO68" i="12"/>
  <c r="DB24" i="12"/>
  <c r="DN60" i="12"/>
  <c r="DN24" i="12" s="1"/>
  <c r="DL61" i="12"/>
  <c r="DL25" i="12" s="1"/>
  <c r="DF27" i="12"/>
  <c r="DR63" i="12"/>
  <c r="DF28" i="12"/>
  <c r="DR64" i="12"/>
  <c r="DR28" i="12" s="1"/>
  <c r="AY5" i="12"/>
  <c r="DL94" i="12"/>
  <c r="DL21" i="12"/>
  <c r="BP10" i="12"/>
  <c r="BP8" i="12"/>
  <c r="BD8" i="12"/>
  <c r="DA32" i="12"/>
  <c r="CY32" i="12"/>
  <c r="BP6" i="12"/>
  <c r="BP45" i="12"/>
  <c r="BU8" i="12"/>
  <c r="BI8" i="12"/>
  <c r="BY13" i="12"/>
  <c r="BR10" i="12"/>
  <c r="BQ6" i="12"/>
  <c r="DS68" i="12"/>
  <c r="DS21" i="12"/>
  <c r="DJ32" i="12"/>
  <c r="CN78" i="12"/>
  <c r="CA78" i="12"/>
  <c r="BN73" i="12"/>
  <c r="BN80" i="12" s="1"/>
  <c r="BB73" i="12"/>
  <c r="BB80" i="12" s="1"/>
  <c r="BX8" i="12"/>
  <c r="BL8" i="12"/>
  <c r="BO8" i="12"/>
  <c r="BC8" i="12"/>
  <c r="BH6" i="12"/>
  <c r="CM78" i="12"/>
  <c r="BZ78" i="12"/>
  <c r="CR78" i="12"/>
  <c r="CE78" i="12"/>
  <c r="BS6" i="12"/>
  <c r="AI14" i="12"/>
  <c r="AI34" i="12" s="1"/>
  <c r="AI38" i="12" s="1"/>
  <c r="BT8" i="12"/>
  <c r="BH8" i="12"/>
  <c r="BW8" i="12"/>
  <c r="BK8" i="12"/>
  <c r="BZ13" i="12"/>
  <c r="CJ13" i="12"/>
  <c r="CO78" i="12"/>
  <c r="CB78" i="12"/>
  <c r="CQ78" i="12"/>
  <c r="CD78" i="12"/>
  <c r="BU45" i="12"/>
  <c r="BI45" i="12"/>
  <c r="BY78" i="12"/>
  <c r="CL78" i="12"/>
  <c r="AV11" i="12"/>
  <c r="AV14" i="12" s="1"/>
  <c r="AV34" i="12" s="1"/>
  <c r="AV38" i="12" s="1"/>
  <c r="AV42" i="12" s="1"/>
  <c r="AV54" i="12"/>
  <c r="BD45" i="12"/>
  <c r="BD6" i="12"/>
  <c r="BK6" i="12"/>
  <c r="DL22" i="12"/>
  <c r="BJ6" i="12"/>
  <c r="DJ68" i="12"/>
  <c r="CP50" i="12"/>
  <c r="CD50" i="12"/>
  <c r="BF45" i="12"/>
  <c r="BI6" i="12"/>
  <c r="AX12" i="12"/>
  <c r="CS78" i="12"/>
  <c r="CF78" i="12"/>
  <c r="BT6" i="12"/>
  <c r="BB6" i="12"/>
  <c r="CU78" i="12"/>
  <c r="CH78" i="12"/>
  <c r="BM7" i="12"/>
  <c r="BA7" i="12"/>
  <c r="BT45" i="12"/>
  <c r="BH45" i="12"/>
  <c r="BM80" i="12"/>
  <c r="DK94" i="12"/>
  <c r="DG29" i="12"/>
  <c r="DG32" i="12" s="1"/>
  <c r="DG94" i="12"/>
  <c r="DI21" i="12"/>
  <c r="BL6" i="12"/>
  <c r="DS91" i="12"/>
  <c r="AT14" i="12"/>
  <c r="AT34" i="12" s="1"/>
  <c r="AT38" i="12" s="1"/>
  <c r="AT42" i="12" s="1"/>
  <c r="CM50" i="12"/>
  <c r="CA50" i="12"/>
  <c r="BW6" i="12"/>
  <c r="BX45" i="12"/>
  <c r="BC6" i="12"/>
  <c r="BV6" i="12"/>
  <c r="CL50" i="12"/>
  <c r="BZ50" i="12"/>
  <c r="BV8" i="12"/>
  <c r="BJ8" i="12"/>
  <c r="DB25" i="12"/>
  <c r="DB32" i="12" s="1"/>
  <c r="DB68" i="12"/>
  <c r="BO10" i="12"/>
  <c r="BF6" i="12"/>
  <c r="BN10" i="12"/>
  <c r="BU6" i="12"/>
  <c r="BA6" i="12"/>
  <c r="BN8" i="12"/>
  <c r="BB8" i="12"/>
  <c r="BQ8" i="12"/>
  <c r="BE8" i="12"/>
  <c r="CD13" i="12"/>
  <c r="BN6" i="12"/>
  <c r="BM10" i="12"/>
  <c r="DM68" i="12"/>
  <c r="AN78" i="12"/>
  <c r="AN80" i="12" s="1"/>
  <c r="AL80" i="12"/>
  <c r="CB13" i="12"/>
  <c r="DK32" i="12"/>
  <c r="BX6" i="12"/>
  <c r="AY17" i="12"/>
  <c r="BO45" i="12"/>
  <c r="BR8" i="12"/>
  <c r="BF8" i="12"/>
  <c r="BS8" i="12"/>
  <c r="BG8" i="12"/>
  <c r="DE29" i="12"/>
  <c r="DE32" i="12" s="1"/>
  <c r="DE94" i="12"/>
  <c r="DQ91" i="12"/>
  <c r="DQ68" i="12"/>
  <c r="DQ21" i="12"/>
  <c r="BO6" i="12"/>
  <c r="BA8" i="12"/>
  <c r="BM8" i="12"/>
  <c r="DM29" i="12"/>
  <c r="DM32" i="12" s="1"/>
  <c r="DM94" i="12"/>
  <c r="CZ22" i="12"/>
  <c r="CZ32" i="12" s="1"/>
  <c r="CZ68" i="12"/>
  <c r="CK32" i="12"/>
  <c r="BE45" i="12"/>
  <c r="BE6" i="12"/>
  <c r="BR45" i="12"/>
  <c r="BR6" i="12"/>
  <c r="BN7" i="12"/>
  <c r="BB7" i="12"/>
  <c r="CK50" i="12"/>
  <c r="CK10" i="12" s="1"/>
  <c r="BY50" i="12"/>
  <c r="BM6" i="12"/>
  <c r="BM5" i="12" s="1"/>
  <c r="CO50" i="12"/>
  <c r="CC50" i="12"/>
  <c r="CC10" i="12" s="1"/>
  <c r="CN50" i="12"/>
  <c r="CB50" i="12"/>
  <c r="BG6" i="12"/>
  <c r="BG45" i="12"/>
  <c r="BS45" i="12"/>
  <c r="DK68" i="12"/>
  <c r="DI63" i="12"/>
  <c r="DI27" i="12" s="1"/>
  <c r="AW11" i="12"/>
  <c r="AW14" i="12" s="1"/>
  <c r="AW34" i="12" s="1"/>
  <c r="AW38" i="12" s="1"/>
  <c r="AW42" i="12" s="1"/>
  <c r="AW54" i="12"/>
  <c r="AF48" i="4"/>
  <c r="B43" i="4"/>
  <c r="C43" i="4"/>
  <c r="F43" i="4"/>
  <c r="D43" i="4"/>
  <c r="CB10" i="12" l="1"/>
  <c r="CW10" i="12"/>
  <c r="CA10" i="12"/>
  <c r="CO10" i="12"/>
  <c r="BY10" i="12"/>
  <c r="DL68" i="12"/>
  <c r="DN68" i="12"/>
  <c r="DF32" i="12"/>
  <c r="CN10" i="12"/>
  <c r="CM10" i="12"/>
  <c r="CP10" i="12"/>
  <c r="BM45" i="12"/>
  <c r="CD10" i="12"/>
  <c r="BZ10" i="12"/>
  <c r="CL10" i="12"/>
  <c r="DN32" i="12"/>
  <c r="BA45" i="12"/>
  <c r="DR27" i="12"/>
  <c r="DR32" i="12" s="1"/>
  <c r="DR68" i="12"/>
  <c r="CK13" i="12"/>
  <c r="BN5" i="12"/>
  <c r="CY78" i="12"/>
  <c r="CQ50" i="12"/>
  <c r="CQ10" i="12" s="1"/>
  <c r="CE50" i="12"/>
  <c r="CE10" i="12" s="1"/>
  <c r="BK9" i="12"/>
  <c r="BW9" i="12"/>
  <c r="DS29" i="12"/>
  <c r="DS32" i="12" s="1"/>
  <c r="DS94" i="12"/>
  <c r="DI32" i="12"/>
  <c r="BU9" i="12"/>
  <c r="BI9" i="12"/>
  <c r="DD78" i="12"/>
  <c r="DG78" i="12"/>
  <c r="BP9" i="12"/>
  <c r="BD9" i="12"/>
  <c r="DQ78" i="12"/>
  <c r="DH78" i="12"/>
  <c r="DM78" i="12"/>
  <c r="DS78" i="12"/>
  <c r="BN45" i="12"/>
  <c r="CX78" i="12"/>
  <c r="CV13" i="12"/>
  <c r="BV45" i="12"/>
  <c r="DI68" i="12"/>
  <c r="BB5" i="12"/>
  <c r="BC73" i="12"/>
  <c r="BC80" i="12" s="1"/>
  <c r="BO73" i="12"/>
  <c r="BO80" i="12" s="1"/>
  <c r="CU50" i="12"/>
  <c r="CU10" i="12" s="1"/>
  <c r="CI50" i="12"/>
  <c r="CI10" i="12" s="1"/>
  <c r="BJ45" i="12"/>
  <c r="BV9" i="12"/>
  <c r="BJ9" i="12"/>
  <c r="BQ45" i="12"/>
  <c r="DC10" i="12"/>
  <c r="CR50" i="12"/>
  <c r="CR10" i="12" s="1"/>
  <c r="CF50" i="12"/>
  <c r="CF10" i="12" s="1"/>
  <c r="CZ78" i="12"/>
  <c r="BN9" i="12"/>
  <c r="BB9" i="12"/>
  <c r="DL32" i="12"/>
  <c r="BB17" i="12"/>
  <c r="DN78" i="12"/>
  <c r="DT78" i="12"/>
  <c r="DQ29" i="12"/>
  <c r="DQ32" i="12" s="1"/>
  <c r="DQ94" i="12"/>
  <c r="BA17" i="12"/>
  <c r="BM9" i="12"/>
  <c r="BA9" i="12"/>
  <c r="BG9" i="12"/>
  <c r="BS9" i="12"/>
  <c r="CT50" i="12"/>
  <c r="CT10" i="12" s="1"/>
  <c r="CH50" i="12"/>
  <c r="CH10" i="12" s="1"/>
  <c r="CQ13" i="12"/>
  <c r="CO13" i="12"/>
  <c r="DP78" i="12"/>
  <c r="DA78" i="12"/>
  <c r="DA10" i="12" s="1"/>
  <c r="BB45" i="12"/>
  <c r="DO78" i="12"/>
  <c r="BK45" i="12"/>
  <c r="DF78" i="12"/>
  <c r="BX9" i="12"/>
  <c r="BL9" i="12"/>
  <c r="K9" i="11"/>
  <c r="M9" i="11"/>
  <c r="N9" i="11" s="1"/>
  <c r="BT9" i="12"/>
  <c r="BH9" i="12"/>
  <c r="DB78" i="12"/>
  <c r="BC7" i="12"/>
  <c r="BC5" i="12" s="1"/>
  <c r="BO9" i="12"/>
  <c r="BC9" i="12"/>
  <c r="AX11" i="12"/>
  <c r="AX14" i="12" s="1"/>
  <c r="AX34" i="12" s="1"/>
  <c r="AX38" i="12" s="1"/>
  <c r="AX42" i="12" s="1"/>
  <c r="AX54" i="12"/>
  <c r="BA5" i="12"/>
  <c r="CR13" i="12"/>
  <c r="BC45" i="12"/>
  <c r="BW45" i="12"/>
  <c r="DR78" i="12"/>
  <c r="BL45" i="12"/>
  <c r="BR9" i="12"/>
  <c r="BF9" i="12"/>
  <c r="CV50" i="12"/>
  <c r="CV10" i="12" s="1"/>
  <c r="CJ50" i="12"/>
  <c r="CJ10" i="12" s="1"/>
  <c r="CG50" i="12"/>
  <c r="CG10" i="12" s="1"/>
  <c r="CS50" i="12"/>
  <c r="CS10" i="12" s="1"/>
  <c r="BQ9" i="12"/>
  <c r="BE9" i="12"/>
  <c r="DE78" i="12"/>
  <c r="E43" i="4"/>
  <c r="CZ10" i="12" l="1"/>
  <c r="CL13" i="12"/>
  <c r="CS13" i="12"/>
  <c r="DD10" i="12"/>
  <c r="CX10" i="12"/>
  <c r="DB10" i="12"/>
  <c r="CY10" i="12"/>
  <c r="CP13" i="12"/>
  <c r="BO7" i="12"/>
  <c r="BO5" i="12" s="1"/>
  <c r="CA45" i="12"/>
  <c r="CA6" i="12"/>
  <c r="CJ8" i="12"/>
  <c r="M12" i="11"/>
  <c r="N12" i="11" s="1"/>
  <c r="M23" i="11"/>
  <c r="CD8" i="12"/>
  <c r="CU13" i="12"/>
  <c r="DF10" i="12"/>
  <c r="BZ45" i="12"/>
  <c r="CA8" i="12"/>
  <c r="BZ6" i="12"/>
  <c r="CF6" i="12"/>
  <c r="CG6" i="12"/>
  <c r="DL78" i="12"/>
  <c r="CI8" i="12"/>
  <c r="CD6" i="12"/>
  <c r="CE8" i="12"/>
  <c r="CJ6" i="12"/>
  <c r="BC17" i="12"/>
  <c r="DH10" i="12"/>
  <c r="CC45" i="12"/>
  <c r="CC6" i="12"/>
  <c r="CT13" i="12"/>
  <c r="CN13" i="12"/>
  <c r="DG10" i="12"/>
  <c r="CI6" i="12"/>
  <c r="CG8" i="12"/>
  <c r="BY6" i="12"/>
  <c r="CH45" i="12"/>
  <c r="DO10" i="12"/>
  <c r="CF8" i="12"/>
  <c r="L9" i="11"/>
  <c r="L12" i="11" s="1"/>
  <c r="K12" i="11"/>
  <c r="K17" i="11" s="1"/>
  <c r="CB45" i="12"/>
  <c r="CB6" i="12"/>
  <c r="CE6" i="12"/>
  <c r="BZ8" i="12"/>
  <c r="CH6" i="12"/>
  <c r="CE45" i="12"/>
  <c r="AY11" i="12"/>
  <c r="AY14" i="12" s="1"/>
  <c r="AY34" i="12" s="1"/>
  <c r="AY38" i="12" s="1"/>
  <c r="AY54" i="12"/>
  <c r="CB8" i="12"/>
  <c r="DE10" i="12"/>
  <c r="CH8" i="12"/>
  <c r="BY8" i="12"/>
  <c r="CC8" i="12"/>
  <c r="DK78" i="12"/>
  <c r="CM13" i="12"/>
  <c r="BY45" i="12"/>
  <c r="DP10" i="12" l="1"/>
  <c r="DS10" i="12"/>
  <c r="DQ10" i="12"/>
  <c r="CD9" i="12"/>
  <c r="BD17" i="12"/>
  <c r="CG9" i="12"/>
  <c r="CW13" i="12"/>
  <c r="CE9" i="12"/>
  <c r="CJ45" i="12"/>
  <c r="J48" i="11"/>
  <c r="J50" i="11" s="1"/>
  <c r="M17" i="11"/>
  <c r="N17" i="11" s="1"/>
  <c r="DK10" i="12"/>
  <c r="BD73" i="12"/>
  <c r="BD80" i="12" s="1"/>
  <c r="BD7" i="12"/>
  <c r="CH9" i="12"/>
  <c r="CG45" i="12"/>
  <c r="N25" i="11"/>
  <c r="N23" i="11"/>
  <c r="DI10" i="12"/>
  <c r="DL10" i="12"/>
  <c r="CB9" i="12"/>
  <c r="DT10" i="12"/>
  <c r="BP73" i="12"/>
  <c r="BP80" i="12" s="1"/>
  <c r="BP7" i="12"/>
  <c r="BP5" i="12" s="1"/>
  <c r="BZ9" i="12"/>
  <c r="K23" i="11"/>
  <c r="L23" i="11" s="1"/>
  <c r="L17" i="11"/>
  <c r="CI45" i="12"/>
  <c r="CA9" i="12"/>
  <c r="CD45" i="12"/>
  <c r="CX13" i="12"/>
  <c r="CF45" i="12"/>
  <c r="CI9" i="12"/>
  <c r="DM10" i="12"/>
  <c r="DJ10" i="12"/>
  <c r="DR10" i="12"/>
  <c r="CC9" i="12"/>
  <c r="BY9" i="12"/>
  <c r="CJ9" i="12"/>
  <c r="AZ11" i="12"/>
  <c r="AZ54" i="12"/>
  <c r="CY13" i="12"/>
  <c r="DB13" i="12"/>
  <c r="DE13" i="12"/>
  <c r="CF9" i="12"/>
  <c r="DN10" i="12"/>
  <c r="B24" i="4"/>
  <c r="B27" i="4" s="1"/>
  <c r="C24" i="4"/>
  <c r="C35" i="4" s="1"/>
  <c r="B25" i="4"/>
  <c r="B36" i="4" s="1"/>
  <c r="C25" i="4"/>
  <c r="C36" i="4" s="1"/>
  <c r="B26" i="4"/>
  <c r="B32" i="4" s="1"/>
  <c r="C26" i="4"/>
  <c r="C32" i="4" s="1"/>
  <c r="C27" i="4"/>
  <c r="B30" i="4"/>
  <c r="C30" i="4"/>
  <c r="B31" i="4"/>
  <c r="C31" i="4"/>
  <c r="C14" i="4"/>
  <c r="D14" i="4" s="1"/>
  <c r="B14" i="4"/>
  <c r="C6" i="4"/>
  <c r="B6" i="4"/>
  <c r="DC13" i="12" l="1"/>
  <c r="DD13" i="12"/>
  <c r="B35" i="4"/>
  <c r="B37" i="4"/>
  <c r="DA13" i="12"/>
  <c r="AZ14" i="12"/>
  <c r="AZ34" i="12" s="1"/>
  <c r="AZ38" i="12" s="1"/>
  <c r="BQ73" i="12"/>
  <c r="BQ80" i="12" s="1"/>
  <c r="BQ7" i="12"/>
  <c r="BQ5" i="12" s="1"/>
  <c r="CT8" i="12"/>
  <c r="CQ6" i="12"/>
  <c r="CR6" i="12"/>
  <c r="CO8" i="12"/>
  <c r="CO6" i="12"/>
  <c r="CM6" i="12"/>
  <c r="CV8" i="12"/>
  <c r="BA11" i="12"/>
  <c r="BA54" i="12"/>
  <c r="BE73" i="12"/>
  <c r="BE80" i="12" s="1"/>
  <c r="BE7" i="12"/>
  <c r="BE5" i="12" s="1"/>
  <c r="CS6" i="12"/>
  <c r="CN8" i="12"/>
  <c r="CL6" i="12"/>
  <c r="CK6" i="12"/>
  <c r="CL8" i="12"/>
  <c r="BM11" i="12"/>
  <c r="BM14" i="12" s="1"/>
  <c r="BM54" i="12"/>
  <c r="DG13" i="12"/>
  <c r="CK45" i="12"/>
  <c r="CK8" i="12"/>
  <c r="CP45" i="12"/>
  <c r="CP8" i="12"/>
  <c r="CU8" i="12"/>
  <c r="CN45" i="12"/>
  <c r="CN6" i="12"/>
  <c r="CT45" i="12"/>
  <c r="CT6" i="12"/>
  <c r="BD5" i="12"/>
  <c r="CP6" i="12"/>
  <c r="CM8" i="12"/>
  <c r="CS8" i="12"/>
  <c r="CR8" i="12"/>
  <c r="CZ13" i="12"/>
  <c r="CQ8" i="12"/>
  <c r="CU45" i="12"/>
  <c r="CU6" i="12"/>
  <c r="DF13" i="12"/>
  <c r="DH13" i="12"/>
  <c r="CV45" i="12"/>
  <c r="CV6" i="12"/>
  <c r="C46" i="4"/>
  <c r="B38" i="4"/>
  <c r="B46" i="4"/>
  <c r="C33" i="4"/>
  <c r="C45" i="4"/>
  <c r="B33" i="4"/>
  <c r="B45" i="4"/>
  <c r="B47" i="4"/>
  <c r="C37" i="4"/>
  <c r="C38" i="4" s="1"/>
  <c r="CV9" i="12" l="1"/>
  <c r="CW45" i="12"/>
  <c r="CP9" i="12"/>
  <c r="BF17" i="12"/>
  <c r="BE17" i="12"/>
  <c r="DR13" i="12"/>
  <c r="CS9" i="12"/>
  <c r="BN11" i="12"/>
  <c r="BN14" i="12" s="1"/>
  <c r="BN54" i="12"/>
  <c r="CW8" i="12"/>
  <c r="CO9" i="12"/>
  <c r="CU9" i="12"/>
  <c r="BF73" i="12"/>
  <c r="BF80" i="12" s="1"/>
  <c r="BF7" i="12"/>
  <c r="CW6" i="12"/>
  <c r="DT13" i="12"/>
  <c r="CL9" i="12"/>
  <c r="DK13" i="12"/>
  <c r="CM9" i="12"/>
  <c r="BA14" i="12"/>
  <c r="BA34" i="12" s="1"/>
  <c r="BA38" i="12" s="1"/>
  <c r="CO45" i="12"/>
  <c r="BR73" i="12"/>
  <c r="BR80" i="12" s="1"/>
  <c r="BR7" i="12"/>
  <c r="BR5" i="12" s="1"/>
  <c r="DS13" i="12"/>
  <c r="CK9" i="12"/>
  <c r="DJ13" i="12"/>
  <c r="CL45" i="12"/>
  <c r="CS45" i="12"/>
  <c r="CR45" i="12"/>
  <c r="CN9" i="12"/>
  <c r="CR9" i="12"/>
  <c r="DN13" i="12"/>
  <c r="CQ9" i="12"/>
  <c r="DI13" i="12"/>
  <c r="CT9" i="12"/>
  <c r="BB11" i="12"/>
  <c r="BB14" i="12" s="1"/>
  <c r="BB34" i="12" s="1"/>
  <c r="BB38" i="12" s="1"/>
  <c r="BB54" i="12"/>
  <c r="CM45" i="12"/>
  <c r="CQ45" i="12"/>
  <c r="B48" i="4"/>
  <c r="B50" i="4" s="1"/>
  <c r="B51" i="4" s="1"/>
  <c r="C47" i="4"/>
  <c r="C48" i="4" s="1"/>
  <c r="DM13" i="12" l="1"/>
  <c r="CV54" i="12"/>
  <c r="CS54" i="12"/>
  <c r="DQ13" i="12"/>
  <c r="CQ54" i="12"/>
  <c r="CU54" i="12"/>
  <c r="CN54" i="12"/>
  <c r="CO54" i="12"/>
  <c r="CM54" i="12"/>
  <c r="CL54" i="12"/>
  <c r="DP13" i="12"/>
  <c r="DI6" i="12"/>
  <c r="DD6" i="12"/>
  <c r="DF8" i="12"/>
  <c r="DG6" i="12"/>
  <c r="DB6" i="12"/>
  <c r="DC45" i="12"/>
  <c r="DB8" i="12"/>
  <c r="BO11" i="12"/>
  <c r="BO14" i="12" s="1"/>
  <c r="BO54" i="12"/>
  <c r="BF5" i="12"/>
  <c r="DE6" i="12"/>
  <c r="BG73" i="12"/>
  <c r="BG80" i="12" s="1"/>
  <c r="BG7" i="12"/>
  <c r="BG5" i="12" s="1"/>
  <c r="CZ45" i="12"/>
  <c r="DH8" i="12"/>
  <c r="CW9" i="12"/>
  <c r="CX45" i="12"/>
  <c r="DE8" i="12"/>
  <c r="CR54" i="12"/>
  <c r="CY6" i="12"/>
  <c r="DC6" i="12"/>
  <c r="CZ6" i="12"/>
  <c r="CX8" i="12"/>
  <c r="DG8" i="12"/>
  <c r="DA6" i="12"/>
  <c r="DO13" i="12"/>
  <c r="DH45" i="12"/>
  <c r="DA8" i="12"/>
  <c r="DF6" i="12"/>
  <c r="DC8" i="12"/>
  <c r="DH6" i="12"/>
  <c r="DB45" i="12"/>
  <c r="DF45" i="12"/>
  <c r="BG17" i="12"/>
  <c r="DE45" i="12"/>
  <c r="CP54" i="12"/>
  <c r="CY45" i="12"/>
  <c r="DD8" i="12"/>
  <c r="CT54" i="12"/>
  <c r="CX6" i="12"/>
  <c r="CY8" i="12"/>
  <c r="CZ8" i="12"/>
  <c r="BC11" i="12"/>
  <c r="BC14" i="12" s="1"/>
  <c r="BC34" i="12" s="1"/>
  <c r="BC38" i="12" s="1"/>
  <c r="BC54" i="12"/>
  <c r="BS73" i="12"/>
  <c r="BS80" i="12" s="1"/>
  <c r="BS7" i="12"/>
  <c r="BS5" i="12" s="1"/>
  <c r="DI8" i="12"/>
  <c r="DL13" i="12"/>
  <c r="CK54" i="12"/>
  <c r="B52" i="4"/>
  <c r="B53" i="4" s="1"/>
  <c r="B54" i="4" s="1"/>
  <c r="C50" i="4"/>
  <c r="CW54" i="12" l="1"/>
  <c r="DF9" i="12"/>
  <c r="CX9" i="12"/>
  <c r="DE9" i="12"/>
  <c r="BH73" i="12"/>
  <c r="BH80" i="12" s="1"/>
  <c r="BH7" i="12"/>
  <c r="BH5" i="12" s="1"/>
  <c r="DH9" i="12"/>
  <c r="DJ45" i="12"/>
  <c r="DJ6" i="12"/>
  <c r="BD11" i="12"/>
  <c r="BD14" i="12" s="1"/>
  <c r="BD34" i="12" s="1"/>
  <c r="BD38" i="12" s="1"/>
  <c r="BD54" i="12"/>
  <c r="DA9" i="12"/>
  <c r="DC9" i="12"/>
  <c r="BT73" i="12"/>
  <c r="BT80" i="12" s="1"/>
  <c r="BT7" i="12"/>
  <c r="BT5" i="12" s="1"/>
  <c r="DI9" i="12"/>
  <c r="DD9" i="12"/>
  <c r="BP11" i="12"/>
  <c r="BP14" i="12" s="1"/>
  <c r="BP34" i="12" s="1"/>
  <c r="BP38" i="12" s="1"/>
  <c r="BP42" i="12" s="1"/>
  <c r="BP54" i="12"/>
  <c r="DG9" i="12"/>
  <c r="CZ9" i="12"/>
  <c r="DA45" i="12"/>
  <c r="DA54" i="12" s="1"/>
  <c r="CY9" i="12"/>
  <c r="DD45" i="12"/>
  <c r="DI45" i="12"/>
  <c r="DJ8" i="12"/>
  <c r="DB9" i="12"/>
  <c r="DC54" i="12"/>
  <c r="BH17" i="12"/>
  <c r="DG45" i="12"/>
  <c r="C51" i="4"/>
  <c r="C52" i="4" s="1"/>
  <c r="C53" i="4" s="1"/>
  <c r="C54" i="4" s="1"/>
  <c r="CX54" i="12" l="1"/>
  <c r="DI54" i="12"/>
  <c r="DG54" i="12"/>
  <c r="DD54" i="12"/>
  <c r="DR45" i="12"/>
  <c r="DO6" i="12"/>
  <c r="BI17" i="12"/>
  <c r="DL45" i="12"/>
  <c r="DR6" i="12"/>
  <c r="DJ9" i="12"/>
  <c r="DM8" i="12"/>
  <c r="DK6" i="12"/>
  <c r="DO45" i="12"/>
  <c r="DB54" i="12"/>
  <c r="DM6" i="12"/>
  <c r="DQ8" i="12"/>
  <c r="DQ6" i="12"/>
  <c r="BI73" i="12"/>
  <c r="BI80" i="12" s="1"/>
  <c r="BI7" i="12"/>
  <c r="BI5" i="12" s="1"/>
  <c r="DK8" i="12"/>
  <c r="DS45" i="12"/>
  <c r="DT8" i="12"/>
  <c r="DN6" i="12"/>
  <c r="DO8" i="12"/>
  <c r="DF54" i="12"/>
  <c r="DP45" i="12"/>
  <c r="DR8" i="12"/>
  <c r="BU73" i="12"/>
  <c r="BU80" i="12" s="1"/>
  <c r="BU7" i="12"/>
  <c r="BU5" i="12" s="1"/>
  <c r="DN45" i="12"/>
  <c r="DL8" i="12"/>
  <c r="CZ54" i="12"/>
  <c r="DT6" i="12"/>
  <c r="BE11" i="12"/>
  <c r="BE54" i="12"/>
  <c r="DP8" i="12"/>
  <c r="DS8" i="12"/>
  <c r="DE54" i="12"/>
  <c r="DL6" i="12"/>
  <c r="DP6" i="12"/>
  <c r="DN8" i="12"/>
  <c r="DS6" i="12"/>
  <c r="DK45" i="12"/>
  <c r="BQ11" i="12"/>
  <c r="BQ14" i="12" s="1"/>
  <c r="BQ34" i="12" s="1"/>
  <c r="BQ38" i="12" s="1"/>
  <c r="BQ42" i="12" s="1"/>
  <c r="BQ54" i="12"/>
  <c r="DH54" i="12"/>
  <c r="CY54" i="12"/>
  <c r="DJ54" i="12" l="1"/>
  <c r="DQ9" i="12"/>
  <c r="BJ17" i="12"/>
  <c r="BR11" i="12"/>
  <c r="BR14" i="12" s="1"/>
  <c r="BR34" i="12" s="1"/>
  <c r="BR38" i="12" s="1"/>
  <c r="BR42" i="12" s="1"/>
  <c r="BR54" i="12"/>
  <c r="BE14" i="12"/>
  <c r="BE34" i="12" s="1"/>
  <c r="BE38" i="12" s="1"/>
  <c r="DS9" i="12"/>
  <c r="BJ73" i="12"/>
  <c r="BJ80" i="12" s="1"/>
  <c r="BJ7" i="12"/>
  <c r="BJ5" i="12" s="1"/>
  <c r="DO9" i="12"/>
  <c r="DR9" i="12"/>
  <c r="DN9" i="12"/>
  <c r="DP9" i="12"/>
  <c r="BV73" i="12"/>
  <c r="BV80" i="12" s="1"/>
  <c r="BV7" i="12"/>
  <c r="BV5" i="12" s="1"/>
  <c r="DT45" i="12"/>
  <c r="DK9" i="12"/>
  <c r="DT9" i="12"/>
  <c r="DQ45" i="12"/>
  <c r="DS54" i="12"/>
  <c r="BF11" i="12"/>
  <c r="BF14" i="12" s="1"/>
  <c r="BF34" i="12" s="1"/>
  <c r="BF38" i="12" s="1"/>
  <c r="BF54" i="12"/>
  <c r="DL9" i="12"/>
  <c r="DM9" i="12"/>
  <c r="DN54" i="12"/>
  <c r="DM45" i="12"/>
  <c r="DQ54" i="12" l="1"/>
  <c r="DP54" i="12"/>
  <c r="DT54" i="12"/>
  <c r="BS11" i="12"/>
  <c r="BS14" i="12" s="1"/>
  <c r="BS34" i="12" s="1"/>
  <c r="BS38" i="12" s="1"/>
  <c r="BS42" i="12" s="1"/>
  <c r="BS54" i="12"/>
  <c r="BG11" i="12"/>
  <c r="BG14" i="12" s="1"/>
  <c r="BG34" i="12" s="1"/>
  <c r="BG38" i="12" s="1"/>
  <c r="BG54" i="12"/>
  <c r="DL54" i="12"/>
  <c r="BK17" i="12"/>
  <c r="DR54" i="12"/>
  <c r="BK73" i="12"/>
  <c r="BK80" i="12" s="1"/>
  <c r="BK7" i="12"/>
  <c r="BK5" i="12" s="1"/>
  <c r="DK54" i="12"/>
  <c r="DM54" i="12"/>
  <c r="BW73" i="12"/>
  <c r="BW80" i="12" s="1"/>
  <c r="BW7" i="12"/>
  <c r="BW5" i="12" s="1"/>
  <c r="DO54" i="12"/>
  <c r="BX73" i="12" l="1"/>
  <c r="BX80" i="12" s="1"/>
  <c r="BX7" i="12"/>
  <c r="BX5" i="12" s="1"/>
  <c r="BH11" i="12"/>
  <c r="BH14" i="12" s="1"/>
  <c r="BH34" i="12" s="1"/>
  <c r="BH38" i="12" s="1"/>
  <c r="BH54" i="12"/>
  <c r="BT11" i="12"/>
  <c r="BT14" i="12" s="1"/>
  <c r="BT34" i="12" s="1"/>
  <c r="BT38" i="12" s="1"/>
  <c r="BT42" i="12" s="1"/>
  <c r="BT54" i="12"/>
  <c r="BL73" i="12"/>
  <c r="BL80" i="12" s="1"/>
  <c r="BL7" i="12"/>
  <c r="BL5" i="12" l="1"/>
  <c r="BI11" i="12"/>
  <c r="BI14" i="12" s="1"/>
  <c r="BI34" i="12" s="1"/>
  <c r="BI38" i="12" s="1"/>
  <c r="BI54" i="12"/>
  <c r="BL17" i="12"/>
  <c r="BU11" i="12"/>
  <c r="BU14" i="12" s="1"/>
  <c r="BU34" i="12" s="1"/>
  <c r="BU38" i="12" s="1"/>
  <c r="BU42" i="12" s="1"/>
  <c r="BU54" i="12"/>
  <c r="CG73" i="12" l="1"/>
  <c r="CG80" i="12" s="1"/>
  <c r="CG7" i="12"/>
  <c r="CG5" i="12" s="1"/>
  <c r="BO17" i="12"/>
  <c r="BO34" i="12" s="1"/>
  <c r="BO38" i="12" s="1"/>
  <c r="BY73" i="12"/>
  <c r="BY80" i="12" s="1"/>
  <c r="BY7" i="12"/>
  <c r="BY5" i="12" s="1"/>
  <c r="CJ73" i="12"/>
  <c r="CJ80" i="12" s="1"/>
  <c r="CJ7" i="12"/>
  <c r="CJ5" i="12" s="1"/>
  <c r="CB73" i="12"/>
  <c r="CB80" i="12" s="1"/>
  <c r="CB7" i="12"/>
  <c r="CB5" i="12" s="1"/>
  <c r="CA73" i="12"/>
  <c r="CA80" i="12" s="1"/>
  <c r="CA7" i="12"/>
  <c r="CA5" i="12" s="1"/>
  <c r="BJ11" i="12"/>
  <c r="BJ14" i="12" s="1"/>
  <c r="BJ34" i="12" s="1"/>
  <c r="BJ38" i="12" s="1"/>
  <c r="BJ54" i="12"/>
  <c r="CD73" i="12"/>
  <c r="CD80" i="12" s="1"/>
  <c r="CD7" i="12"/>
  <c r="CD5" i="12" s="1"/>
  <c r="CF73" i="12"/>
  <c r="CF80" i="12" s="1"/>
  <c r="CF7" i="12"/>
  <c r="CF5" i="12" s="1"/>
  <c r="BV11" i="12"/>
  <c r="BV14" i="12" s="1"/>
  <c r="BV34" i="12" s="1"/>
  <c r="BV38" i="12" s="1"/>
  <c r="BV42" i="12" s="1"/>
  <c r="BV54" i="12"/>
  <c r="BN17" i="12"/>
  <c r="BN34" i="12" s="1"/>
  <c r="BN38" i="12" s="1"/>
  <c r="CC73" i="12"/>
  <c r="CC80" i="12" s="1"/>
  <c r="CC7" i="12"/>
  <c r="CC5" i="12" s="1"/>
  <c r="CI73" i="12"/>
  <c r="CI80" i="12" s="1"/>
  <c r="CI7" i="12"/>
  <c r="CI5" i="12" s="1"/>
  <c r="BM17" i="12"/>
  <c r="BM34" i="12" s="1"/>
  <c r="BM38" i="12" s="1"/>
  <c r="CE73" i="12"/>
  <c r="CE80" i="12" s="1"/>
  <c r="CE7" i="12"/>
  <c r="CE5" i="12" s="1"/>
  <c r="BZ73" i="12"/>
  <c r="BZ80" i="12" s="1"/>
  <c r="BZ7" i="12"/>
  <c r="BZ5" i="12" s="1"/>
  <c r="CH73" i="12"/>
  <c r="CH80" i="12" s="1"/>
  <c r="CH7" i="12"/>
  <c r="CH5" i="12" s="1"/>
  <c r="BW11" i="12" l="1"/>
  <c r="BW14" i="12" s="1"/>
  <c r="BW34" i="12" s="1"/>
  <c r="BW38" i="12" s="1"/>
  <c r="BW42" i="12" s="1"/>
  <c r="BW54" i="12"/>
  <c r="BK11" i="12"/>
  <c r="BK14" i="12" s="1"/>
  <c r="BK34" i="12" s="1"/>
  <c r="BK38" i="12" s="1"/>
  <c r="BK54" i="12"/>
  <c r="CK73" i="12"/>
  <c r="CK80" i="12" s="1"/>
  <c r="CK7" i="12"/>
  <c r="CK5" i="12" s="1"/>
  <c r="CK14" i="12" s="1"/>
  <c r="CK34" i="12" s="1"/>
  <c r="CK38" i="12" s="1"/>
  <c r="CK42" i="12" s="1"/>
  <c r="CW73" i="12" l="1"/>
  <c r="CW80" i="12" s="1"/>
  <c r="CW7" i="12"/>
  <c r="CW5" i="12" s="1"/>
  <c r="CW14" i="12" s="1"/>
  <c r="CW34" i="12" s="1"/>
  <c r="CW38" i="12" s="1"/>
  <c r="CW42" i="12" s="1"/>
  <c r="CT73" i="12"/>
  <c r="CT80" i="12" s="1"/>
  <c r="CT7" i="12"/>
  <c r="CT5" i="12" s="1"/>
  <c r="CT14" i="12" s="1"/>
  <c r="CT34" i="12" s="1"/>
  <c r="CT38" i="12" s="1"/>
  <c r="CT42" i="12" s="1"/>
  <c r="CM73" i="12"/>
  <c r="CM80" i="12" s="1"/>
  <c r="CM7" i="12"/>
  <c r="CM5" i="12" s="1"/>
  <c r="CM14" i="12" s="1"/>
  <c r="CM34" i="12" s="1"/>
  <c r="CM38" i="12" s="1"/>
  <c r="CM42" i="12" s="1"/>
  <c r="CP73" i="12"/>
  <c r="CP80" i="12" s="1"/>
  <c r="CP7" i="12"/>
  <c r="CP5" i="12" s="1"/>
  <c r="CP14" i="12" s="1"/>
  <c r="CP34" i="12" s="1"/>
  <c r="CP38" i="12" s="1"/>
  <c r="CP42" i="12" s="1"/>
  <c r="CR73" i="12"/>
  <c r="CR80" i="12" s="1"/>
  <c r="CR7" i="12"/>
  <c r="CR5" i="12" s="1"/>
  <c r="CR14" i="12" s="1"/>
  <c r="CR34" i="12" s="1"/>
  <c r="CR38" i="12" s="1"/>
  <c r="CR42" i="12" s="1"/>
  <c r="CL73" i="12"/>
  <c r="CL80" i="12" s="1"/>
  <c r="CL7" i="12"/>
  <c r="CL5" i="12" s="1"/>
  <c r="CL14" i="12" s="1"/>
  <c r="CL34" i="12" s="1"/>
  <c r="CL38" i="12" s="1"/>
  <c r="CL42" i="12" s="1"/>
  <c r="CV73" i="12"/>
  <c r="CV80" i="12" s="1"/>
  <c r="CV7" i="12"/>
  <c r="CV5" i="12" s="1"/>
  <c r="CV14" i="12" s="1"/>
  <c r="CV34" i="12" s="1"/>
  <c r="CV38" i="12" s="1"/>
  <c r="CV42" i="12" s="1"/>
  <c r="BL11" i="12"/>
  <c r="BL54" i="12"/>
  <c r="CS73" i="12"/>
  <c r="CS80" i="12" s="1"/>
  <c r="CS7" i="12"/>
  <c r="CS5" i="12" s="1"/>
  <c r="CS14" i="12" s="1"/>
  <c r="CS34" i="12" s="1"/>
  <c r="CS38" i="12" s="1"/>
  <c r="CS42" i="12" s="1"/>
  <c r="CQ73" i="12"/>
  <c r="CQ80" i="12" s="1"/>
  <c r="CQ7" i="12"/>
  <c r="CQ5" i="12" s="1"/>
  <c r="CQ14" i="12" s="1"/>
  <c r="CQ34" i="12" s="1"/>
  <c r="CQ38" i="12" s="1"/>
  <c r="CQ42" i="12" s="1"/>
  <c r="CN73" i="12"/>
  <c r="CN80" i="12" s="1"/>
  <c r="CN7" i="12"/>
  <c r="CN5" i="12" s="1"/>
  <c r="CN14" i="12" s="1"/>
  <c r="CN34" i="12" s="1"/>
  <c r="CN38" i="12" s="1"/>
  <c r="CN42" i="12" s="1"/>
  <c r="CO73" i="12"/>
  <c r="CO80" i="12" s="1"/>
  <c r="CO7" i="12"/>
  <c r="CO5" i="12" s="1"/>
  <c r="CO14" i="12" s="1"/>
  <c r="CO34" i="12" s="1"/>
  <c r="CO38" i="12" s="1"/>
  <c r="CO42" i="12" s="1"/>
  <c r="BX11" i="12"/>
  <c r="BX14" i="12" s="1"/>
  <c r="BX34" i="12" s="1"/>
  <c r="BX38" i="12" s="1"/>
  <c r="BX42" i="12" s="1"/>
  <c r="BX54" i="12"/>
  <c r="CU73" i="12"/>
  <c r="CU80" i="12" s="1"/>
  <c r="CU7" i="12"/>
  <c r="CU5" i="12" s="1"/>
  <c r="CU14" i="12" s="1"/>
  <c r="CU34" i="12" s="1"/>
  <c r="CU38" i="12" s="1"/>
  <c r="CU42" i="12" s="1"/>
  <c r="BL14" i="12" l="1"/>
  <c r="BL34" i="12" s="1"/>
  <c r="BL38" i="12" s="1"/>
  <c r="BY11" i="12"/>
  <c r="BY14" i="12" s="1"/>
  <c r="BY34" i="12" s="1"/>
  <c r="BY38" i="12" s="1"/>
  <c r="BY42" i="12" s="1"/>
  <c r="BY54" i="12"/>
  <c r="CX73" i="12"/>
  <c r="CX80" i="12" s="1"/>
  <c r="CX7" i="12"/>
  <c r="CX5" i="12" s="1"/>
  <c r="CX14" i="12" s="1"/>
  <c r="CX34" i="12" s="1"/>
  <c r="CX38" i="12" s="1"/>
  <c r="CX42" i="12" s="1"/>
  <c r="E6" i="4"/>
  <c r="F6" i="4"/>
  <c r="G6" i="4"/>
  <c r="H6" i="4"/>
  <c r="I6" i="4"/>
  <c r="J6" i="4"/>
  <c r="K6" i="4"/>
  <c r="L6" i="4"/>
  <c r="M6" i="4"/>
  <c r="N6" i="4"/>
  <c r="O6" i="4"/>
  <c r="D6" i="4"/>
  <c r="E19" i="4"/>
  <c r="F19" i="4" s="1"/>
  <c r="G19" i="4" s="1"/>
  <c r="H19" i="4" s="1"/>
  <c r="I19" i="4" s="1"/>
  <c r="J19" i="4" s="1"/>
  <c r="K19" i="4" s="1"/>
  <c r="L19" i="4" s="1"/>
  <c r="M19" i="4" s="1"/>
  <c r="N19" i="4" s="1"/>
  <c r="O19" i="4" s="1"/>
  <c r="E18" i="4"/>
  <c r="F18" i="4" s="1"/>
  <c r="G18" i="4" s="1"/>
  <c r="H18" i="4" s="1"/>
  <c r="I18" i="4" s="1"/>
  <c r="J18" i="4" s="1"/>
  <c r="K18" i="4" s="1"/>
  <c r="L18" i="4" s="1"/>
  <c r="M18" i="4" s="1"/>
  <c r="N18" i="4" s="1"/>
  <c r="O18" i="4" s="1"/>
  <c r="D25" i="4"/>
  <c r="D36" i="4" s="1"/>
  <c r="D24" i="4"/>
  <c r="E14" i="4"/>
  <c r="F14" i="4" s="1"/>
  <c r="G14" i="4" s="1"/>
  <c r="H14" i="4" s="1"/>
  <c r="I14" i="4" s="1"/>
  <c r="J14" i="4" s="1"/>
  <c r="K14" i="4" s="1"/>
  <c r="L14" i="4" s="1"/>
  <c r="M14" i="4" s="1"/>
  <c r="N14" i="4" s="1"/>
  <c r="O14" i="4" s="1"/>
  <c r="E25" i="4" l="1"/>
  <c r="E36" i="4" s="1"/>
  <c r="DI73" i="12"/>
  <c r="DI80" i="12" s="1"/>
  <c r="DI7" i="12"/>
  <c r="DI5" i="12" s="1"/>
  <c r="DI14" i="12" s="1"/>
  <c r="DI34" i="12" s="1"/>
  <c r="DI38" i="12" s="1"/>
  <c r="BZ11" i="12"/>
  <c r="BZ14" i="12" s="1"/>
  <c r="BZ34" i="12" s="1"/>
  <c r="BZ38" i="12" s="1"/>
  <c r="BZ42" i="12" s="1"/>
  <c r="BZ54" i="12"/>
  <c r="DH73" i="12"/>
  <c r="DH80" i="12" s="1"/>
  <c r="DH7" i="12"/>
  <c r="DH5" i="12" s="1"/>
  <c r="DH14" i="12" s="1"/>
  <c r="DH34" i="12" s="1"/>
  <c r="DH38" i="12" s="1"/>
  <c r="DH42" i="12" s="1"/>
  <c r="DE73" i="12"/>
  <c r="DE80" i="12" s="1"/>
  <c r="DE7" i="12"/>
  <c r="DE5" i="12" s="1"/>
  <c r="DE14" i="12" s="1"/>
  <c r="DE34" i="12" s="1"/>
  <c r="DE38" i="12" s="1"/>
  <c r="DE42" i="12" s="1"/>
  <c r="CZ73" i="12"/>
  <c r="CZ80" i="12" s="1"/>
  <c r="CZ7" i="12"/>
  <c r="CZ5" i="12" s="1"/>
  <c r="CZ14" i="12" s="1"/>
  <c r="CZ34" i="12" s="1"/>
  <c r="CZ38" i="12" s="1"/>
  <c r="CZ42" i="12" s="1"/>
  <c r="DB73" i="12"/>
  <c r="DB80" i="12" s="1"/>
  <c r="DB7" i="12"/>
  <c r="DB5" i="12" s="1"/>
  <c r="DB14" i="12" s="1"/>
  <c r="DB34" i="12" s="1"/>
  <c r="DB38" i="12" s="1"/>
  <c r="DB42" i="12" s="1"/>
  <c r="DC73" i="12"/>
  <c r="DC80" i="12" s="1"/>
  <c r="DC7" i="12"/>
  <c r="DC5" i="12" s="1"/>
  <c r="DC14" i="12" s="1"/>
  <c r="DC34" i="12" s="1"/>
  <c r="DC38" i="12" s="1"/>
  <c r="DC42" i="12" s="1"/>
  <c r="CY73" i="12"/>
  <c r="CY80" i="12" s="1"/>
  <c r="CY7" i="12"/>
  <c r="CY5" i="12" s="1"/>
  <c r="CY14" i="12" s="1"/>
  <c r="CY34" i="12" s="1"/>
  <c r="CY38" i="12" s="1"/>
  <c r="CY42" i="12" s="1"/>
  <c r="DD73" i="12"/>
  <c r="DD80" i="12" s="1"/>
  <c r="DD7" i="12"/>
  <c r="DD5" i="12" s="1"/>
  <c r="DD14" i="12" s="1"/>
  <c r="DD34" i="12" s="1"/>
  <c r="DD38" i="12" s="1"/>
  <c r="DD42" i="12" s="1"/>
  <c r="DA73" i="12"/>
  <c r="DA80" i="12" s="1"/>
  <c r="DA7" i="12"/>
  <c r="DA5" i="12" s="1"/>
  <c r="DA14" i="12" s="1"/>
  <c r="DA34" i="12" s="1"/>
  <c r="DA38" i="12" s="1"/>
  <c r="DA42" i="12" s="1"/>
  <c r="DF73" i="12"/>
  <c r="DF80" i="12" s="1"/>
  <c r="DF7" i="12"/>
  <c r="DF5" i="12" s="1"/>
  <c r="DF14" i="12" s="1"/>
  <c r="DF34" i="12" s="1"/>
  <c r="DF38" i="12" s="1"/>
  <c r="DF42" i="12" s="1"/>
  <c r="DG73" i="12"/>
  <c r="DG80" i="12" s="1"/>
  <c r="DG7" i="12"/>
  <c r="DG5" i="12" s="1"/>
  <c r="DG14" i="12" s="1"/>
  <c r="DG34" i="12" s="1"/>
  <c r="DG38" i="12" s="1"/>
  <c r="DG42" i="12" s="1"/>
  <c r="DJ73" i="12"/>
  <c r="DJ80" i="12" s="1"/>
  <c r="DJ7" i="12"/>
  <c r="DJ5" i="12" s="1"/>
  <c r="DJ14" i="12" s="1"/>
  <c r="DJ34" i="12" s="1"/>
  <c r="DJ38" i="12" s="1"/>
  <c r="D31" i="4"/>
  <c r="D46" i="4" s="1"/>
  <c r="D30" i="4"/>
  <c r="D35" i="4"/>
  <c r="E31" i="4"/>
  <c r="E46" i="4" s="1"/>
  <c r="E17" i="4"/>
  <c r="F17" i="4" s="1"/>
  <c r="G17" i="4" s="1"/>
  <c r="H17" i="4" s="1"/>
  <c r="I17" i="4" s="1"/>
  <c r="J17" i="4" s="1"/>
  <c r="K17" i="4" s="1"/>
  <c r="L17" i="4" s="1"/>
  <c r="M17" i="4" s="1"/>
  <c r="N17" i="4" s="1"/>
  <c r="O17" i="4" s="1"/>
  <c r="E24" i="4"/>
  <c r="E26" i="4"/>
  <c r="D26" i="4"/>
  <c r="D20" i="4"/>
  <c r="CA11" i="12" l="1"/>
  <c r="CA14" i="12" s="1"/>
  <c r="CA34" i="12" s="1"/>
  <c r="CA38" i="12" s="1"/>
  <c r="CA42" i="12" s="1"/>
  <c r="CA54" i="12"/>
  <c r="DK73" i="12"/>
  <c r="DK80" i="12" s="1"/>
  <c r="DK7" i="12"/>
  <c r="DK5" i="12" s="1"/>
  <c r="DK14" i="12" s="1"/>
  <c r="DK34" i="12" s="1"/>
  <c r="DK38" i="12" s="1"/>
  <c r="D32" i="4"/>
  <c r="D37" i="4"/>
  <c r="D38" i="4" s="1"/>
  <c r="E32" i="4"/>
  <c r="E37" i="4"/>
  <c r="E35" i="4"/>
  <c r="E27" i="4"/>
  <c r="E30" i="4"/>
  <c r="D33" i="4"/>
  <c r="D45" i="4"/>
  <c r="D27" i="4"/>
  <c r="E20" i="4"/>
  <c r="F24" i="4"/>
  <c r="F20" i="4"/>
  <c r="F26" i="4"/>
  <c r="F25" i="4"/>
  <c r="D47" i="4" l="1"/>
  <c r="DT73" i="12"/>
  <c r="DT80" i="12" s="1"/>
  <c r="DT7" i="12"/>
  <c r="DT5" i="12" s="1"/>
  <c r="DT14" i="12" s="1"/>
  <c r="DT34" i="12" s="1"/>
  <c r="DT38" i="12" s="1"/>
  <c r="DR73" i="12"/>
  <c r="DR80" i="12" s="1"/>
  <c r="DR7" i="12"/>
  <c r="DR5" i="12" s="1"/>
  <c r="DR14" i="12" s="1"/>
  <c r="DR34" i="12" s="1"/>
  <c r="DR38" i="12" s="1"/>
  <c r="CB11" i="12"/>
  <c r="CB14" i="12" s="1"/>
  <c r="CB34" i="12" s="1"/>
  <c r="CB38" i="12" s="1"/>
  <c r="CB42" i="12" s="1"/>
  <c r="CB54" i="12"/>
  <c r="DM73" i="12"/>
  <c r="DM80" i="12" s="1"/>
  <c r="DM7" i="12"/>
  <c r="DM5" i="12" s="1"/>
  <c r="DM14" i="12" s="1"/>
  <c r="DM34" i="12" s="1"/>
  <c r="DM38" i="12" s="1"/>
  <c r="DP73" i="12"/>
  <c r="DP80" i="12" s="1"/>
  <c r="DP7" i="12"/>
  <c r="DP5" i="12" s="1"/>
  <c r="DP14" i="12" s="1"/>
  <c r="DP34" i="12" s="1"/>
  <c r="DP38" i="12" s="1"/>
  <c r="DN73" i="12"/>
  <c r="DN80" i="12" s="1"/>
  <c r="DN7" i="12"/>
  <c r="DN5" i="12" s="1"/>
  <c r="DN14" i="12" s="1"/>
  <c r="DN34" i="12" s="1"/>
  <c r="DN38" i="12" s="1"/>
  <c r="DS73" i="12"/>
  <c r="DS80" i="12" s="1"/>
  <c r="DS7" i="12"/>
  <c r="DS5" i="12" s="1"/>
  <c r="DS14" i="12" s="1"/>
  <c r="DS34" i="12" s="1"/>
  <c r="DS38" i="12" s="1"/>
  <c r="DQ73" i="12"/>
  <c r="DQ80" i="12" s="1"/>
  <c r="DQ7" i="12"/>
  <c r="DQ5" i="12" s="1"/>
  <c r="DQ14" i="12" s="1"/>
  <c r="DQ34" i="12" s="1"/>
  <c r="DQ38" i="12" s="1"/>
  <c r="DO73" i="12"/>
  <c r="DO80" i="12" s="1"/>
  <c r="DO7" i="12"/>
  <c r="DO5" i="12" s="1"/>
  <c r="DO14" i="12" s="1"/>
  <c r="DO34" i="12" s="1"/>
  <c r="DO38" i="12" s="1"/>
  <c r="DL73" i="12"/>
  <c r="DL80" i="12" s="1"/>
  <c r="DL7" i="12"/>
  <c r="DL5" i="12" s="1"/>
  <c r="DL14" i="12" s="1"/>
  <c r="DL34" i="12" s="1"/>
  <c r="DL38" i="12" s="1"/>
  <c r="F32" i="4"/>
  <c r="F37" i="4"/>
  <c r="E47" i="4"/>
  <c r="D48" i="4"/>
  <c r="D50" i="4" s="1"/>
  <c r="E38" i="4"/>
  <c r="F35" i="4"/>
  <c r="F38" i="4" s="1"/>
  <c r="F30" i="4"/>
  <c r="F27" i="4"/>
  <c r="F36" i="4"/>
  <c r="F31" i="4"/>
  <c r="F46" i="4" s="1"/>
  <c r="E33" i="4"/>
  <c r="E45" i="4"/>
  <c r="E48" i="4" s="1"/>
  <c r="G25" i="4"/>
  <c r="G26" i="4"/>
  <c r="G24" i="4"/>
  <c r="G20" i="4"/>
  <c r="CC11" i="12" l="1"/>
  <c r="CC14" i="12" s="1"/>
  <c r="CC34" i="12" s="1"/>
  <c r="CC38" i="12" s="1"/>
  <c r="CC42" i="12" s="1"/>
  <c r="CC54" i="12"/>
  <c r="D51" i="4"/>
  <c r="D52" i="4" s="1"/>
  <c r="D53" i="4" s="1"/>
  <c r="D54" i="4" s="1"/>
  <c r="E50" i="4"/>
  <c r="G42" i="4"/>
  <c r="G32" i="4"/>
  <c r="G37" i="4"/>
  <c r="F47" i="4"/>
  <c r="G40" i="4"/>
  <c r="G35" i="4"/>
  <c r="G27" i="4"/>
  <c r="G30" i="4"/>
  <c r="E51" i="4"/>
  <c r="E52" i="4" s="1"/>
  <c r="G41" i="4"/>
  <c r="G36" i="4"/>
  <c r="G31" i="4"/>
  <c r="F45" i="4"/>
  <c r="F48" i="4" s="1"/>
  <c r="F50" i="4" s="1"/>
  <c r="F33" i="4"/>
  <c r="H24" i="4"/>
  <c r="H20" i="4"/>
  <c r="H25" i="4"/>
  <c r="H26" i="4"/>
  <c r="CD11" i="12" l="1"/>
  <c r="CD14" i="12" s="1"/>
  <c r="CD34" i="12" s="1"/>
  <c r="CD38" i="12" s="1"/>
  <c r="CD42" i="12" s="1"/>
  <c r="CD54" i="12"/>
  <c r="E53" i="4"/>
  <c r="E54" i="4" s="1"/>
  <c r="H32" i="4"/>
  <c r="H42" i="4"/>
  <c r="H37" i="4"/>
  <c r="G43" i="4"/>
  <c r="G38" i="4"/>
  <c r="G47" i="4"/>
  <c r="F51" i="4"/>
  <c r="F52" i="4" s="1"/>
  <c r="G33" i="4"/>
  <c r="G45" i="4"/>
  <c r="H41" i="4"/>
  <c r="H36" i="4"/>
  <c r="H31" i="4"/>
  <c r="G46" i="4"/>
  <c r="H40" i="4"/>
  <c r="H43" i="4" s="1"/>
  <c r="H35" i="4"/>
  <c r="H38" i="4" s="1"/>
  <c r="H27" i="4"/>
  <c r="H30" i="4"/>
  <c r="I26" i="4"/>
  <c r="I24" i="4"/>
  <c r="I20" i="4"/>
  <c r="I25" i="4"/>
  <c r="H46" i="4" l="1"/>
  <c r="CE11" i="12"/>
  <c r="CE14" i="12" s="1"/>
  <c r="CE34" i="12" s="1"/>
  <c r="CE38" i="12" s="1"/>
  <c r="CE42" i="12" s="1"/>
  <c r="CE54" i="12"/>
  <c r="F53" i="4"/>
  <c r="F54" i="4" s="1"/>
  <c r="I32" i="4"/>
  <c r="I42" i="4"/>
  <c r="I37" i="4"/>
  <c r="H47" i="4"/>
  <c r="I40" i="4"/>
  <c r="I35" i="4"/>
  <c r="I27" i="4"/>
  <c r="I30" i="4"/>
  <c r="I41" i="4"/>
  <c r="I36" i="4"/>
  <c r="I31" i="4"/>
  <c r="H33" i="4"/>
  <c r="H45" i="4"/>
  <c r="H48" i="4" s="1"/>
  <c r="G48" i="4"/>
  <c r="G50" i="4" s="1"/>
  <c r="J25" i="4"/>
  <c r="J26" i="4"/>
  <c r="J24" i="4"/>
  <c r="J20" i="4"/>
  <c r="I47" i="4" l="1"/>
  <c r="CF11" i="12"/>
  <c r="CF14" i="12" s="1"/>
  <c r="CF34" i="12" s="1"/>
  <c r="CF38" i="12" s="1"/>
  <c r="CF42" i="12" s="1"/>
  <c r="CF54" i="12"/>
  <c r="J42" i="4"/>
  <c r="J32" i="4"/>
  <c r="J37" i="4"/>
  <c r="I46" i="4"/>
  <c r="I33" i="4"/>
  <c r="I45" i="4"/>
  <c r="J41" i="4"/>
  <c r="J36" i="4"/>
  <c r="J31" i="4"/>
  <c r="G51" i="4"/>
  <c r="G52" i="4" s="1"/>
  <c r="G53" i="4" s="1"/>
  <c r="H50" i="4"/>
  <c r="I38" i="4"/>
  <c r="J40" i="4"/>
  <c r="J35" i="4"/>
  <c r="J30" i="4"/>
  <c r="J27" i="4"/>
  <c r="I43" i="4"/>
  <c r="K24" i="4"/>
  <c r="K20" i="4"/>
  <c r="K25" i="4"/>
  <c r="K26" i="4"/>
  <c r="CG11" i="12" l="1"/>
  <c r="CG14" i="12" s="1"/>
  <c r="CG34" i="12" s="1"/>
  <c r="CG38" i="12" s="1"/>
  <c r="CG42" i="12" s="1"/>
  <c r="CG54" i="12"/>
  <c r="I48" i="4"/>
  <c r="J47" i="4"/>
  <c r="K42" i="4"/>
  <c r="K32" i="4"/>
  <c r="K37" i="4"/>
  <c r="J46" i="4"/>
  <c r="K41" i="4"/>
  <c r="K36" i="4"/>
  <c r="K31" i="4"/>
  <c r="J45" i="4"/>
  <c r="J48" i="4" s="1"/>
  <c r="J33" i="4"/>
  <c r="H51" i="4"/>
  <c r="H52" i="4" s="1"/>
  <c r="H53" i="4" s="1"/>
  <c r="I50" i="4"/>
  <c r="K40" i="4"/>
  <c r="K35" i="4"/>
  <c r="K27" i="4"/>
  <c r="K30" i="4"/>
  <c r="J38" i="4"/>
  <c r="J43" i="4"/>
  <c r="G54" i="4"/>
  <c r="L25" i="4"/>
  <c r="L24" i="4"/>
  <c r="L20" i="4"/>
  <c r="L26" i="4"/>
  <c r="K46" i="4" l="1"/>
  <c r="CH11" i="12"/>
  <c r="CH14" i="12" s="1"/>
  <c r="CH34" i="12" s="1"/>
  <c r="CH38" i="12" s="1"/>
  <c r="CH42" i="12" s="1"/>
  <c r="CH54" i="12"/>
  <c r="K47" i="4"/>
  <c r="K38" i="4"/>
  <c r="K43" i="4"/>
  <c r="H54" i="4"/>
  <c r="K33" i="4"/>
  <c r="K45" i="4"/>
  <c r="K48" i="4" s="1"/>
  <c r="I51" i="4"/>
  <c r="I52" i="4" s="1"/>
  <c r="I53" i="4" s="1"/>
  <c r="J50" i="4"/>
  <c r="L40" i="4"/>
  <c r="L35" i="4"/>
  <c r="L27" i="4"/>
  <c r="L30" i="4"/>
  <c r="L41" i="4"/>
  <c r="L36" i="4"/>
  <c r="L31" i="4"/>
  <c r="L32" i="4"/>
  <c r="L42" i="4"/>
  <c r="L37" i="4"/>
  <c r="M26" i="4"/>
  <c r="M24" i="4"/>
  <c r="M20" i="4"/>
  <c r="M25" i="4"/>
  <c r="CI11" i="12" l="1"/>
  <c r="CI14" i="12" s="1"/>
  <c r="CI34" i="12" s="1"/>
  <c r="CI38" i="12" s="1"/>
  <c r="CI42" i="12" s="1"/>
  <c r="CI54" i="12"/>
  <c r="I54" i="4"/>
  <c r="J51" i="4"/>
  <c r="J52" i="4" s="1"/>
  <c r="J53" i="4" s="1"/>
  <c r="K50" i="4"/>
  <c r="M41" i="4"/>
  <c r="M36" i="4"/>
  <c r="M31" i="4"/>
  <c r="L38" i="4"/>
  <c r="L43" i="4"/>
  <c r="M40" i="4"/>
  <c r="M35" i="4"/>
  <c r="M27" i="4"/>
  <c r="M30" i="4"/>
  <c r="L47" i="4"/>
  <c r="L33" i="4"/>
  <c r="L45" i="4"/>
  <c r="M32" i="4"/>
  <c r="M42" i="4"/>
  <c r="M37" i="4"/>
  <c r="L46" i="4"/>
  <c r="N24" i="4"/>
  <c r="N20" i="4"/>
  <c r="O26" i="4"/>
  <c r="N26" i="4"/>
  <c r="O25" i="4"/>
  <c r="N25" i="4"/>
  <c r="CJ11" i="12" l="1"/>
  <c r="CJ14" i="12" s="1"/>
  <c r="CJ34" i="12" s="1"/>
  <c r="CJ38" i="12" s="1"/>
  <c r="CJ42" i="12" s="1"/>
  <c r="CJ54" i="12"/>
  <c r="J54" i="4"/>
  <c r="K51" i="4"/>
  <c r="K52" i="4" s="1"/>
  <c r="K53" i="4" s="1"/>
  <c r="K54" i="4" s="1"/>
  <c r="O41" i="4"/>
  <c r="Q41" i="4" s="1"/>
  <c r="O36" i="4"/>
  <c r="O31" i="4"/>
  <c r="N40" i="4"/>
  <c r="N35" i="4"/>
  <c r="N27" i="4"/>
  <c r="N30" i="4"/>
  <c r="N32" i="4"/>
  <c r="N42" i="4"/>
  <c r="N37" i="4"/>
  <c r="M47" i="4"/>
  <c r="M38" i="4"/>
  <c r="O42" i="4"/>
  <c r="Q42" i="4" s="1"/>
  <c r="O32" i="4"/>
  <c r="O37" i="4"/>
  <c r="L48" i="4"/>
  <c r="L50" i="4" s="1"/>
  <c r="M43" i="4"/>
  <c r="N41" i="4"/>
  <c r="N36" i="4"/>
  <c r="N31" i="4"/>
  <c r="M33" i="4"/>
  <c r="M45" i="4"/>
  <c r="M46" i="4"/>
  <c r="O24" i="4"/>
  <c r="O20" i="4"/>
  <c r="O47" i="4" l="1"/>
  <c r="P37" i="4"/>
  <c r="P36" i="4"/>
  <c r="N47" i="4"/>
  <c r="P47" i="4" s="1"/>
  <c r="P41" i="4"/>
  <c r="O46" i="4"/>
  <c r="M48" i="4"/>
  <c r="N43" i="4"/>
  <c r="N46" i="4"/>
  <c r="P31" i="4"/>
  <c r="M50" i="4"/>
  <c r="L51" i="4"/>
  <c r="L52" i="4" s="1"/>
  <c r="L53" i="4" s="1"/>
  <c r="S42" i="4"/>
  <c r="R42" i="4"/>
  <c r="Q47" i="4"/>
  <c r="N45" i="4"/>
  <c r="N33" i="4"/>
  <c r="P42" i="4"/>
  <c r="O40" i="4"/>
  <c r="O35" i="4"/>
  <c r="O30" i="4"/>
  <c r="O27" i="4"/>
  <c r="P32" i="4"/>
  <c r="N38" i="4"/>
  <c r="R41" i="4"/>
  <c r="Q46" i="4"/>
  <c r="S41" i="4"/>
  <c r="P46" i="4" l="1"/>
  <c r="N48" i="4"/>
  <c r="N50" i="4" s="1"/>
  <c r="S46" i="4"/>
  <c r="U41" i="4"/>
  <c r="O33" i="4"/>
  <c r="O45" i="4"/>
  <c r="P30" i="4"/>
  <c r="P33" i="4" s="1"/>
  <c r="M51" i="4"/>
  <c r="M52" i="4" s="1"/>
  <c r="M53" i="4" s="1"/>
  <c r="M54" i="4" s="1"/>
  <c r="O38" i="4"/>
  <c r="P35" i="4"/>
  <c r="P38" i="4" s="1"/>
  <c r="R47" i="4"/>
  <c r="T42" i="4"/>
  <c r="L54" i="4"/>
  <c r="R46" i="4"/>
  <c r="T41" i="4"/>
  <c r="Q40" i="4"/>
  <c r="O43" i="4"/>
  <c r="U42" i="4"/>
  <c r="S47" i="4"/>
  <c r="P40" i="4"/>
  <c r="P43" i="4" s="1"/>
  <c r="Q45" i="4" l="1"/>
  <c r="Q48" i="4" s="1"/>
  <c r="Q49" i="4" s="1"/>
  <c r="Q52" i="4" s="1"/>
  <c r="Q53" i="4" s="1"/>
  <c r="S40" i="4"/>
  <c r="Q43" i="4"/>
  <c r="R40" i="4"/>
  <c r="V42" i="4"/>
  <c r="T47" i="4"/>
  <c r="W41" i="4"/>
  <c r="U46" i="4"/>
  <c r="V41" i="4"/>
  <c r="T46" i="4"/>
  <c r="P45" i="4"/>
  <c r="O48" i="4"/>
  <c r="O50" i="4" s="1"/>
  <c r="W42" i="4"/>
  <c r="U47" i="4"/>
  <c r="N51" i="4"/>
  <c r="N52" i="4" s="1"/>
  <c r="N53" i="4" s="1"/>
  <c r="N54" i="4" l="1"/>
  <c r="Y42" i="4"/>
  <c r="W47" i="4"/>
  <c r="R45" i="4"/>
  <c r="R48" i="4" s="1"/>
  <c r="R49" i="4" s="1"/>
  <c r="R43" i="4"/>
  <c r="T40" i="4"/>
  <c r="O51" i="4"/>
  <c r="O52" i="4" s="1"/>
  <c r="O53" i="4" s="1"/>
  <c r="O54" i="4" s="1"/>
  <c r="Q54" i="4" s="1"/>
  <c r="V46" i="4"/>
  <c r="X41" i="4"/>
  <c r="P48" i="4"/>
  <c r="V47" i="4"/>
  <c r="X42" i="4"/>
  <c r="S43" i="4"/>
  <c r="S45" i="4"/>
  <c r="S48" i="4" s="1"/>
  <c r="U40" i="4"/>
  <c r="Y41" i="4"/>
  <c r="W46" i="4"/>
  <c r="U45" i="4" l="1"/>
  <c r="U48" i="4" s="1"/>
  <c r="W40" i="4"/>
  <c r="U43" i="4"/>
  <c r="X46" i="4"/>
  <c r="Z41" i="4"/>
  <c r="T45" i="4"/>
  <c r="T48" i="4" s="1"/>
  <c r="T43" i="4"/>
  <c r="V40" i="4"/>
  <c r="AA41" i="4"/>
  <c r="Y46" i="4"/>
  <c r="AA42" i="4"/>
  <c r="Y47" i="4"/>
  <c r="Z42" i="4"/>
  <c r="X47" i="4"/>
  <c r="R52" i="4"/>
  <c r="R53" i="4" s="1"/>
  <c r="S49" i="4"/>
  <c r="R54" i="4" l="1"/>
  <c r="AC42" i="4"/>
  <c r="AA47" i="4"/>
  <c r="Z47" i="4"/>
  <c r="AB42" i="4"/>
  <c r="S52" i="4"/>
  <c r="T49" i="4"/>
  <c r="AC41" i="4"/>
  <c r="AA46" i="4"/>
  <c r="AB41" i="4"/>
  <c r="Z46" i="4"/>
  <c r="S53" i="4"/>
  <c r="V45" i="4"/>
  <c r="X40" i="4"/>
  <c r="V43" i="4"/>
  <c r="W45" i="4"/>
  <c r="W48" i="4" s="1"/>
  <c r="W43" i="4"/>
  <c r="Y40" i="4"/>
  <c r="S54" i="4" l="1"/>
  <c r="AE41" i="4"/>
  <c r="AE46" i="4" s="1"/>
  <c r="AC46" i="4"/>
  <c r="AE42" i="4"/>
  <c r="AE47" i="4" s="1"/>
  <c r="AC47" i="4"/>
  <c r="Y45" i="4"/>
  <c r="Y48" i="4" s="1"/>
  <c r="Y43" i="4"/>
  <c r="AA40" i="4"/>
  <c r="T52" i="4"/>
  <c r="U49" i="4"/>
  <c r="AB47" i="4"/>
  <c r="AD42" i="4"/>
  <c r="X45" i="4"/>
  <c r="X48" i="4" s="1"/>
  <c r="X43" i="4"/>
  <c r="Z40" i="4"/>
  <c r="AD41" i="4"/>
  <c r="AD46" i="4" s="1"/>
  <c r="AB46" i="4"/>
  <c r="V48" i="4"/>
  <c r="T54" i="4" l="1"/>
  <c r="T53" i="4"/>
  <c r="AD47" i="4"/>
  <c r="AF42" i="4"/>
  <c r="AG42" i="4" s="1"/>
  <c r="AA45" i="4"/>
  <c r="AA48" i="4" s="1"/>
  <c r="AA43" i="4"/>
  <c r="AC40" i="4"/>
  <c r="AG47" i="4"/>
  <c r="Z45" i="4"/>
  <c r="Z48" i="4" s="1"/>
  <c r="AB40" i="4"/>
  <c r="Z43" i="4"/>
  <c r="AF41" i="4"/>
  <c r="AG41" i="4" s="1"/>
  <c r="V49" i="4"/>
  <c r="U52" i="4"/>
  <c r="AG46" i="4"/>
  <c r="U54" i="4" l="1"/>
  <c r="U53" i="4"/>
  <c r="AC45" i="4"/>
  <c r="AC48" i="4" s="1"/>
  <c r="AC43" i="4"/>
  <c r="AE40" i="4"/>
  <c r="W49" i="4"/>
  <c r="V52" i="4"/>
  <c r="AB45" i="4"/>
  <c r="AB48" i="4" s="1"/>
  <c r="AD40" i="4"/>
  <c r="AB43" i="4"/>
  <c r="V54" i="4" l="1"/>
  <c r="V53" i="4"/>
  <c r="W52" i="4"/>
  <c r="X49" i="4"/>
  <c r="AD43" i="4"/>
  <c r="AD45" i="4"/>
  <c r="AD48" i="4" s="1"/>
  <c r="AF40" i="4"/>
  <c r="AG40" i="4" s="1"/>
  <c r="AE45" i="4"/>
  <c r="AE43" i="4"/>
  <c r="AF43" i="4" s="1"/>
  <c r="AG43" i="4" s="1"/>
  <c r="W53" i="4" l="1"/>
  <c r="W54" i="4"/>
  <c r="X54" i="4" s="1"/>
  <c r="AE48" i="4"/>
  <c r="AG45" i="4"/>
  <c r="AG48" i="4" s="1"/>
  <c r="X52" i="4"/>
  <c r="X53" i="4" s="1"/>
  <c r="Y49" i="4"/>
  <c r="Y53" i="4" l="1"/>
  <c r="Z49" i="4"/>
  <c r="Y52" i="4"/>
  <c r="Y54" i="4"/>
  <c r="AA49" i="4" l="1"/>
  <c r="Z52" i="4"/>
  <c r="Z54" i="4" s="1"/>
  <c r="Z53" i="4"/>
  <c r="AB49" i="4" l="1"/>
  <c r="AA52" i="4"/>
  <c r="AA53" i="4" s="1"/>
  <c r="AA54" i="4" l="1"/>
  <c r="AC49" i="4"/>
  <c r="AB52" i="4"/>
  <c r="AB53" i="4" s="1"/>
  <c r="AB54" i="4" l="1"/>
  <c r="AD49" i="4"/>
  <c r="AC52" i="4"/>
  <c r="AC53" i="4" s="1"/>
  <c r="AC54" i="4" l="1"/>
  <c r="AE49" i="4"/>
  <c r="AE52" i="4" s="1"/>
  <c r="AD52" i="4"/>
  <c r="AD54" i="4" s="1"/>
  <c r="AD53" i="4"/>
  <c r="AE54" i="4" l="1"/>
  <c r="AE53" i="4"/>
  <c r="AG53" i="4" s="1"/>
  <c r="AG54" i="4" s="1"/>
</calcChain>
</file>

<file path=xl/comments1.xml><?xml version="1.0" encoding="utf-8"?>
<comments xmlns="http://schemas.openxmlformats.org/spreadsheetml/2006/main">
  <authors>
    <author>Spikes, Henry</author>
  </authors>
  <commentList>
    <comment ref="F4" authorId="0">
      <text>
        <r>
          <rPr>
            <b/>
            <sz val="9"/>
            <color indexed="81"/>
            <rFont val="Tahoma"/>
            <family val="2"/>
          </rPr>
          <t>Spikes, Henry:</t>
        </r>
        <r>
          <rPr>
            <sz val="9"/>
            <color indexed="81"/>
            <rFont val="Tahoma"/>
            <family val="2"/>
          </rPr>
          <t xml:space="preserve">
Amount adjusted to reflect 2018 rates before the 2019 rate decrease for tax reform</t>
        </r>
      </text>
    </comment>
  </commentList>
</comments>
</file>

<file path=xl/comments2.xml><?xml version="1.0" encoding="utf-8"?>
<comments xmlns="http://schemas.openxmlformats.org/spreadsheetml/2006/main">
  <authors>
    <author>Spikes, Henry</author>
    <author>Welch, Kathy</author>
    <author>Wight, Alex</author>
  </authors>
  <commentList>
    <comment ref="A17" authorId="0">
      <text>
        <r>
          <rPr>
            <b/>
            <sz val="9"/>
            <color indexed="81"/>
            <rFont val="Tahoma"/>
            <family val="2"/>
          </rPr>
          <t>Spikes, Henry:</t>
        </r>
        <r>
          <rPr>
            <sz val="9"/>
            <color indexed="81"/>
            <rFont val="Tahoma"/>
            <family val="2"/>
          </rPr>
          <t xml:space="preserve">
Storm Surcharge Billed @.001535/kwh (SURCHARGE IN EFFECT FOR 2 YEARS - Ending March 2021)</t>
        </r>
      </text>
    </comment>
    <comment ref="AS31" authorId="0">
      <text>
        <r>
          <rPr>
            <b/>
            <sz val="9"/>
            <color indexed="81"/>
            <rFont val="Tahoma"/>
            <family val="2"/>
          </rPr>
          <t>Spikes, Henry:</t>
        </r>
        <r>
          <rPr>
            <sz val="9"/>
            <color indexed="81"/>
            <rFont val="Tahoma"/>
            <family val="2"/>
          </rPr>
          <t xml:space="preserve">
Reversal of the $581,721 for Hurricane expenses not recovered is included on this number.</t>
        </r>
      </text>
    </comment>
    <comment ref="BM36" authorId="1">
      <text>
        <r>
          <rPr>
            <b/>
            <sz val="9"/>
            <color indexed="81"/>
            <rFont val="Tahoma"/>
            <family val="2"/>
          </rPr>
          <t>Welch, Kathy:</t>
        </r>
        <r>
          <rPr>
            <sz val="9"/>
            <color indexed="81"/>
            <rFont val="Tahoma"/>
            <family val="2"/>
          </rPr>
          <t xml:space="preserve">
Used average 2018
</t>
        </r>
      </text>
    </comment>
    <comment ref="BA39" authorId="0">
      <text>
        <r>
          <rPr>
            <b/>
            <sz val="9"/>
            <color indexed="81"/>
            <rFont val="Tahoma"/>
            <family val="2"/>
          </rPr>
          <t>Spikes, Henry:</t>
        </r>
        <r>
          <rPr>
            <sz val="9"/>
            <color indexed="81"/>
            <rFont val="Tahoma"/>
            <family val="2"/>
          </rPr>
          <t xml:space="preserve">
Adjustment for strat plan initiatives</t>
        </r>
      </text>
    </comment>
    <comment ref="AO40" authorId="0">
      <text>
        <r>
          <rPr>
            <b/>
            <sz val="9"/>
            <color indexed="81"/>
            <rFont val="Tahoma"/>
            <family val="2"/>
          </rPr>
          <t>Spikes, Henry:</t>
        </r>
        <r>
          <rPr>
            <sz val="9"/>
            <color indexed="81"/>
            <rFont val="Tahoma"/>
            <family val="2"/>
          </rPr>
          <t xml:space="preserve">
This row is pulled from UI report named Income Statement vs Budget  - Current Year - FE</t>
        </r>
      </text>
    </comment>
    <comment ref="A50" authorId="2">
      <text>
        <r>
          <rPr>
            <b/>
            <sz val="9"/>
            <color indexed="81"/>
            <rFont val="Tahoma"/>
            <family val="2"/>
          </rPr>
          <t>Wight, Alex:</t>
        </r>
        <r>
          <rPr>
            <sz val="9"/>
            <color indexed="81"/>
            <rFont val="Tahoma"/>
            <family val="2"/>
          </rPr>
          <t xml:space="preserve">
Adjust for Lignotech
</t>
        </r>
      </text>
    </comment>
    <comment ref="M67" authorId="0">
      <text>
        <r>
          <rPr>
            <b/>
            <sz val="9"/>
            <color indexed="81"/>
            <rFont val="Tahoma"/>
            <family val="2"/>
          </rPr>
          <t>Spikes, Henry:</t>
        </r>
        <r>
          <rPr>
            <sz val="9"/>
            <color indexed="81"/>
            <rFont val="Tahoma"/>
            <family val="2"/>
          </rPr>
          <t xml:space="preserve">
Adjusted to a normal period</t>
        </r>
      </text>
    </comment>
    <comment ref="Q67" authorId="0">
      <text>
        <r>
          <rPr>
            <b/>
            <sz val="9"/>
            <color indexed="81"/>
            <rFont val="Tahoma"/>
            <family val="2"/>
          </rPr>
          <t>Spikes, Henry:</t>
        </r>
        <r>
          <rPr>
            <sz val="9"/>
            <color indexed="81"/>
            <rFont val="Tahoma"/>
            <family val="2"/>
          </rPr>
          <t xml:space="preserve">
Adjusted to a normal period</t>
        </r>
      </text>
    </comment>
    <comment ref="BA83" authorId="0">
      <text>
        <r>
          <rPr>
            <b/>
            <sz val="9"/>
            <color indexed="81"/>
            <rFont val="Tahoma"/>
            <family val="2"/>
          </rPr>
          <t>Spikes, Henry:</t>
        </r>
        <r>
          <rPr>
            <sz val="9"/>
            <color indexed="81"/>
            <rFont val="Tahoma"/>
            <family val="2"/>
          </rPr>
          <t xml:space="preserve">
Orange highlighted adjusted to refkect the 2018 Misc revenues </t>
        </r>
      </text>
    </comment>
    <comment ref="Q93" authorId="0">
      <text>
        <r>
          <rPr>
            <b/>
            <sz val="9"/>
            <color indexed="81"/>
            <rFont val="Tahoma"/>
            <family val="2"/>
          </rPr>
          <t>Spikes, Henry:</t>
        </r>
        <r>
          <rPr>
            <sz val="9"/>
            <color indexed="81"/>
            <rFont val="Tahoma"/>
            <family val="2"/>
          </rPr>
          <t xml:space="preserve">
Adjusted to a normal period
</t>
        </r>
      </text>
    </comment>
    <comment ref="Y93" authorId="0">
      <text>
        <r>
          <rPr>
            <b/>
            <sz val="9"/>
            <color indexed="81"/>
            <rFont val="Tahoma"/>
            <family val="2"/>
          </rPr>
          <t>Spikes, Henry:</t>
        </r>
        <r>
          <rPr>
            <sz val="9"/>
            <color indexed="81"/>
            <rFont val="Tahoma"/>
            <family val="2"/>
          </rPr>
          <t xml:space="preserve">
Adjusted  to a normal period </t>
        </r>
      </text>
    </comment>
    <comment ref="AG93" authorId="0">
      <text>
        <r>
          <rPr>
            <b/>
            <sz val="9"/>
            <color indexed="81"/>
            <rFont val="Tahoma"/>
            <family val="2"/>
          </rPr>
          <t>Spikes, Henry:</t>
        </r>
        <r>
          <rPr>
            <sz val="9"/>
            <color indexed="81"/>
            <rFont val="Tahoma"/>
            <family val="2"/>
          </rPr>
          <t xml:space="preserve">
Adjusted to a normal period </t>
        </r>
      </text>
    </comment>
  </commentList>
</comments>
</file>

<file path=xl/sharedStrings.xml><?xml version="1.0" encoding="utf-8"?>
<sst xmlns="http://schemas.openxmlformats.org/spreadsheetml/2006/main" count="1275" uniqueCount="297">
  <si>
    <t>Premise Number</t>
  </si>
  <si>
    <t>Premise Status Code</t>
  </si>
  <si>
    <t>Type/Class</t>
  </si>
  <si>
    <t>Premise Service Address</t>
  </si>
  <si>
    <t>ECIS Reason?</t>
  </si>
  <si>
    <t>Still Inactive?</t>
  </si>
  <si>
    <t>SO</t>
  </si>
  <si>
    <t>RS</t>
  </si>
  <si>
    <t xml:space="preserve">2974 PARK ST  </t>
  </si>
  <si>
    <t>Storm</t>
  </si>
  <si>
    <t>N</t>
  </si>
  <si>
    <t>IA</t>
  </si>
  <si>
    <t xml:space="preserve">2925 WESTMANOR DR  </t>
  </si>
  <si>
    <t>Additional research required</t>
  </si>
  <si>
    <t xml:space="preserve">2966 DOGWOOD ST  </t>
  </si>
  <si>
    <t xml:space="preserve">4399 FLORENCE DR  </t>
  </si>
  <si>
    <t>CL</t>
  </si>
  <si>
    <t xml:space="preserve">2889 GREEN ST  </t>
  </si>
  <si>
    <t xml:space="preserve">4344 BURTON ST  </t>
  </si>
  <si>
    <t xml:space="preserve">2971 KYNES ST #A  </t>
  </si>
  <si>
    <t xml:space="preserve">4345 DEERING ST  </t>
  </si>
  <si>
    <t xml:space="preserve">3029 CARTERS MILL RD  </t>
  </si>
  <si>
    <t xml:space="preserve">4255 6TH AVE  </t>
  </si>
  <si>
    <t xml:space="preserve">4292 SECOND AV #A  </t>
  </si>
  <si>
    <t xml:space="preserve">4298 7TH AVE  </t>
  </si>
  <si>
    <t xml:space="preserve">12533 NW CONNER LANE  </t>
  </si>
  <si>
    <t xml:space="preserve">12881 HWY 12 S BHND #HOUSE  </t>
  </si>
  <si>
    <t xml:space="preserve">2835 STUART AVE  </t>
  </si>
  <si>
    <t xml:space="preserve">2842 SAINT JOHN ST  </t>
  </si>
  <si>
    <t>CS</t>
  </si>
  <si>
    <t xml:space="preserve">2872 MADISON ST  </t>
  </si>
  <si>
    <t xml:space="preserve">4844 GLENDALE CIR  </t>
  </si>
  <si>
    <t xml:space="preserve">4505 LAFAYETTE ST  </t>
  </si>
  <si>
    <t xml:space="preserve">4971 DOGWOOD DR  </t>
  </si>
  <si>
    <t xml:space="preserve">3270 BOXWOOD RD  </t>
  </si>
  <si>
    <t xml:space="preserve">4752 WATSON ST #TRAILER  </t>
  </si>
  <si>
    <t xml:space="preserve">5129 BLUE SPRINGS RD  </t>
  </si>
  <si>
    <t xml:space="preserve">4792 HWY 90 E #OPENAIR  </t>
  </si>
  <si>
    <t xml:space="preserve">4792 HWY 90 E #BLD H  </t>
  </si>
  <si>
    <t xml:space="preserve">4792 HWY 90 E #BLDG G  </t>
  </si>
  <si>
    <t xml:space="preserve">5021 SPRUCE LN  </t>
  </si>
  <si>
    <t xml:space="preserve">5009 SPRUCE LN  </t>
  </si>
  <si>
    <t xml:space="preserve">3161 WESTWOOD DR #7  </t>
  </si>
  <si>
    <t xml:space="preserve">3022 CLEARMONT RD #SHOP  </t>
  </si>
  <si>
    <t xml:space="preserve">3450 BUMPNOSE RD  </t>
  </si>
  <si>
    <t xml:space="preserve">3383 BUMPNOSE RD #BARN  </t>
  </si>
  <si>
    <t xml:space="preserve">2968 HILLCREST ST  </t>
  </si>
  <si>
    <t xml:space="preserve">4089 EDGEWOOD DR  </t>
  </si>
  <si>
    <t xml:space="preserve">4052 OLD COTTONDALE RD #404  </t>
  </si>
  <si>
    <t xml:space="preserve">4127 CLAY ST  </t>
  </si>
  <si>
    <t xml:space="preserve">4242 LARAMORE RD  </t>
  </si>
  <si>
    <t xml:space="preserve">4271 FIELDSTONE CT  </t>
  </si>
  <si>
    <t xml:space="preserve">4294 FIELDSTONE CT  </t>
  </si>
  <si>
    <t xml:space="preserve">4285 CEDAR LN  </t>
  </si>
  <si>
    <t xml:space="preserve">2672 OLD AIRBASE RD #PUMP  </t>
  </si>
  <si>
    <t xml:space="preserve">4235 OLD COTTONDALE RD  </t>
  </si>
  <si>
    <t xml:space="preserve">4224 CEDAR ST  </t>
  </si>
  <si>
    <t xml:space="preserve">2831 WASHINGTON ST  </t>
  </si>
  <si>
    <t xml:space="preserve">4107 WILLOW POND RD  </t>
  </si>
  <si>
    <t xml:space="preserve">4568 PANDORA RD  </t>
  </si>
  <si>
    <t xml:space="preserve">2215 MARK LN APT# 12 </t>
  </si>
  <si>
    <t xml:space="preserve">4294 NORTON STILL RD  </t>
  </si>
  <si>
    <t xml:space="preserve">2465 FILLMORE DR  </t>
  </si>
  <si>
    <t xml:space="preserve">2333 FILLMORE DR  </t>
  </si>
  <si>
    <t xml:space="preserve">2430 HAROLD DR  </t>
  </si>
  <si>
    <t xml:space="preserve">2468 KIWI TRL  </t>
  </si>
  <si>
    <t xml:space="preserve">4525 CLEARWATER LN  </t>
  </si>
  <si>
    <t xml:space="preserve">4488 RIVERBEND RD  </t>
  </si>
  <si>
    <t xml:space="preserve">5162 7TH AVE  </t>
  </si>
  <si>
    <t xml:space="preserve">5125 8TH AVE APT# A  </t>
  </si>
  <si>
    <t xml:space="preserve">4275 ALLEN ST  </t>
  </si>
  <si>
    <t xml:space="preserve">5168 FORT RD  </t>
  </si>
  <si>
    <t xml:space="preserve">4111 BRYAN ST  </t>
  </si>
  <si>
    <t xml:space="preserve">3184 WILLOW ST  </t>
  </si>
  <si>
    <t xml:space="preserve">3111 WILLOW ST APT# 509 </t>
  </si>
  <si>
    <t xml:space="preserve">2871 HWY 90  </t>
  </si>
  <si>
    <t xml:space="preserve">1754 VIRGINIA ST  </t>
  </si>
  <si>
    <t xml:space="preserve">1767 ARIZONA ST  </t>
  </si>
  <si>
    <t xml:space="preserve">2496 FIRST AV  </t>
  </si>
  <si>
    <t xml:space="preserve">2688 DOCK RD  </t>
  </si>
  <si>
    <t xml:space="preserve">2619 DOGWOOD DR  </t>
  </si>
  <si>
    <t xml:space="preserve">15989 SPOONER LN #4  </t>
  </si>
  <si>
    <t xml:space="preserve">15918 NE NORTH ST #1  </t>
  </si>
  <si>
    <t xml:space="preserve">25675 N EVANS ST  </t>
  </si>
  <si>
    <t xml:space="preserve">15417 N W CHIPOLA ST  </t>
  </si>
  <si>
    <t xml:space="preserve">14883 NW HWY 274  </t>
  </si>
  <si>
    <t xml:space="preserve">25742 N MAIN ST  </t>
  </si>
  <si>
    <t xml:space="preserve">26571 71 STATE ROAD N  </t>
  </si>
  <si>
    <t xml:space="preserve"> OGLESBY RD END  </t>
  </si>
  <si>
    <t xml:space="preserve">27513 SR 71 N  </t>
  </si>
  <si>
    <t xml:space="preserve">6017 HANSFORD RD  </t>
  </si>
  <si>
    <t xml:space="preserve">5991 HANSFORD RD  </t>
  </si>
  <si>
    <t xml:space="preserve">1095 CHURCH ST  </t>
  </si>
  <si>
    <t xml:space="preserve">5309 PEACOCK BRIDGE RD  </t>
  </si>
  <si>
    <t xml:space="preserve">1919 HIGHWAY 71  </t>
  </si>
  <si>
    <t xml:space="preserve">16115 SW CHARLIE WOOD RD  </t>
  </si>
  <si>
    <t xml:space="preserve"> JENNINGS FLD #GAS DPT  </t>
  </si>
  <si>
    <t xml:space="preserve">5292 CONNECTION RD #WELL  </t>
  </si>
  <si>
    <t xml:space="preserve">5234 10TH AVE  </t>
  </si>
  <si>
    <t xml:space="preserve">3275 MAGNOLIA ST #B  </t>
  </si>
  <si>
    <t xml:space="preserve">16539 N W JOHN F BAILEY RD  </t>
  </si>
  <si>
    <t xml:space="preserve">16678 N E TOM KIMBREL LN  </t>
  </si>
  <si>
    <t xml:space="preserve">4883 DAVIS DR  </t>
  </si>
  <si>
    <t xml:space="preserve"> MALONE B'BALL  </t>
  </si>
  <si>
    <t xml:space="preserve">4271 MERCEDES LN  </t>
  </si>
  <si>
    <t xml:space="preserve">3367 OLD U S RD  </t>
  </si>
  <si>
    <t xml:space="preserve">2765 BRENDA ST  </t>
  </si>
  <si>
    <t xml:space="preserve">CANE MILL  </t>
  </si>
  <si>
    <t xml:space="preserve">2942 GREEN ST  </t>
  </si>
  <si>
    <t xml:space="preserve">25522 N E EVANS ST  </t>
  </si>
  <si>
    <t xml:space="preserve">5344 10TH ST SCHOOL ZONE FLASH #LIGHT  </t>
  </si>
  <si>
    <t xml:space="preserve">2888 BARNES ST  </t>
  </si>
  <si>
    <t xml:space="preserve">4747 HIGHWAY 90 #A  </t>
  </si>
  <si>
    <t xml:space="preserve">2737 PENNSYLVANIA AVE #STORAGE  </t>
  </si>
  <si>
    <t xml:space="preserve">2200 HIGHWAY 73  </t>
  </si>
  <si>
    <t xml:space="preserve">3519 CAVERNS RD #IRRPUMP  </t>
  </si>
  <si>
    <t xml:space="preserve">5309 PEACOCK BRIDGE RD #NEW HSE  </t>
  </si>
  <si>
    <t xml:space="preserve">2760 BRIGHTWELL AVE #27  </t>
  </si>
  <si>
    <t xml:space="preserve">2783 BRIGHTWELL AVE #76  </t>
  </si>
  <si>
    <t xml:space="preserve">2781 BRIGHTWELL AVE #75  </t>
  </si>
  <si>
    <t xml:space="preserve">2780 BRIGHTWELL AVE #9  </t>
  </si>
  <si>
    <t xml:space="preserve">4878 DOGWOOD DR #POOL  </t>
  </si>
  <si>
    <t xml:space="preserve">4820 HIGHWAY 90 #RV #4  </t>
  </si>
  <si>
    <t xml:space="preserve">4820 HIGHWAY 90 #RV #5  </t>
  </si>
  <si>
    <t xml:space="preserve">2496 KIWI TRL #WELL  </t>
  </si>
  <si>
    <t xml:space="preserve">1718 TURTLE BEND LN  </t>
  </si>
  <si>
    <t xml:space="preserve">4591 COOK RD  </t>
  </si>
  <si>
    <t>Active As Of</t>
  </si>
  <si>
    <t>Not Active</t>
  </si>
  <si>
    <t>Column Labels</t>
  </si>
  <si>
    <t>Grand Total</t>
  </si>
  <si>
    <t>January</t>
  </si>
  <si>
    <t>Month</t>
  </si>
  <si>
    <t>February</t>
  </si>
  <si>
    <t>March</t>
  </si>
  <si>
    <t>April</t>
  </si>
  <si>
    <t>May</t>
  </si>
  <si>
    <t>June</t>
  </si>
  <si>
    <t>July</t>
  </si>
  <si>
    <t>August</t>
  </si>
  <si>
    <t>September</t>
  </si>
  <si>
    <t>October</t>
  </si>
  <si>
    <t>November</t>
  </si>
  <si>
    <t>December</t>
  </si>
  <si>
    <t>Row Labels</t>
  </si>
  <si>
    <t>(blank)</t>
  </si>
  <si>
    <t>Count of Premise Number</t>
  </si>
  <si>
    <t>Returned to Service:</t>
  </si>
  <si>
    <t>Original Estimate:</t>
  </si>
  <si>
    <t>Residential</t>
  </si>
  <si>
    <t>TYPE</t>
  </si>
  <si>
    <t>Commercial Small</t>
  </si>
  <si>
    <t xml:space="preserve">Commercial  </t>
  </si>
  <si>
    <t xml:space="preserve">October </t>
  </si>
  <si>
    <t>Cumulative Returned to Service:</t>
  </si>
  <si>
    <t>Corrected Lost Customer Estimate:</t>
  </si>
  <si>
    <t>C</t>
  </si>
  <si>
    <t>Cumulative</t>
  </si>
  <si>
    <t>Base Customer Charge:</t>
  </si>
  <si>
    <t>Estimated Usage Charge:</t>
  </si>
  <si>
    <t>Estimated Storm Surcharge Loss:</t>
  </si>
  <si>
    <t>Total Revenue Loss</t>
  </si>
  <si>
    <t>Total</t>
  </si>
  <si>
    <t>Florida Public Utilities Company</t>
  </si>
  <si>
    <t>MDN-5 Page 1 of 1</t>
  </si>
  <si>
    <t>Limited Proceeding Electric</t>
  </si>
  <si>
    <t>Docket No.:</t>
  </si>
  <si>
    <t>Regulatory Asset for Lost Customers</t>
  </si>
  <si>
    <t>Lost Customers due to Hurricane Michael</t>
  </si>
  <si>
    <t>Customer Charge</t>
  </si>
  <si>
    <t>kWh Usage Yearly &lt;=1000 kWh</t>
  </si>
  <si>
    <t>kWh Usage Yearly &gt;=1000 kWh</t>
  </si>
  <si>
    <t>KW Usage Yearly</t>
  </si>
  <si>
    <t>Total Margin Loss</t>
  </si>
  <si>
    <t>Avg Per Customer</t>
  </si>
  <si>
    <t xml:space="preserve">Commercial </t>
  </si>
  <si>
    <t>2019 Revenue Estimate for Lost Customers</t>
  </si>
  <si>
    <t>*</t>
  </si>
  <si>
    <t>November to December 2018 Revenue for Lost Customers</t>
  </si>
  <si>
    <t>Storm Surcharge from Docket 20180061-EI that won't be able to be recovered due to lost customers</t>
  </si>
  <si>
    <t>Interest on the Lost Customer Revenue</t>
  </si>
  <si>
    <t>Regulatory Asset on Hurricane Lost Customers thru 12/19</t>
  </si>
  <si>
    <t>Amortization Over 5 Years</t>
  </si>
  <si>
    <t>*  The revenue loss in 2019 due to the permanatly lost customers is expected to continue in the future and therefore, this calculation is also used on C-2 as the estimated annual decrease in revenue.</t>
  </si>
  <si>
    <t>Calculation of Interest on Lost Revenue Not Recovered:</t>
  </si>
  <si>
    <t>Lost Revenue</t>
  </si>
  <si>
    <t>Cumulative  Lost Revenue</t>
  </si>
  <si>
    <t>Average Beginning and Ending Balance</t>
  </si>
  <si>
    <t>Interest Per Month</t>
  </si>
  <si>
    <t>Cumulative Interest</t>
  </si>
  <si>
    <t>Note:  The Company has permantly lost customers as a result of the storm.  The loss is reflected in net operating income for future time periods.  However, the loss prior to implementation of this limited proceeding will never be recovered unless a regulatory asset is approved and the amortization of this asset allowed in rates in this limited proceeding.  The Company is requesting a five year amortization.</t>
  </si>
  <si>
    <t>December 19</t>
  </si>
  <si>
    <t>January 20</t>
  </si>
  <si>
    <t>February 20</t>
  </si>
  <si>
    <t>March 20</t>
  </si>
  <si>
    <t>April 20</t>
  </si>
  <si>
    <t>May 20</t>
  </si>
  <si>
    <t>June 20</t>
  </si>
  <si>
    <t>July 20</t>
  </si>
  <si>
    <t>August 20</t>
  </si>
  <si>
    <t>September 20</t>
  </si>
  <si>
    <t>October 20</t>
  </si>
  <si>
    <t>November 20</t>
  </si>
  <si>
    <t>December 20</t>
  </si>
  <si>
    <t>13-Month Avg.</t>
  </si>
  <si>
    <t>13-Month Average Calculation:</t>
  </si>
  <si>
    <t>Average Beginning and Ending</t>
  </si>
  <si>
    <t>Interest</t>
  </si>
  <si>
    <t>Estimated</t>
  </si>
  <si>
    <t>2018 Actual</t>
  </si>
  <si>
    <t>2018 Normalized</t>
  </si>
  <si>
    <t>Margin:</t>
  </si>
  <si>
    <t>&lt;= 1000 KWh - RS</t>
  </si>
  <si>
    <t>&gt; 1000 KWh - RS</t>
  </si>
  <si>
    <t xml:space="preserve">Commercial Small </t>
  </si>
  <si>
    <t>Commercial Large</t>
  </si>
  <si>
    <t>Industrial</t>
  </si>
  <si>
    <t>Outdoor Lights</t>
  </si>
  <si>
    <t>Total Base</t>
  </si>
  <si>
    <t>Misc Rev</t>
  </si>
  <si>
    <t>Unbilled</t>
  </si>
  <si>
    <t>Other Rev</t>
  </si>
  <si>
    <t>Margin Before Abnormal Events</t>
  </si>
  <si>
    <t>Tax Reform</t>
  </si>
  <si>
    <t>Hurricane Irma &amp; Hurricane Matthew Unrecovered Expenses</t>
  </si>
  <si>
    <t>Hurricane Irma &amp; Hurricane Matthew Storm Surcharge</t>
  </si>
  <si>
    <t>Hurricane Michael Unrecovered expenses</t>
  </si>
  <si>
    <t>Total Margin:</t>
  </si>
  <si>
    <t>Commercial</t>
  </si>
  <si>
    <t>KW</t>
  </si>
  <si>
    <t>kVAR</t>
  </si>
  <si>
    <t>Tax Reform by class</t>
  </si>
  <si>
    <t>2018 Actual with reclassed tax reform</t>
  </si>
  <si>
    <t>Reclass Exp Not Rec to Normalized October</t>
  </si>
  <si>
    <t>Lost Customers excluding interest and storm surcharge 10 months</t>
  </si>
  <si>
    <t>NE Billing Adjustments not in normalized</t>
  </si>
  <si>
    <t>Conservation and Weather</t>
  </si>
  <si>
    <t>Volumetric Impact</t>
  </si>
  <si>
    <t>Adjusted Actual</t>
  </si>
  <si>
    <t>2018 with adjustments</t>
  </si>
  <si>
    <t>Difference Normalized less actual adjusted</t>
  </si>
  <si>
    <t>Difference</t>
  </si>
  <si>
    <t>Total Misc &amp; Other Rev</t>
  </si>
  <si>
    <t>Portion Due to Expenses Not Recovered thru Base Rates</t>
  </si>
  <si>
    <t>Remaining Difference</t>
  </si>
  <si>
    <t>2018 Tax Reform</t>
  </si>
  <si>
    <t xml:space="preserve">Rate Class </t>
  </si>
  <si>
    <t>% of Total Base Revenues</t>
  </si>
  <si>
    <t xml:space="preserve">Tax Reform by Class </t>
  </si>
  <si>
    <t>GSLD1 - Rock Tenn</t>
  </si>
  <si>
    <t>GSLD1 - Rayonier</t>
  </si>
  <si>
    <t>Total:</t>
  </si>
  <si>
    <t>Rate Case/Limited Proceeding</t>
  </si>
  <si>
    <t>Storm Surcharge (Hurricane Irma and Hurricane Matthew)</t>
  </si>
  <si>
    <t>Storm Hardening Step Rate</t>
  </si>
  <si>
    <t>Misc Revenue:</t>
  </si>
  <si>
    <t>Misc Rev Forfeited Disc</t>
  </si>
  <si>
    <t xml:space="preserve"> Intl est of Svc</t>
  </si>
  <si>
    <t>Re-est / Chgs to Svc</t>
  </si>
  <si>
    <t>Collection Charge</t>
  </si>
  <si>
    <t xml:space="preserve">  Allow &amp; Adj</t>
  </si>
  <si>
    <t xml:space="preserve">  Reconnect</t>
  </si>
  <si>
    <t>Rtn Check Charge</t>
  </si>
  <si>
    <t>Temp disconnect</t>
  </si>
  <si>
    <t>Hurricane Exp not Rec</t>
  </si>
  <si>
    <t>Rents</t>
  </si>
  <si>
    <t>Other Revenues</t>
  </si>
  <si>
    <t>Total Misc Revenue:</t>
  </si>
  <si>
    <t>Total Base Revenue:</t>
  </si>
  <si>
    <t>PSC Assessment</t>
  </si>
  <si>
    <t>Total Margin</t>
  </si>
  <si>
    <t>Margin NE:</t>
  </si>
  <si>
    <t>Total 2018 calculated</t>
  </si>
  <si>
    <t>Total 2018 Actual</t>
  </si>
  <si>
    <t>Diff btw 2018 calculated and actual</t>
  </si>
  <si>
    <t>GS</t>
  </si>
  <si>
    <t>GSD</t>
  </si>
  <si>
    <t>GSLD</t>
  </si>
  <si>
    <t>OL</t>
  </si>
  <si>
    <t>Misc Revenue NE:</t>
  </si>
  <si>
    <t>CC Fees</t>
  </si>
  <si>
    <t>Oct to Dec</t>
  </si>
  <si>
    <t>Booked Oct to Dec</t>
  </si>
  <si>
    <t>Diff</t>
  </si>
  <si>
    <t>Margin NW:</t>
  </si>
  <si>
    <t>Misc Revenue NW:</t>
  </si>
  <si>
    <t>KWH</t>
  </si>
  <si>
    <t xml:space="preserve">     &lt;= 1000 KWh - RS</t>
  </si>
  <si>
    <t xml:space="preserve">     &gt; 1000 KWh - RS</t>
  </si>
  <si>
    <t>Total KWH:</t>
  </si>
  <si>
    <t>Usage Per Customer</t>
  </si>
  <si>
    <t>Total Year End Amount December 2019</t>
  </si>
  <si>
    <t>Lost Customer Estimate by Month</t>
  </si>
  <si>
    <t>Lost Revenue (based on customer charge and average usage above and uncollected storm surcharge)</t>
  </si>
  <si>
    <t>20190156-EI</t>
  </si>
  <si>
    <t>AVERAGE</t>
  </si>
  <si>
    <t>Used 42% in Revenue Formula for Over 1,000 kwh usage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</si>
</sst>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0;\(#,###,##0\)"/>
    <numFmt numFmtId="168" formatCode="0.0%"/>
    <numFmt numFmtId="169" formatCode="#,##0_)"/>
  </numFmts>
  <fonts count="21" x14ac:knownFonts="1">
    <font>
      <sz val="11"/>
      <color theme="1"/>
      <name val="Calibri"/>
      <family val="2"/>
      <scheme val="minor"/>
    </font>
    <font>
      <b/>
      <sz val="10"/>
      <name val="Arial"/>
      <family val="2"/>
    </font>
    <font>
      <sz val="11"/>
      <color theme="1"/>
      <name val="Calibri"/>
      <family val="2"/>
      <scheme val="minor"/>
    </font>
    <font>
      <b/>
      <sz val="11"/>
      <color theme="1"/>
      <name val="Calibri"/>
      <family val="2"/>
      <scheme val="minor"/>
    </font>
    <font>
      <b/>
      <sz val="14"/>
      <color theme="1"/>
      <name val="Arial"/>
      <family val="2"/>
    </font>
    <font>
      <b/>
      <sz val="12"/>
      <name val="Arial"/>
      <family val="2"/>
    </font>
    <font>
      <b/>
      <sz val="12"/>
      <color theme="1"/>
      <name val="Arial"/>
      <family val="2"/>
    </font>
    <font>
      <b/>
      <i/>
      <u/>
      <sz val="11"/>
      <color theme="1"/>
      <name val="Calibri"/>
      <family val="2"/>
      <scheme val="minor"/>
    </font>
    <font>
      <sz val="10"/>
      <color indexed="0"/>
      <name val="Arial"/>
      <family val="2"/>
    </font>
    <font>
      <b/>
      <sz val="10"/>
      <color indexed="0"/>
      <name val="Arial"/>
      <family val="2"/>
    </font>
    <font>
      <sz val="11"/>
      <color theme="1"/>
      <name val="Arial"/>
      <family val="2"/>
    </font>
    <font>
      <b/>
      <sz val="11"/>
      <color theme="1"/>
      <name val="Arial"/>
      <family val="2"/>
    </font>
    <font>
      <b/>
      <sz val="11"/>
      <name val="Arial"/>
      <family val="2"/>
    </font>
    <font>
      <sz val="11"/>
      <name val="Arial"/>
      <family val="2"/>
    </font>
    <font>
      <sz val="10"/>
      <name val="Arial"/>
      <family val="2"/>
    </font>
    <font>
      <b/>
      <sz val="9"/>
      <color indexed="81"/>
      <name val="Tahoma"/>
      <family val="2"/>
    </font>
    <font>
      <sz val="9"/>
      <color indexed="81"/>
      <name val="Tahoma"/>
      <family val="2"/>
    </font>
    <font>
      <sz val="11"/>
      <name val="Calibri"/>
      <family val="2"/>
      <scheme val="minor"/>
    </font>
    <font>
      <b/>
      <sz val="11"/>
      <name val="Calibri"/>
      <family val="2"/>
      <scheme val="minor"/>
    </font>
    <font>
      <sz val="11"/>
      <color indexed="8"/>
      <name val="Calibri"/>
      <family val="2"/>
      <scheme val="minor"/>
    </font>
    <font>
      <b/>
      <sz val="12"/>
      <name val="Calibri"/>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s>
  <borders count="16">
    <border>
      <left/>
      <right/>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8"/>
      </top>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applyNumberFormat="0">
      <alignment vertical="top"/>
    </xf>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167" fontId="8" fillId="0" borderId="0"/>
    <xf numFmtId="0" fontId="14" fillId="0" borderId="0"/>
    <xf numFmtId="0" fontId="19" fillId="0" borderId="0"/>
    <xf numFmtId="44" fontId="14" fillId="0" borderId="0" applyFont="0" applyFill="0" applyBorder="0" applyAlignment="0" applyProtection="0"/>
    <xf numFmtId="43" fontId="2" fillId="0" borderId="0" applyFont="0" applyFill="0" applyBorder="0" applyAlignment="0" applyProtection="0"/>
  </cellStyleXfs>
  <cellXfs count="225">
    <xf numFmtId="0" fontId="0" fillId="0" borderId="0" xfId="0"/>
    <xf numFmtId="164" fontId="0" fillId="0" borderId="0" xfId="0" applyNumberFormat="1" applyFont="1" applyAlignment="1" applyProtection="1">
      <alignment horizontal="right" vertical="top"/>
    </xf>
    <xf numFmtId="0" fontId="0" fillId="0" borderId="0" xfId="0" applyFont="1" applyAlignment="1" applyProtection="1">
      <alignment horizontal="left" vertical="top"/>
    </xf>
    <xf numFmtId="0" fontId="0" fillId="0" borderId="0" xfId="0" applyFont="1" applyFill="1" applyAlignment="1" applyProtection="1">
      <alignment vertical="top"/>
    </xf>
    <xf numFmtId="0" fontId="0" fillId="0" borderId="0" xfId="0" applyFont="1" applyAlignment="1" applyProtection="1">
      <alignment vertical="top"/>
    </xf>
    <xf numFmtId="0" fontId="0" fillId="0" borderId="0" xfId="0" applyFont="1" applyFill="1" applyAlignment="1" applyProtection="1">
      <alignment horizontal="left" vertical="top"/>
    </xf>
    <xf numFmtId="1" fontId="0" fillId="0" borderId="0" xfId="0" applyNumberFormat="1" applyFill="1"/>
    <xf numFmtId="14" fontId="0" fillId="0" borderId="0" xfId="0" applyNumberFormat="1"/>
    <xf numFmtId="0" fontId="0" fillId="0" borderId="0" xfId="0" applyAlignment="1"/>
    <xf numFmtId="0" fontId="0" fillId="0" borderId="0" xfId="0" applyAlignment="1">
      <alignment horizontal="left"/>
    </xf>
    <xf numFmtId="164" fontId="0" fillId="0" borderId="0" xfId="0" applyNumberFormat="1" applyFont="1" applyAlignment="1" applyProtection="1">
      <alignment horizontal="left" vertical="top"/>
    </xf>
    <xf numFmtId="164" fontId="0" fillId="0" borderId="0" xfId="0" applyNumberFormat="1" applyFont="1" applyFill="1" applyAlignment="1" applyProtection="1">
      <alignment horizontal="left" vertical="top"/>
    </xf>
    <xf numFmtId="0" fontId="0" fillId="0" borderId="0" xfId="0" applyFont="1" applyAlignment="1" applyProtection="1">
      <alignment horizontal="right" vertical="top"/>
    </xf>
    <xf numFmtId="0" fontId="1" fillId="0" borderId="0" xfId="1" applyFont="1" applyAlignment="1" applyProtection="1">
      <alignment horizontal="center" vertical="top"/>
    </xf>
    <xf numFmtId="0" fontId="1" fillId="0" borderId="0" xfId="1" applyFont="1" applyFill="1" applyAlignment="1" applyProtection="1">
      <alignment horizontal="center" vertical="top"/>
    </xf>
    <xf numFmtId="0" fontId="0" fillId="0" borderId="0" xfId="0" pivotButton="1"/>
    <xf numFmtId="0" fontId="0" fillId="0" borderId="0" xfId="0" applyNumberFormat="1"/>
    <xf numFmtId="0" fontId="0" fillId="0" borderId="1" xfId="0" applyBorder="1"/>
    <xf numFmtId="0" fontId="0" fillId="0" borderId="1" xfId="0" applyNumberFormat="1" applyBorder="1"/>
    <xf numFmtId="165" fontId="0" fillId="0" borderId="0" xfId="3" applyNumberFormat="1" applyFont="1"/>
    <xf numFmtId="165" fontId="0" fillId="0" borderId="0" xfId="0" applyNumberFormat="1"/>
    <xf numFmtId="165" fontId="0" fillId="0" borderId="1" xfId="0" applyNumberFormat="1" applyBorder="1"/>
    <xf numFmtId="0" fontId="3" fillId="0" borderId="0" xfId="0" applyFont="1" applyAlignment="1">
      <alignment horizontal="center"/>
    </xf>
    <xf numFmtId="0" fontId="0" fillId="0" borderId="0" xfId="0" applyBorder="1"/>
    <xf numFmtId="0" fontId="4" fillId="0" borderId="0" xfId="0" applyFont="1"/>
    <xf numFmtId="0" fontId="5" fillId="0" borderId="0" xfId="0" applyNumberFormat="1" applyFont="1" applyAlignment="1"/>
    <xf numFmtId="0" fontId="6" fillId="0" borderId="0" xfId="0" applyFont="1" applyBorder="1"/>
    <xf numFmtId="0" fontId="3" fillId="0" borderId="0" xfId="0" applyFont="1" applyAlignment="1">
      <alignment horizontal="center" wrapText="1"/>
    </xf>
    <xf numFmtId="166" fontId="0" fillId="0" borderId="0" xfId="2" applyNumberFormat="1" applyFont="1"/>
    <xf numFmtId="166" fontId="0" fillId="0" borderId="0" xfId="0" applyNumberFormat="1"/>
    <xf numFmtId="43" fontId="0" fillId="0" borderId="0" xfId="0" applyNumberFormat="1"/>
    <xf numFmtId="0" fontId="3" fillId="0" borderId="2" xfId="0" applyFont="1" applyBorder="1"/>
    <xf numFmtId="165" fontId="3" fillId="0" borderId="2" xfId="3" applyNumberFormat="1" applyFont="1" applyBorder="1"/>
    <xf numFmtId="0" fontId="0" fillId="0" borderId="0" xfId="0" applyFill="1"/>
    <xf numFmtId="165" fontId="3" fillId="0" borderId="1" xfId="0" applyNumberFormat="1" applyFont="1" applyBorder="1"/>
    <xf numFmtId="165" fontId="3" fillId="0" borderId="0" xfId="0" applyNumberFormat="1" applyFont="1" applyBorder="1"/>
    <xf numFmtId="165" fontId="3" fillId="0" borderId="0" xfId="0" applyNumberFormat="1" applyFont="1"/>
    <xf numFmtId="0" fontId="7" fillId="0" borderId="3" xfId="0" applyFont="1" applyBorder="1"/>
    <xf numFmtId="0" fontId="0" fillId="0" borderId="4" xfId="0" applyBorder="1"/>
    <xf numFmtId="0" fontId="0" fillId="0" borderId="5" xfId="0" applyBorder="1"/>
    <xf numFmtId="0" fontId="3" fillId="0" borderId="6" xfId="0" applyFont="1" applyBorder="1" applyAlignment="1">
      <alignment horizontal="center"/>
    </xf>
    <xf numFmtId="0" fontId="3" fillId="0" borderId="0" xfId="0" applyFont="1" applyBorder="1" applyAlignment="1">
      <alignment horizontal="center"/>
    </xf>
    <xf numFmtId="49" fontId="9" fillId="0" borderId="0" xfId="5" applyNumberFormat="1" applyFont="1" applyFill="1" applyBorder="1" applyAlignment="1">
      <alignment horizontal="center"/>
    </xf>
    <xf numFmtId="49" fontId="9" fillId="0" borderId="7" xfId="5" applyNumberFormat="1" applyFont="1" applyFill="1" applyBorder="1" applyAlignment="1">
      <alignment horizontal="center"/>
    </xf>
    <xf numFmtId="0" fontId="3" fillId="0" borderId="0" xfId="0" applyFont="1" applyFill="1" applyBorder="1" applyAlignment="1">
      <alignment horizontal="center"/>
    </xf>
    <xf numFmtId="0" fontId="3" fillId="0" borderId="7" xfId="0" applyFont="1" applyFill="1" applyBorder="1" applyAlignment="1">
      <alignment horizontal="center"/>
    </xf>
    <xf numFmtId="0" fontId="0" fillId="0" borderId="6" xfId="0" applyBorder="1"/>
    <xf numFmtId="165" fontId="0" fillId="0" borderId="0" xfId="3" applyNumberFormat="1" applyFont="1" applyBorder="1"/>
    <xf numFmtId="165" fontId="0" fillId="0" borderId="7" xfId="3" applyNumberFormat="1" applyFont="1" applyBorder="1"/>
    <xf numFmtId="165" fontId="0" fillId="0" borderId="2" xfId="0" applyNumberFormat="1" applyBorder="1"/>
    <xf numFmtId="165" fontId="0" fillId="0" borderId="8" xfId="0" applyNumberFormat="1" applyBorder="1"/>
    <xf numFmtId="0" fontId="0" fillId="0" borderId="7" xfId="0" applyBorder="1"/>
    <xf numFmtId="0" fontId="0" fillId="0" borderId="6" xfId="0" applyFill="1" applyBorder="1" applyAlignment="1">
      <alignment horizontal="left"/>
    </xf>
    <xf numFmtId="0" fontId="0" fillId="0" borderId="0" xfId="0" applyFill="1" applyBorder="1" applyAlignment="1">
      <alignment horizontal="left"/>
    </xf>
    <xf numFmtId="165" fontId="0" fillId="0" borderId="0" xfId="0" applyNumberFormat="1" applyFill="1" applyBorder="1"/>
    <xf numFmtId="165" fontId="0" fillId="0" borderId="7" xfId="0" applyNumberFormat="1" applyFill="1" applyBorder="1"/>
    <xf numFmtId="0" fontId="0" fillId="0" borderId="6" xfId="0" applyFill="1" applyBorder="1"/>
    <xf numFmtId="9" fontId="0" fillId="0" borderId="0" xfId="4" applyFont="1" applyFill="1" applyBorder="1"/>
    <xf numFmtId="165" fontId="0" fillId="0" borderId="0" xfId="3" applyNumberFormat="1" applyFont="1" applyFill="1" applyBorder="1"/>
    <xf numFmtId="165" fontId="0" fillId="0" borderId="7" xfId="3" applyNumberFormat="1" applyFont="1" applyFill="1" applyBorder="1"/>
    <xf numFmtId="0" fontId="0" fillId="0" borderId="9" xfId="0" applyFill="1" applyBorder="1"/>
    <xf numFmtId="0" fontId="0" fillId="0" borderId="10" xfId="0" applyFill="1" applyBorder="1"/>
    <xf numFmtId="165" fontId="0" fillId="0" borderId="10" xfId="0" applyNumberFormat="1" applyFill="1" applyBorder="1"/>
    <xf numFmtId="165" fontId="0" fillId="0" borderId="11" xfId="0" applyNumberFormat="1" applyFill="1" applyBorder="1"/>
    <xf numFmtId="165" fontId="3" fillId="0" borderId="0" xfId="3" applyNumberFormat="1" applyFont="1"/>
    <xf numFmtId="44" fontId="0" fillId="0" borderId="0" xfId="0" applyNumberFormat="1"/>
    <xf numFmtId="165" fontId="0" fillId="0" borderId="0" xfId="0" applyNumberFormat="1" applyBorder="1"/>
    <xf numFmtId="165" fontId="0" fillId="0" borderId="1" xfId="3" applyNumberFormat="1" applyFont="1" applyBorder="1"/>
    <xf numFmtId="0" fontId="0" fillId="0" borderId="0" xfId="0" applyAlignment="1">
      <alignment horizontal="right"/>
    </xf>
    <xf numFmtId="0" fontId="3" fillId="0" borderId="0" xfId="0" applyFont="1" applyAlignment="1">
      <alignment horizontal="left" vertical="top" wrapText="1"/>
    </xf>
    <xf numFmtId="44" fontId="0" fillId="0" borderId="0" xfId="3" applyNumberFormat="1" applyFont="1" applyBorder="1"/>
    <xf numFmtId="0" fontId="10" fillId="2" borderId="0" xfId="0" applyFont="1" applyFill="1"/>
    <xf numFmtId="0" fontId="11" fillId="2" borderId="12" xfId="0" applyFont="1" applyFill="1" applyBorder="1" applyAlignment="1">
      <alignment horizontal="center"/>
    </xf>
    <xf numFmtId="0" fontId="12" fillId="2" borderId="12" xfId="0" applyFont="1" applyFill="1" applyBorder="1" applyAlignment="1">
      <alignment horizontal="center"/>
    </xf>
    <xf numFmtId="0" fontId="11" fillId="2" borderId="12" xfId="0" applyFont="1" applyFill="1" applyBorder="1" applyAlignment="1">
      <alignment horizontal="center" wrapText="1"/>
    </xf>
    <xf numFmtId="0" fontId="11" fillId="2" borderId="0" xfId="0" applyFont="1" applyFill="1"/>
    <xf numFmtId="165" fontId="11" fillId="2" borderId="0" xfId="3" applyNumberFormat="1" applyFont="1" applyFill="1" applyBorder="1"/>
    <xf numFmtId="165" fontId="12" fillId="2" borderId="0" xfId="3" applyNumberFormat="1" applyFont="1" applyFill="1" applyBorder="1"/>
    <xf numFmtId="165" fontId="10" fillId="2" borderId="0" xfId="3" applyNumberFormat="1" applyFont="1" applyFill="1"/>
    <xf numFmtId="166" fontId="10" fillId="2" borderId="0" xfId="2" applyNumberFormat="1" applyFont="1" applyFill="1"/>
    <xf numFmtId="165" fontId="13" fillId="2" borderId="0" xfId="3" applyNumberFormat="1" applyFont="1" applyFill="1"/>
    <xf numFmtId="166" fontId="13" fillId="2" borderId="2" xfId="2" applyNumberFormat="1" applyFont="1" applyFill="1" applyBorder="1"/>
    <xf numFmtId="166" fontId="10" fillId="2" borderId="2" xfId="2" applyNumberFormat="1" applyFont="1" applyFill="1" applyBorder="1"/>
    <xf numFmtId="166" fontId="13" fillId="2" borderId="12" xfId="2" applyNumberFormat="1" applyFont="1" applyFill="1" applyBorder="1"/>
    <xf numFmtId="166" fontId="10" fillId="2" borderId="12" xfId="2" applyNumberFormat="1" applyFont="1" applyFill="1" applyBorder="1"/>
    <xf numFmtId="166" fontId="13" fillId="2" borderId="0" xfId="2" applyNumberFormat="1" applyFont="1" applyFill="1"/>
    <xf numFmtId="0" fontId="10" fillId="2" borderId="0" xfId="0" applyFont="1" applyFill="1" applyAlignment="1">
      <alignment horizontal="left" indent="1"/>
    </xf>
    <xf numFmtId="166" fontId="10" fillId="2" borderId="0" xfId="2" applyNumberFormat="1" applyFont="1" applyFill="1" applyBorder="1"/>
    <xf numFmtId="0" fontId="10" fillId="2" borderId="0" xfId="0" applyFont="1" applyFill="1" applyAlignment="1">
      <alignment horizontal="left" indent="2"/>
    </xf>
    <xf numFmtId="166" fontId="13" fillId="2" borderId="0" xfId="2" applyNumberFormat="1" applyFont="1" applyFill="1" applyBorder="1"/>
    <xf numFmtId="0" fontId="10" fillId="2" borderId="0" xfId="0" applyFont="1" applyFill="1" applyAlignment="1">
      <alignment horizontal="left" indent="3"/>
    </xf>
    <xf numFmtId="165" fontId="10" fillId="2" borderId="13" xfId="2" applyNumberFormat="1" applyFont="1" applyFill="1" applyBorder="1"/>
    <xf numFmtId="165" fontId="10" fillId="2" borderId="0" xfId="2" applyNumberFormat="1" applyFont="1" applyFill="1" applyBorder="1"/>
    <xf numFmtId="0" fontId="13" fillId="2" borderId="0" xfId="0" applyFont="1" applyFill="1"/>
    <xf numFmtId="0" fontId="12" fillId="2" borderId="12" xfId="0" applyFont="1" applyFill="1" applyBorder="1" applyAlignment="1">
      <alignment horizontal="center" wrapText="1"/>
    </xf>
    <xf numFmtId="165" fontId="10" fillId="0" borderId="0" xfId="3" applyNumberFormat="1" applyFont="1" applyFill="1"/>
    <xf numFmtId="10" fontId="0" fillId="0" borderId="0" xfId="4" applyNumberFormat="1" applyFont="1"/>
    <xf numFmtId="44" fontId="0" fillId="0" borderId="0" xfId="3" applyFont="1" applyFill="1" applyBorder="1"/>
    <xf numFmtId="44" fontId="0" fillId="0" borderId="0" xfId="0" applyNumberFormat="1" applyFill="1" applyBorder="1"/>
    <xf numFmtId="44" fontId="0" fillId="0" borderId="12" xfId="0" applyNumberFormat="1" applyBorder="1"/>
    <xf numFmtId="44" fontId="0" fillId="0" borderId="0" xfId="0" applyNumberFormat="1" applyBorder="1"/>
    <xf numFmtId="9" fontId="0" fillId="0" borderId="0" xfId="4" applyFont="1"/>
    <xf numFmtId="0" fontId="17" fillId="2" borderId="0" xfId="0" applyFont="1" applyFill="1"/>
    <xf numFmtId="0" fontId="17" fillId="3" borderId="0" xfId="0" applyFont="1" applyFill="1"/>
    <xf numFmtId="0" fontId="17" fillId="4" borderId="0" xfId="0" applyFont="1" applyFill="1"/>
    <xf numFmtId="0" fontId="17" fillId="2" borderId="0" xfId="0" applyFont="1" applyFill="1" applyBorder="1"/>
    <xf numFmtId="37" fontId="18" fillId="0" borderId="0" xfId="2" applyNumberFormat="1" applyFont="1" applyFill="1" applyBorder="1"/>
    <xf numFmtId="165" fontId="17" fillId="0" borderId="0" xfId="3" applyNumberFormat="1" applyFont="1" applyFill="1" applyBorder="1"/>
    <xf numFmtId="166" fontId="17" fillId="0" borderId="0" xfId="2" applyNumberFormat="1" applyFont="1" applyFill="1" applyBorder="1"/>
    <xf numFmtId="166" fontId="17" fillId="2" borderId="0" xfId="2" applyNumberFormat="1" applyFont="1" applyFill="1" applyBorder="1"/>
    <xf numFmtId="165" fontId="17" fillId="3" borderId="0" xfId="3" applyNumberFormat="1" applyFont="1" applyFill="1" applyBorder="1"/>
    <xf numFmtId="165" fontId="17" fillId="4" borderId="0" xfId="3" applyNumberFormat="1" applyFont="1" applyFill="1" applyBorder="1"/>
    <xf numFmtId="0" fontId="17" fillId="0" borderId="0" xfId="0" applyFont="1" applyFill="1" applyBorder="1"/>
    <xf numFmtId="43" fontId="18" fillId="0" borderId="0" xfId="2" applyFont="1" applyFill="1" applyBorder="1" applyAlignment="1">
      <alignment horizontal="left" indent="1"/>
    </xf>
    <xf numFmtId="43" fontId="17" fillId="0" borderId="0" xfId="2" applyFont="1" applyFill="1" applyBorder="1" applyAlignment="1">
      <alignment horizontal="left" indent="2"/>
    </xf>
    <xf numFmtId="165" fontId="17" fillId="5" borderId="0" xfId="3" applyNumberFormat="1" applyFont="1" applyFill="1" applyBorder="1"/>
    <xf numFmtId="166" fontId="17" fillId="3" borderId="0" xfId="2" applyNumberFormat="1" applyFont="1" applyFill="1" applyBorder="1"/>
    <xf numFmtId="43" fontId="17" fillId="0" borderId="0" xfId="2" applyFont="1" applyFill="1" applyBorder="1" applyAlignment="1">
      <alignment horizontal="left" indent="3"/>
    </xf>
    <xf numFmtId="166" fontId="17" fillId="0" borderId="0" xfId="2" quotePrefix="1" applyNumberFormat="1" applyFont="1" applyFill="1" applyBorder="1"/>
    <xf numFmtId="166" fontId="17" fillId="3" borderId="0" xfId="2" quotePrefix="1" applyNumberFormat="1" applyFont="1" applyFill="1" applyBorder="1"/>
    <xf numFmtId="43" fontId="17" fillId="0" borderId="0" xfId="2" applyFont="1" applyFill="1" applyBorder="1" applyAlignment="1">
      <alignment horizontal="left"/>
    </xf>
    <xf numFmtId="37" fontId="18" fillId="0" borderId="0" xfId="2" applyNumberFormat="1" applyFont="1" applyFill="1" applyBorder="1" applyAlignment="1">
      <alignment horizontal="left" indent="2"/>
    </xf>
    <xf numFmtId="165" fontId="18" fillId="5" borderId="2" xfId="3" applyNumberFormat="1" applyFont="1" applyFill="1" applyBorder="1"/>
    <xf numFmtId="165" fontId="18" fillId="0" borderId="2" xfId="3" applyNumberFormat="1" applyFont="1" applyFill="1" applyBorder="1"/>
    <xf numFmtId="166" fontId="18" fillId="0" borderId="2" xfId="2" applyNumberFormat="1" applyFont="1" applyFill="1" applyBorder="1"/>
    <xf numFmtId="166" fontId="18" fillId="3" borderId="2" xfId="2" applyNumberFormat="1" applyFont="1" applyFill="1" applyBorder="1"/>
    <xf numFmtId="165" fontId="18" fillId="4" borderId="2" xfId="3" applyNumberFormat="1" applyFont="1" applyFill="1" applyBorder="1"/>
    <xf numFmtId="0" fontId="18" fillId="0" borderId="0" xfId="0" applyFont="1" applyFill="1" applyBorder="1"/>
    <xf numFmtId="37" fontId="17" fillId="0" borderId="0" xfId="2" applyNumberFormat="1" applyFont="1" applyFill="1" applyBorder="1" applyAlignment="1">
      <alignment horizontal="left" indent="2"/>
    </xf>
    <xf numFmtId="166" fontId="17" fillId="4" borderId="0" xfId="2" applyNumberFormat="1" applyFont="1" applyFill="1" applyBorder="1"/>
    <xf numFmtId="0" fontId="17" fillId="0" borderId="0" xfId="6" applyFont="1" applyFill="1" applyBorder="1" applyAlignment="1">
      <alignment horizontal="left" indent="2"/>
    </xf>
    <xf numFmtId="166" fontId="17" fillId="0" borderId="0" xfId="2" applyNumberFormat="1" applyFont="1" applyFill="1" applyBorder="1" applyProtection="1">
      <protection locked="0"/>
    </xf>
    <xf numFmtId="166" fontId="17" fillId="3" borderId="0" xfId="2" applyNumberFormat="1" applyFont="1" applyFill="1" applyBorder="1" applyProtection="1">
      <protection locked="0"/>
    </xf>
    <xf numFmtId="165" fontId="17" fillId="4" borderId="0" xfId="3" applyNumberFormat="1" applyFont="1" applyFill="1" applyBorder="1" applyProtection="1">
      <protection locked="0"/>
    </xf>
    <xf numFmtId="165" fontId="17" fillId="0" borderId="0" xfId="3" applyNumberFormat="1" applyFont="1" applyFill="1" applyBorder="1" applyProtection="1">
      <protection locked="0"/>
    </xf>
    <xf numFmtId="165" fontId="17" fillId="0" borderId="0" xfId="3" quotePrefix="1" applyNumberFormat="1" applyFont="1" applyFill="1" applyBorder="1"/>
    <xf numFmtId="165" fontId="18" fillId="0" borderId="0" xfId="3" applyNumberFormat="1" applyFont="1" applyFill="1" applyBorder="1"/>
    <xf numFmtId="166" fontId="18" fillId="0" borderId="0" xfId="2" applyNumberFormat="1" applyFont="1" applyFill="1" applyBorder="1"/>
    <xf numFmtId="166" fontId="18" fillId="3" borderId="0" xfId="2" applyNumberFormat="1" applyFont="1" applyFill="1" applyBorder="1"/>
    <xf numFmtId="165" fontId="18" fillId="4" borderId="0" xfId="3" applyNumberFormat="1" applyFont="1" applyFill="1" applyBorder="1"/>
    <xf numFmtId="165" fontId="18" fillId="6" borderId="0" xfId="3" applyNumberFormat="1" applyFont="1" applyFill="1" applyBorder="1"/>
    <xf numFmtId="166" fontId="18" fillId="6" borderId="0" xfId="2" applyNumberFormat="1" applyFont="1" applyFill="1" applyBorder="1"/>
    <xf numFmtId="169" fontId="20" fillId="0" borderId="14" xfId="7" applyNumberFormat="1" applyFont="1" applyBorder="1" applyAlignment="1">
      <alignment horizontal="right"/>
    </xf>
    <xf numFmtId="169" fontId="20" fillId="0" borderId="14" xfId="7" applyNumberFormat="1" applyFont="1" applyFill="1" applyBorder="1" applyAlignment="1">
      <alignment horizontal="right"/>
    </xf>
    <xf numFmtId="169" fontId="20" fillId="3" borderId="14" xfId="7" applyNumberFormat="1" applyFont="1" applyFill="1" applyBorder="1" applyAlignment="1">
      <alignment horizontal="right"/>
    </xf>
    <xf numFmtId="169" fontId="20" fillId="4" borderId="0" xfId="7" applyNumberFormat="1" applyFont="1" applyFill="1" applyAlignment="1">
      <alignment horizontal="right"/>
    </xf>
    <xf numFmtId="169" fontId="20" fillId="0" borderId="0" xfId="7" applyNumberFormat="1" applyFont="1" applyAlignment="1">
      <alignment horizontal="right"/>
    </xf>
    <xf numFmtId="165" fontId="18" fillId="3" borderId="0" xfId="3" applyNumberFormat="1" applyFont="1" applyFill="1" applyBorder="1"/>
    <xf numFmtId="169" fontId="17" fillId="0" borderId="0" xfId="0" applyNumberFormat="1" applyFont="1" applyFill="1" applyBorder="1"/>
    <xf numFmtId="165" fontId="17" fillId="0" borderId="0" xfId="0" applyNumberFormat="1" applyFont="1" applyFill="1" applyBorder="1"/>
    <xf numFmtId="44" fontId="17" fillId="0" borderId="0" xfId="3" applyNumberFormat="1" applyFont="1" applyFill="1" applyBorder="1"/>
    <xf numFmtId="44" fontId="17" fillId="3" borderId="0" xfId="3" applyNumberFormat="1" applyFont="1" applyFill="1" applyBorder="1"/>
    <xf numFmtId="44" fontId="17" fillId="4" borderId="0" xfId="3" applyNumberFormat="1" applyFont="1" applyFill="1" applyBorder="1"/>
    <xf numFmtId="166" fontId="17" fillId="7" borderId="0" xfId="2" applyNumberFormat="1" applyFont="1" applyFill="1" applyBorder="1"/>
    <xf numFmtId="44" fontId="18" fillId="0" borderId="0" xfId="3" applyNumberFormat="1" applyFont="1" applyFill="1" applyBorder="1"/>
    <xf numFmtId="166" fontId="17" fillId="0" borderId="0" xfId="2" applyNumberFormat="1" applyFont="1" applyFill="1" applyBorder="1" applyAlignment="1">
      <alignment horizontal="left" indent="2"/>
    </xf>
    <xf numFmtId="166" fontId="17" fillId="0" borderId="0" xfId="6" applyNumberFormat="1" applyFont="1" applyFill="1" applyBorder="1" applyAlignment="1">
      <alignment horizontal="left" indent="2"/>
    </xf>
    <xf numFmtId="166" fontId="17" fillId="7" borderId="0" xfId="2" applyNumberFormat="1" applyFont="1" applyFill="1" applyBorder="1" applyAlignment="1">
      <alignment horizontal="left" indent="2"/>
    </xf>
    <xf numFmtId="166" fontId="18" fillId="0" borderId="0" xfId="2" applyNumberFormat="1" applyFont="1" applyFill="1" applyBorder="1" applyAlignment="1">
      <alignment horizontal="left" indent="1"/>
    </xf>
    <xf numFmtId="166" fontId="18" fillId="3" borderId="0" xfId="2" applyNumberFormat="1" applyFont="1" applyFill="1" applyBorder="1" applyAlignment="1">
      <alignment horizontal="left" indent="1"/>
    </xf>
    <xf numFmtId="166" fontId="18" fillId="4" borderId="0" xfId="2" applyNumberFormat="1" applyFont="1" applyFill="1" applyBorder="1" applyAlignment="1">
      <alignment horizontal="left" indent="1"/>
    </xf>
    <xf numFmtId="165" fontId="17" fillId="5" borderId="0" xfId="3" quotePrefix="1" applyNumberFormat="1" applyFont="1" applyFill="1" applyBorder="1"/>
    <xf numFmtId="166" fontId="17" fillId="4" borderId="0" xfId="2" quotePrefix="1" applyNumberFormat="1" applyFont="1" applyFill="1" applyBorder="1"/>
    <xf numFmtId="166" fontId="17" fillId="5" borderId="0" xfId="2" applyNumberFormat="1" applyFont="1" applyFill="1" applyBorder="1"/>
    <xf numFmtId="166" fontId="17" fillId="5" borderId="0" xfId="2" quotePrefix="1" applyNumberFormat="1" applyFont="1" applyFill="1" applyBorder="1"/>
    <xf numFmtId="165" fontId="17" fillId="4" borderId="0" xfId="3" quotePrefix="1" applyNumberFormat="1" applyFont="1" applyFill="1" applyBorder="1"/>
    <xf numFmtId="165" fontId="17" fillId="8" borderId="0" xfId="3" quotePrefix="1" applyNumberFormat="1" applyFont="1" applyFill="1" applyBorder="1"/>
    <xf numFmtId="165" fontId="17" fillId="7" borderId="0" xfId="3" applyNumberFormat="1" applyFont="1" applyFill="1" applyBorder="1"/>
    <xf numFmtId="37" fontId="17" fillId="0" borderId="0" xfId="2" applyNumberFormat="1" applyFont="1" applyFill="1" applyBorder="1" applyAlignment="1">
      <alignment horizontal="left" indent="3"/>
    </xf>
    <xf numFmtId="37" fontId="18" fillId="0" borderId="0" xfId="2" applyNumberFormat="1" applyFont="1" applyFill="1" applyBorder="1" applyAlignment="1">
      <alignment horizontal="right"/>
    </xf>
    <xf numFmtId="165" fontId="18" fillId="0" borderId="0" xfId="8" applyNumberFormat="1" applyFont="1" applyFill="1" applyBorder="1"/>
    <xf numFmtId="165" fontId="18" fillId="3" borderId="0" xfId="8" applyNumberFormat="1" applyFont="1" applyFill="1" applyBorder="1"/>
    <xf numFmtId="165" fontId="18" fillId="4" borderId="0" xfId="8" applyNumberFormat="1" applyFont="1" applyFill="1" applyBorder="1"/>
    <xf numFmtId="0" fontId="18" fillId="0" borderId="0" xfId="6" applyFont="1" applyFill="1" applyBorder="1" applyAlignment="1">
      <alignment horizontal="right"/>
    </xf>
    <xf numFmtId="0" fontId="18" fillId="0" borderId="0" xfId="6" applyFont="1" applyFill="1" applyBorder="1" applyAlignment="1"/>
    <xf numFmtId="0" fontId="17" fillId="0" borderId="0" xfId="6" applyFont="1" applyFill="1" applyBorder="1"/>
    <xf numFmtId="0" fontId="17" fillId="3" borderId="0" xfId="6" applyFont="1" applyFill="1" applyBorder="1"/>
    <xf numFmtId="0" fontId="17" fillId="4" borderId="0" xfId="6" applyFont="1" applyFill="1" applyBorder="1"/>
    <xf numFmtId="165" fontId="18" fillId="0" borderId="0" xfId="6" applyNumberFormat="1" applyFont="1" applyFill="1" applyBorder="1"/>
    <xf numFmtId="165" fontId="18" fillId="3" borderId="0" xfId="6" applyNumberFormat="1" applyFont="1" applyFill="1" applyBorder="1"/>
    <xf numFmtId="165" fontId="18" fillId="4" borderId="0" xfId="6" applyNumberFormat="1" applyFont="1" applyFill="1" applyBorder="1"/>
    <xf numFmtId="0" fontId="17" fillId="0" borderId="0" xfId="0" applyFont="1"/>
    <xf numFmtId="165" fontId="17" fillId="0" borderId="0" xfId="3" applyNumberFormat="1" applyFont="1"/>
    <xf numFmtId="165" fontId="17" fillId="0" borderId="0" xfId="3" applyNumberFormat="1" applyFont="1" applyFill="1"/>
    <xf numFmtId="0" fontId="17" fillId="0" borderId="0" xfId="0" applyFont="1" applyFill="1"/>
    <xf numFmtId="165" fontId="17" fillId="3" borderId="0" xfId="3" applyNumberFormat="1" applyFont="1" applyFill="1"/>
    <xf numFmtId="165" fontId="17" fillId="4" borderId="0" xfId="3" applyNumberFormat="1" applyFont="1" applyFill="1"/>
    <xf numFmtId="0" fontId="17" fillId="0" borderId="0" xfId="0" applyFont="1" applyBorder="1"/>
    <xf numFmtId="37" fontId="17" fillId="0" borderId="0" xfId="2" applyNumberFormat="1" applyFont="1" applyFill="1" applyBorder="1" applyAlignment="1">
      <alignment horizontal="right"/>
    </xf>
    <xf numFmtId="43" fontId="18" fillId="0" borderId="0" xfId="2" applyFont="1" applyFill="1" applyBorder="1" applyAlignment="1">
      <alignment horizontal="left"/>
    </xf>
    <xf numFmtId="0" fontId="4" fillId="0" borderId="0" xfId="0" applyFont="1" applyFill="1"/>
    <xf numFmtId="0" fontId="5" fillId="0" borderId="0" xfId="0" applyNumberFormat="1" applyFont="1" applyFill="1" applyAlignment="1"/>
    <xf numFmtId="0" fontId="6" fillId="0" borderId="0" xfId="0" applyFont="1" applyFill="1" applyBorder="1"/>
    <xf numFmtId="0" fontId="3" fillId="0" borderId="0" xfId="0" applyFont="1" applyFill="1" applyAlignment="1">
      <alignment horizontal="center" wrapText="1"/>
    </xf>
    <xf numFmtId="0" fontId="3" fillId="0" borderId="0" xfId="0" applyFont="1" applyFill="1" applyBorder="1" applyAlignment="1">
      <alignment horizontal="center" wrapText="1"/>
    </xf>
    <xf numFmtId="166" fontId="0" fillId="0" borderId="0" xfId="2" applyNumberFormat="1" applyFont="1" applyFill="1"/>
    <xf numFmtId="166" fontId="0" fillId="0" borderId="0" xfId="0" applyNumberFormat="1" applyFill="1"/>
    <xf numFmtId="43" fontId="0" fillId="0" borderId="0" xfId="0" applyNumberFormat="1" applyFill="1"/>
    <xf numFmtId="165" fontId="3" fillId="0" borderId="0" xfId="3" applyNumberFormat="1" applyFont="1" applyFill="1" applyBorder="1"/>
    <xf numFmtId="165" fontId="3" fillId="0" borderId="0" xfId="0" applyNumberFormat="1" applyFont="1" applyFill="1"/>
    <xf numFmtId="165" fontId="0" fillId="0" borderId="0" xfId="0" applyNumberFormat="1" applyFill="1"/>
    <xf numFmtId="0" fontId="7" fillId="0" borderId="3" xfId="0" applyFont="1" applyFill="1" applyBorder="1"/>
    <xf numFmtId="0" fontId="0" fillId="0" borderId="4" xfId="0" applyFill="1" applyBorder="1"/>
    <xf numFmtId="0" fontId="7" fillId="0" borderId="6" xfId="0" applyFont="1" applyFill="1" applyBorder="1"/>
    <xf numFmtId="0" fontId="0" fillId="0" borderId="0" xfId="0" applyFill="1" applyBorder="1"/>
    <xf numFmtId="0" fontId="0" fillId="0" borderId="1" xfId="0" applyFill="1" applyBorder="1"/>
    <xf numFmtId="0" fontId="3" fillId="0" borderId="6" xfId="0" applyFont="1" applyFill="1" applyBorder="1" applyAlignment="1">
      <alignment horizontal="center"/>
    </xf>
    <xf numFmtId="0" fontId="0" fillId="0" borderId="6" xfId="0" applyFill="1" applyBorder="1" applyAlignment="1">
      <alignment wrapText="1"/>
    </xf>
    <xf numFmtId="0" fontId="0" fillId="0" borderId="0" xfId="0" applyFill="1" applyBorder="1" applyAlignment="1">
      <alignment wrapText="1"/>
    </xf>
    <xf numFmtId="165" fontId="0" fillId="0" borderId="0" xfId="3" applyNumberFormat="1" applyFont="1" applyFill="1" applyBorder="1" applyAlignment="1">
      <alignment wrapText="1"/>
    </xf>
    <xf numFmtId="165" fontId="0" fillId="0" borderId="1" xfId="0" applyNumberFormat="1" applyFill="1" applyBorder="1"/>
    <xf numFmtId="165" fontId="0" fillId="0" borderId="2" xfId="0" applyNumberFormat="1" applyFill="1" applyBorder="1"/>
    <xf numFmtId="165" fontId="0" fillId="0" borderId="8" xfId="0" applyNumberFormat="1" applyFill="1" applyBorder="1"/>
    <xf numFmtId="0" fontId="0" fillId="0" borderId="7" xfId="0" applyFill="1" applyBorder="1"/>
    <xf numFmtId="0" fontId="3" fillId="0" borderId="0" xfId="0" applyFont="1" applyFill="1" applyAlignment="1">
      <alignment horizontal="left" vertical="top" wrapText="1"/>
    </xf>
    <xf numFmtId="165" fontId="3" fillId="0" borderId="0" xfId="3" applyNumberFormat="1" applyFont="1" applyFill="1"/>
    <xf numFmtId="165" fontId="0" fillId="0" borderId="0" xfId="3" applyNumberFormat="1" applyFont="1" applyFill="1"/>
    <xf numFmtId="0" fontId="17" fillId="2" borderId="15" xfId="0" applyFont="1" applyFill="1" applyBorder="1" applyAlignment="1">
      <alignment horizontal="center"/>
    </xf>
    <xf numFmtId="0" fontId="0" fillId="0" borderId="15" xfId="0" applyBorder="1" applyAlignment="1">
      <alignment horizontal="center"/>
    </xf>
    <xf numFmtId="0" fontId="0" fillId="0" borderId="15" xfId="0" applyBorder="1"/>
    <xf numFmtId="166" fontId="0" fillId="3" borderId="0" xfId="0" applyNumberFormat="1" applyFill="1"/>
    <xf numFmtId="168" fontId="0" fillId="0" borderId="0" xfId="4" applyNumberFormat="1" applyFont="1"/>
    <xf numFmtId="0" fontId="0" fillId="3" borderId="0" xfId="0" applyFill="1" applyAlignment="1">
      <alignment wrapText="1"/>
    </xf>
    <xf numFmtId="0" fontId="3" fillId="0" borderId="0" xfId="0" applyFont="1" applyAlignment="1">
      <alignment horizontal="left" vertical="top" wrapText="1"/>
    </xf>
    <xf numFmtId="0" fontId="3" fillId="0" borderId="0" xfId="0" applyFont="1" applyFill="1" applyAlignment="1">
      <alignment horizontal="left" vertical="top" wrapText="1"/>
    </xf>
  </cellXfs>
  <cellStyles count="10">
    <cellStyle name="Comma" xfId="2" builtinId="3"/>
    <cellStyle name="Comma 21" xfId="9"/>
    <cellStyle name="Currency" xfId="3" builtinId="4"/>
    <cellStyle name="Currency 10" xfId="8"/>
    <cellStyle name="FRxAmtStyle" xfId="5"/>
    <cellStyle name="Normal" xfId="0" builtinId="0"/>
    <cellStyle name="Normal 10 2" xfId="6"/>
    <cellStyle name="Normal 31" xfId="7"/>
    <cellStyle name="PAGHDG" xfId="1"/>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21" Type="http://schemas.openxmlformats.org/officeDocument/2006/relationships/styles" Target="styles.xml" />
  <Relationship Id="rId20" Type="http://schemas.openxmlformats.org/officeDocument/2006/relationships/theme" Target="theme/theme1.xml" />
  <Relationship Id="rId22"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worksheet" Target="worksheets/sheet9.xml" />
  <Relationship Id="rId13" Type="http://schemas.openxmlformats.org/officeDocument/2006/relationships/externalLink" Target="externalLinks/externalLink4.xml" />
  <Relationship Id="rId18" Type="http://schemas.openxmlformats.org/officeDocument/2006/relationships/externalLink" Target="externalLinks/externalLink9.xml" />
  <Relationship Id="rId12" Type="http://schemas.openxmlformats.org/officeDocument/2006/relationships/externalLink" Target="externalLinks/externalLink3.xml" />
  <Relationship Id="rId17" Type="http://schemas.openxmlformats.org/officeDocument/2006/relationships/externalLink" Target="externalLinks/externalLink8.xml" />
  <Relationship Id="rId16" Type="http://schemas.openxmlformats.org/officeDocument/2006/relationships/externalLink" Target="externalLinks/externalLink7.xml" />
  <Relationship Id="rId11" Type="http://schemas.openxmlformats.org/officeDocument/2006/relationships/externalLink" Target="externalLinks/externalLink2.xml" />
  <Relationship Id="rId15" Type="http://schemas.openxmlformats.org/officeDocument/2006/relationships/externalLink" Target="externalLinks/externalLink6.xml" />
  <Relationship Id="rId23" Type="http://schemas.openxmlformats.org/officeDocument/2006/relationships/calcChain" Target="calcChain.xml" />
  <Relationship Id="rId10" Type="http://schemas.openxmlformats.org/officeDocument/2006/relationships/externalLink" Target="externalLinks/externalLink1.xml" />
  <Relationship Id="rId19" Type="http://schemas.openxmlformats.org/officeDocument/2006/relationships/pivotCacheDefinition" Target="pivotCache/pivotCacheDefinition1.xml" />
  <Relationship Id="rId14" Type="http://schemas.openxmlformats.org/officeDocument/2006/relationships/externalLink" Target="externalLinks/externalLink5.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2006%20ESN%20Rate%20Case%20Files/Data%20Requests%20%20Staff-ES-COS-1/To%20Sergio%20re-amended%20sched-data%20request%20responses/Amended%20St%20H-3%20(1)%20-%20attachment%20to%20COS1-74%20-%20all%20tabs.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Accounting/Plant%20-%20Capital/2002%20Budget/ESNG/2002%20ESNG%20Capital%20Summary.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Accounting/Plant%20-%20Capital/2001%20Budget/Sharpgas%20Budget%20Summary/Revised%202001%20SHG%20Cap%20Summary.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Departments%20&amp;%20Divisions/Florida%20Regulatory/Gross%20Margin%20Forecast/2015/Gas/Gas%20Gross%20Margin%20Forecast%20-%2006-2015.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Users/hspikes/AppData/Local/Microsoft/Windows/Temporary%20Internet%20Files/Content.Outlook/XP5VF0Q4/Electric%206+6%20Budget%20V7%20with%202018%20Fully%20Normalized%20kw%20version%20(004).xlsx"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Departments%20&amp;%20Divisions/Florida%20Regulatory/Gross%20Margin%20Budget/2020/Electric%2010+2%20Budget%20V9%20with%202018%20with%20real%20normalized%2011.12.19%20HES.xlsx"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Documents%20and%20Settings/epearson/Local%20Settings/Temporary%20Internet%20Files/OLK134/Return%20Calcs/ESN%20ROR%2012-08%20-%20prorated%20plant%20bal.xls"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Departments%20&amp;%20Divisions/Florida%20Regulatory/Gross%20Margin%20Budget/2018/Electric%20Gross%20Margin%20Forecast%20-%204+8%20Tie%20Out.xlsx"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Accounting/Plant%20-%20Capital/2001%20Project%20Accounting/November/2001%20Project%20Accounting%20-%20November.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 (1)"/>
      <sheetName val="MD"/>
      <sheetName val="DE"/>
      <sheetName val="PA"/>
    </sheetNames>
    <sheetDataSet>
      <sheetData sheetId="0" refreshError="1"/>
      <sheetData sheetId="1" refreshError="1"/>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case"/>
      <sheetName val="Def tax"/>
      <sheetName val="five year"/>
      <sheetName val="2002"/>
      <sheetName val="Board Format_DONT USE"/>
    </sheetNames>
    <sheetDataSet>
      <sheetData sheetId="0"/>
      <sheetData sheetId="1"/>
      <sheetData sheetId="2"/>
      <sheetData sheetId="3">
        <row r="1">
          <cell r="B1" t="str">
            <v>Eastern Shore Natural Gas Company</v>
          </cell>
        </row>
        <row r="2">
          <cell r="B2" t="str">
            <v>Capital Budget Summary - 2002</v>
          </cell>
        </row>
        <row r="3">
          <cell r="O3" t="str">
            <v xml:space="preserve"> </v>
          </cell>
        </row>
        <row r="4">
          <cell r="I4" t="str">
            <v xml:space="preserve"> </v>
          </cell>
          <cell r="M4" t="str">
            <v xml:space="preserve"> </v>
          </cell>
          <cell r="O4" t="str">
            <v xml:space="preserve"> </v>
          </cell>
        </row>
        <row r="5">
          <cell r="I5">
            <v>0</v>
          </cell>
        </row>
        <row r="6">
          <cell r="B6" t="str">
            <v>Budget</v>
          </cell>
          <cell r="C6" t="str">
            <v>Plant</v>
          </cell>
          <cell r="G6" t="str">
            <v>Contractor</v>
          </cell>
          <cell r="H6" t="str">
            <v>Other</v>
          </cell>
          <cell r="I6" t="str">
            <v>Overhead</v>
          </cell>
          <cell r="J6">
            <v>1.0749999999999999E-2</v>
          </cell>
          <cell r="K6" t="str">
            <v>Dept Charges</v>
          </cell>
          <cell r="M6" t="str">
            <v>Overhead</v>
          </cell>
        </row>
        <row r="7">
          <cell r="B7" t="str">
            <v>Group</v>
          </cell>
          <cell r="C7" t="str">
            <v>Account</v>
          </cell>
          <cell r="D7" t="str">
            <v>Description</v>
          </cell>
          <cell r="F7" t="str">
            <v>Material</v>
          </cell>
          <cell r="G7" t="str">
            <v>Charges</v>
          </cell>
          <cell r="I7" t="str">
            <v>Other</v>
          </cell>
          <cell r="J7" t="str">
            <v>Overheads</v>
          </cell>
          <cell r="K7" t="str">
            <v>With O/H</v>
          </cell>
          <cell r="M7" t="str">
            <v>Labor</v>
          </cell>
          <cell r="O7" t="str">
            <v>Total</v>
          </cell>
        </row>
        <row r="10">
          <cell r="B10">
            <v>1</v>
          </cell>
          <cell r="C10">
            <v>365</v>
          </cell>
          <cell r="D10" t="str">
            <v>Land - Right of ways</v>
          </cell>
        </row>
        <row r="11">
          <cell r="D11" t="str">
            <v>2002 System Expansion</v>
          </cell>
          <cell r="H11">
            <v>150000</v>
          </cell>
          <cell r="O11">
            <v>150000</v>
          </cell>
        </row>
        <row r="12">
          <cell r="F12">
            <v>0</v>
          </cell>
          <cell r="G12">
            <v>0</v>
          </cell>
          <cell r="H12">
            <v>150000</v>
          </cell>
          <cell r="I12">
            <v>0</v>
          </cell>
          <cell r="J12">
            <v>1.0749999999999999E-2</v>
          </cell>
          <cell r="K12">
            <v>0</v>
          </cell>
          <cell r="L12">
            <v>0</v>
          </cell>
          <cell r="M12">
            <v>0</v>
          </cell>
          <cell r="O12">
            <v>150000</v>
          </cell>
        </row>
        <row r="13">
          <cell r="B13" t="str">
            <v>03</v>
          </cell>
          <cell r="C13" t="str">
            <v>366</v>
          </cell>
          <cell r="D13" t="str">
            <v>Structures</v>
          </cell>
        </row>
        <row r="14">
          <cell r="D14" t="str">
            <v>Office upgrades</v>
          </cell>
          <cell r="H14">
            <v>25000</v>
          </cell>
          <cell r="O14">
            <v>25000</v>
          </cell>
        </row>
        <row r="15">
          <cell r="F15">
            <v>0</v>
          </cell>
          <cell r="G15">
            <v>0</v>
          </cell>
          <cell r="H15">
            <v>325000</v>
          </cell>
          <cell r="I15">
            <v>0</v>
          </cell>
          <cell r="J15">
            <v>1.0749999999999999E-2</v>
          </cell>
          <cell r="K15">
            <v>0</v>
          </cell>
          <cell r="L15">
            <v>0</v>
          </cell>
          <cell r="M15">
            <v>0</v>
          </cell>
          <cell r="O15">
            <v>25000</v>
          </cell>
        </row>
        <row r="17">
          <cell r="B17" t="str">
            <v>05</v>
          </cell>
          <cell r="C17">
            <v>367</v>
          </cell>
          <cell r="D17" t="str">
            <v>Mains New Customers</v>
          </cell>
        </row>
        <row r="18">
          <cell r="D18" t="str">
            <v>1.5 Miles of 16" Parkesburg looping-2002 Sys Expansion</v>
          </cell>
          <cell r="F18">
            <v>190000</v>
          </cell>
          <cell r="G18">
            <v>877222</v>
          </cell>
          <cell r="H18">
            <v>333578</v>
          </cell>
          <cell r="J18">
            <v>15865</v>
          </cell>
          <cell r="K18">
            <v>121111.542</v>
          </cell>
          <cell r="O18">
            <v>1537776.5419999999</v>
          </cell>
        </row>
        <row r="19">
          <cell r="D19" t="str">
            <v>Blanket Mains and New Customers</v>
          </cell>
          <cell r="G19">
            <v>35000</v>
          </cell>
          <cell r="H19">
            <v>10000</v>
          </cell>
          <cell r="J19">
            <v>483.74999999999994</v>
          </cell>
          <cell r="K19">
            <v>3649.3119999999999</v>
          </cell>
          <cell r="O19">
            <v>49133.061999999998</v>
          </cell>
        </row>
        <row r="20">
          <cell r="D20" t="str">
            <v>1.0 Miles of 16" Parkesburg looping-2002 Sys Expansion</v>
          </cell>
          <cell r="F20">
            <v>130000</v>
          </cell>
          <cell r="G20">
            <v>757000</v>
          </cell>
          <cell r="H20">
            <v>220200</v>
          </cell>
          <cell r="J20">
            <v>12709</v>
          </cell>
          <cell r="K20">
            <v>96934.849999999991</v>
          </cell>
          <cell r="O20">
            <v>1216843.8500000001</v>
          </cell>
        </row>
        <row r="21">
          <cell r="D21" t="str">
            <v>Carryover - Expansion 2000</v>
          </cell>
          <cell r="G21">
            <v>300000</v>
          </cell>
          <cell r="O21">
            <v>300000</v>
          </cell>
        </row>
        <row r="22">
          <cell r="D22" t="str">
            <v>Carryover - Expansion 1999</v>
          </cell>
          <cell r="G22">
            <v>200000</v>
          </cell>
          <cell r="O22">
            <v>200000</v>
          </cell>
        </row>
        <row r="23">
          <cell r="F23">
            <v>320000</v>
          </cell>
          <cell r="G23">
            <v>2169222</v>
          </cell>
          <cell r="H23">
            <v>563778</v>
          </cell>
          <cell r="I23">
            <v>0</v>
          </cell>
          <cell r="J23">
            <v>29057.75</v>
          </cell>
          <cell r="K23">
            <v>221695.704</v>
          </cell>
          <cell r="L23">
            <v>0</v>
          </cell>
          <cell r="M23">
            <v>0</v>
          </cell>
          <cell r="O23">
            <v>3303753.4539999999</v>
          </cell>
        </row>
        <row r="25">
          <cell r="B25" t="str">
            <v>07</v>
          </cell>
          <cell r="C25">
            <v>367</v>
          </cell>
          <cell r="D25" t="str">
            <v>Mains Reinforcement</v>
          </cell>
        </row>
        <row r="26">
          <cell r="D26" t="str">
            <v>North Street split casing</v>
          </cell>
          <cell r="G26">
            <v>25000</v>
          </cell>
          <cell r="H26">
            <v>3000</v>
          </cell>
          <cell r="J26">
            <v>301</v>
          </cell>
          <cell r="K26">
            <v>2280.8200000000002</v>
          </cell>
          <cell r="O26">
            <v>30581.82</v>
          </cell>
        </row>
        <row r="27">
          <cell r="O27">
            <v>0</v>
          </cell>
        </row>
        <row r="28">
          <cell r="O28">
            <v>0</v>
          </cell>
        </row>
        <row r="29">
          <cell r="O29">
            <v>0</v>
          </cell>
        </row>
        <row r="30">
          <cell r="D30" t="str">
            <v>Blanket Reinforcement</v>
          </cell>
          <cell r="H30">
            <v>50000</v>
          </cell>
          <cell r="K30">
            <v>4105.4759999999997</v>
          </cell>
          <cell r="O30">
            <v>54105.476000000002</v>
          </cell>
        </row>
        <row r="31">
          <cell r="D31" t="str">
            <v>Carryover - Porter relocation</v>
          </cell>
          <cell r="G31">
            <v>50000</v>
          </cell>
          <cell r="O31">
            <v>50000</v>
          </cell>
        </row>
        <row r="32">
          <cell r="F32">
            <v>0</v>
          </cell>
          <cell r="G32">
            <v>75000</v>
          </cell>
          <cell r="H32">
            <v>53000</v>
          </cell>
          <cell r="I32">
            <v>0</v>
          </cell>
          <cell r="J32">
            <v>301</v>
          </cell>
          <cell r="K32">
            <v>6386.2960000000003</v>
          </cell>
          <cell r="L32">
            <v>0</v>
          </cell>
          <cell r="M32">
            <v>0</v>
          </cell>
          <cell r="O32">
            <v>134687.296</v>
          </cell>
        </row>
        <row r="34">
          <cell r="B34">
            <v>32</v>
          </cell>
          <cell r="C34" t="str">
            <v>368</v>
          </cell>
          <cell r="D34" t="str">
            <v>Compressor Station Equipment</v>
          </cell>
        </row>
        <row r="35">
          <cell r="D35" t="str">
            <v>Maintenance platform - bridgeville</v>
          </cell>
          <cell r="G35">
            <v>10000</v>
          </cell>
          <cell r="H35">
            <v>3000</v>
          </cell>
          <cell r="J35">
            <v>139.75</v>
          </cell>
          <cell r="O35">
            <v>13139.75</v>
          </cell>
        </row>
        <row r="36">
          <cell r="D36" t="str">
            <v>BLANKET</v>
          </cell>
          <cell r="F36">
            <v>3500</v>
          </cell>
          <cell r="G36">
            <v>35000</v>
          </cell>
          <cell r="H36">
            <v>4000</v>
          </cell>
          <cell r="J36">
            <v>456.87499999999994</v>
          </cell>
          <cell r="O36">
            <v>42956.875</v>
          </cell>
        </row>
        <row r="37">
          <cell r="O37">
            <v>0</v>
          </cell>
        </row>
        <row r="38">
          <cell r="O38">
            <v>0</v>
          </cell>
        </row>
        <row r="39">
          <cell r="O39">
            <v>0</v>
          </cell>
        </row>
        <row r="40">
          <cell r="O40">
            <v>0</v>
          </cell>
        </row>
        <row r="41">
          <cell r="O41">
            <v>0</v>
          </cell>
        </row>
        <row r="42">
          <cell r="O42">
            <v>0</v>
          </cell>
        </row>
        <row r="43">
          <cell r="O43">
            <v>0</v>
          </cell>
        </row>
        <row r="44">
          <cell r="O44">
            <v>0</v>
          </cell>
        </row>
        <row r="45">
          <cell r="O45">
            <v>0</v>
          </cell>
        </row>
        <row r="46">
          <cell r="D46" t="str">
            <v>Delaware City EMS</v>
          </cell>
          <cell r="G46">
            <v>150000</v>
          </cell>
          <cell r="O46">
            <v>150000</v>
          </cell>
        </row>
        <row r="47">
          <cell r="F47">
            <v>3500</v>
          </cell>
          <cell r="G47">
            <v>195000</v>
          </cell>
          <cell r="H47">
            <v>7000</v>
          </cell>
          <cell r="I47">
            <v>0</v>
          </cell>
          <cell r="J47">
            <v>596.625</v>
          </cell>
          <cell r="K47">
            <v>0</v>
          </cell>
          <cell r="L47">
            <v>0</v>
          </cell>
          <cell r="M47">
            <v>0</v>
          </cell>
          <cell r="O47">
            <v>206096.625</v>
          </cell>
        </row>
        <row r="49">
          <cell r="B49" t="str">
            <v>08</v>
          </cell>
          <cell r="C49" t="str">
            <v>369</v>
          </cell>
          <cell r="D49" t="str">
            <v>M&amp;R Stations - General</v>
          </cell>
        </row>
        <row r="50">
          <cell r="D50" t="str">
            <v>Install MTL Safety Barriers</v>
          </cell>
          <cell r="G50">
            <v>12000</v>
          </cell>
          <cell r="J50">
            <v>129</v>
          </cell>
          <cell r="O50">
            <v>12129</v>
          </cell>
        </row>
        <row r="51">
          <cell r="D51" t="str">
            <v>Cheswold Upgrade</v>
          </cell>
          <cell r="F51">
            <v>2500</v>
          </cell>
          <cell r="G51">
            <v>4000</v>
          </cell>
          <cell r="J51">
            <v>69.875</v>
          </cell>
          <cell r="O51">
            <v>6569.875</v>
          </cell>
        </row>
        <row r="52">
          <cell r="D52" t="str">
            <v>BLANKET</v>
          </cell>
          <cell r="F52">
            <v>12500</v>
          </cell>
          <cell r="G52">
            <v>22500</v>
          </cell>
          <cell r="J52">
            <v>376.24999999999994</v>
          </cell>
          <cell r="O52">
            <v>35376.25</v>
          </cell>
        </row>
        <row r="53">
          <cell r="D53" t="str">
            <v>Carryover - Hockessan M&amp;R</v>
          </cell>
          <cell r="G53">
            <v>50000</v>
          </cell>
          <cell r="O53">
            <v>50000</v>
          </cell>
        </row>
        <row r="54">
          <cell r="F54">
            <v>15000</v>
          </cell>
          <cell r="G54">
            <v>88500</v>
          </cell>
          <cell r="H54">
            <v>0</v>
          </cell>
          <cell r="I54">
            <v>0</v>
          </cell>
          <cell r="J54">
            <v>575.125</v>
          </cell>
          <cell r="K54">
            <v>0</v>
          </cell>
          <cell r="L54">
            <v>0</v>
          </cell>
          <cell r="M54">
            <v>0</v>
          </cell>
          <cell r="O54">
            <v>104075.125</v>
          </cell>
        </row>
        <row r="55">
          <cell r="O55" t="str">
            <v/>
          </cell>
        </row>
        <row r="56">
          <cell r="B56" t="str">
            <v>22</v>
          </cell>
          <cell r="C56" t="str">
            <v>369</v>
          </cell>
          <cell r="D56" t="str">
            <v>M&amp;R Stations - Industrial</v>
          </cell>
        </row>
        <row r="57">
          <cell r="D57" t="str">
            <v>Playtex</v>
          </cell>
          <cell r="F57">
            <v>3500</v>
          </cell>
          <cell r="G57">
            <v>8000</v>
          </cell>
          <cell r="H57">
            <v>500</v>
          </cell>
          <cell r="J57">
            <v>129</v>
          </cell>
          <cell r="O57">
            <v>12129</v>
          </cell>
        </row>
        <row r="58">
          <cell r="D58" t="str">
            <v>Mckee Power Plant</v>
          </cell>
          <cell r="E58" t="str">
            <v xml:space="preserve"> </v>
          </cell>
          <cell r="F58">
            <v>3500</v>
          </cell>
          <cell r="G58">
            <v>8000</v>
          </cell>
          <cell r="H58">
            <v>500</v>
          </cell>
          <cell r="J58">
            <v>129</v>
          </cell>
          <cell r="O58">
            <v>12129</v>
          </cell>
        </row>
        <row r="59">
          <cell r="D59" t="str">
            <v>BLANKET</v>
          </cell>
          <cell r="E59" t="str">
            <v xml:space="preserve"> </v>
          </cell>
          <cell r="F59">
            <v>12500</v>
          </cell>
          <cell r="G59">
            <v>22500</v>
          </cell>
          <cell r="J59">
            <v>412.24999999999994</v>
          </cell>
          <cell r="O59">
            <v>35412.25</v>
          </cell>
        </row>
        <row r="60">
          <cell r="F60">
            <v>19500</v>
          </cell>
          <cell r="G60">
            <v>38500</v>
          </cell>
          <cell r="H60">
            <v>1000</v>
          </cell>
          <cell r="I60">
            <v>0</v>
          </cell>
          <cell r="J60">
            <v>670.25</v>
          </cell>
          <cell r="K60">
            <v>0</v>
          </cell>
          <cell r="L60">
            <v>0</v>
          </cell>
          <cell r="M60">
            <v>0</v>
          </cell>
          <cell r="O60">
            <v>59670.25</v>
          </cell>
        </row>
        <row r="62">
          <cell r="B62">
            <v>23</v>
          </cell>
          <cell r="C62" t="str">
            <v>369</v>
          </cell>
          <cell r="D62" t="str">
            <v>Office Equipment</v>
          </cell>
        </row>
        <row r="63">
          <cell r="D63" t="str">
            <v>PC for MISS UTILITY upgrade</v>
          </cell>
          <cell r="H63">
            <v>5000</v>
          </cell>
          <cell r="O63">
            <v>5000</v>
          </cell>
        </row>
        <row r="64">
          <cell r="D64" t="str">
            <v>PC for T&amp;S position</v>
          </cell>
          <cell r="H64">
            <v>3000</v>
          </cell>
          <cell r="O64">
            <v>3000</v>
          </cell>
        </row>
        <row r="65">
          <cell r="D65" t="str">
            <v>AutoDesk MAP 2002 Upgrade</v>
          </cell>
          <cell r="H65">
            <v>3500</v>
          </cell>
          <cell r="O65">
            <v>3500</v>
          </cell>
        </row>
        <row r="66">
          <cell r="F66">
            <v>0</v>
          </cell>
          <cell r="G66">
            <v>0</v>
          </cell>
          <cell r="H66">
            <v>11500</v>
          </cell>
          <cell r="I66">
            <v>0</v>
          </cell>
          <cell r="J66">
            <v>0</v>
          </cell>
          <cell r="K66">
            <v>0</v>
          </cell>
          <cell r="L66">
            <v>0</v>
          </cell>
          <cell r="M66">
            <v>0</v>
          </cell>
          <cell r="O66">
            <v>11500</v>
          </cell>
        </row>
        <row r="68">
          <cell r="B68" t="str">
            <v>25</v>
          </cell>
          <cell r="C68" t="str">
            <v>392</v>
          </cell>
          <cell r="D68" t="str">
            <v>Transportation Equipment</v>
          </cell>
        </row>
        <row r="69">
          <cell r="D69" t="str">
            <v>Replace unit OT-4060</v>
          </cell>
          <cell r="H69">
            <v>19500</v>
          </cell>
          <cell r="O69">
            <v>19500</v>
          </cell>
        </row>
        <row r="70">
          <cell r="D70" t="str">
            <v>Replace unit OT-4065</v>
          </cell>
          <cell r="H70">
            <v>23500</v>
          </cell>
          <cell r="O70">
            <v>23500</v>
          </cell>
        </row>
        <row r="71">
          <cell r="D71" t="str">
            <v>Replace unit OT-4066</v>
          </cell>
          <cell r="H71">
            <v>23500</v>
          </cell>
          <cell r="O71">
            <v>23500</v>
          </cell>
        </row>
        <row r="72">
          <cell r="D72" t="str">
            <v>Replace unit OT-4068</v>
          </cell>
          <cell r="H72">
            <v>25500</v>
          </cell>
          <cell r="O72">
            <v>25500</v>
          </cell>
        </row>
        <row r="73">
          <cell r="D73" t="str">
            <v>Replace unit AS-3038</v>
          </cell>
          <cell r="H73">
            <v>23500</v>
          </cell>
          <cell r="O73">
            <v>23500</v>
          </cell>
        </row>
        <row r="74">
          <cell r="F74">
            <v>0</v>
          </cell>
          <cell r="G74">
            <v>0</v>
          </cell>
          <cell r="H74">
            <v>115500</v>
          </cell>
          <cell r="I74">
            <v>0</v>
          </cell>
          <cell r="J74">
            <v>0</v>
          </cell>
          <cell r="K74">
            <v>0</v>
          </cell>
          <cell r="L74">
            <v>0</v>
          </cell>
          <cell r="M74">
            <v>0</v>
          </cell>
          <cell r="O74">
            <v>115500</v>
          </cell>
        </row>
        <row r="76">
          <cell r="B76">
            <v>24</v>
          </cell>
          <cell r="C76">
            <v>394</v>
          </cell>
          <cell r="D76" t="str">
            <v>Tools &amp; Work Eqpmt</v>
          </cell>
        </row>
        <row r="77">
          <cell r="D77" t="str">
            <v>TDW Stopple Equipment</v>
          </cell>
          <cell r="H77">
            <v>30000</v>
          </cell>
          <cell r="O77">
            <v>30000</v>
          </cell>
        </row>
        <row r="78">
          <cell r="D78" t="str">
            <v>Hydrostatic Test Console</v>
          </cell>
          <cell r="H78">
            <v>11000</v>
          </cell>
          <cell r="O78">
            <v>11000</v>
          </cell>
        </row>
        <row r="79">
          <cell r="D79" t="str">
            <v>Corrosion Testing Equipment</v>
          </cell>
          <cell r="H79">
            <v>1500</v>
          </cell>
          <cell r="O79">
            <v>1500</v>
          </cell>
        </row>
        <row r="80">
          <cell r="D80" t="str">
            <v>Meter boby</v>
          </cell>
          <cell r="H80">
            <v>2000</v>
          </cell>
          <cell r="O80">
            <v>2000</v>
          </cell>
        </row>
        <row r="81">
          <cell r="D81" t="str">
            <v>Drive Socket Set</v>
          </cell>
          <cell r="H81">
            <v>1500</v>
          </cell>
          <cell r="O81">
            <v>1500</v>
          </cell>
        </row>
        <row r="82">
          <cell r="F82">
            <v>0</v>
          </cell>
          <cell r="G82">
            <v>0</v>
          </cell>
          <cell r="H82">
            <v>46000</v>
          </cell>
          <cell r="I82">
            <v>0</v>
          </cell>
          <cell r="J82">
            <v>0</v>
          </cell>
          <cell r="K82">
            <v>0</v>
          </cell>
          <cell r="L82">
            <v>0</v>
          </cell>
          <cell r="M82">
            <v>0</v>
          </cell>
          <cell r="O82">
            <v>46000</v>
          </cell>
        </row>
        <row r="84">
          <cell r="B84" t="str">
            <v>27</v>
          </cell>
          <cell r="C84" t="str">
            <v>396</v>
          </cell>
          <cell r="D84" t="str">
            <v>Power Operated Equipment</v>
          </cell>
        </row>
        <row r="85">
          <cell r="O85">
            <v>0</v>
          </cell>
        </row>
        <row r="87">
          <cell r="D87" t="str">
            <v>Carryover - generator</v>
          </cell>
          <cell r="H87">
            <v>25000</v>
          </cell>
          <cell r="O87">
            <v>25000</v>
          </cell>
        </row>
        <row r="88">
          <cell r="F88">
            <v>0</v>
          </cell>
          <cell r="G88">
            <v>0</v>
          </cell>
          <cell r="H88">
            <v>25000</v>
          </cell>
          <cell r="I88">
            <v>0</v>
          </cell>
          <cell r="J88">
            <v>0</v>
          </cell>
          <cell r="K88">
            <v>0</v>
          </cell>
          <cell r="L88">
            <v>0</v>
          </cell>
          <cell r="M88">
            <v>0</v>
          </cell>
          <cell r="O88">
            <v>25000</v>
          </cell>
        </row>
        <row r="90">
          <cell r="B90">
            <v>28</v>
          </cell>
          <cell r="C90">
            <v>370</v>
          </cell>
          <cell r="D90" t="str">
            <v>Communication Equipment</v>
          </cell>
        </row>
        <row r="91">
          <cell r="O91">
            <v>0</v>
          </cell>
        </row>
        <row r="92">
          <cell r="F92">
            <v>0</v>
          </cell>
          <cell r="G92">
            <v>0</v>
          </cell>
          <cell r="H92">
            <v>0</v>
          </cell>
          <cell r="I92">
            <v>0</v>
          </cell>
          <cell r="J92">
            <v>0</v>
          </cell>
          <cell r="K92">
            <v>0</v>
          </cell>
          <cell r="L92">
            <v>0</v>
          </cell>
          <cell r="M92">
            <v>0</v>
          </cell>
          <cell r="O92">
            <v>0</v>
          </cell>
        </row>
        <row r="94">
          <cell r="D94" t="str">
            <v>Overheads - department costs (excluding benefits)</v>
          </cell>
          <cell r="J94">
            <v>24000</v>
          </cell>
          <cell r="O94">
            <v>24000</v>
          </cell>
        </row>
        <row r="95">
          <cell r="D95" t="str">
            <v>Overheads - department costs (benefits only)</v>
          </cell>
          <cell r="J95">
            <v>7200</v>
          </cell>
          <cell r="O95">
            <v>7200</v>
          </cell>
        </row>
        <row r="96">
          <cell r="J96">
            <v>-31200.760750000001</v>
          </cell>
          <cell r="O96">
            <v>-31200.760750000001</v>
          </cell>
        </row>
        <row r="97">
          <cell r="F97">
            <v>0</v>
          </cell>
          <cell r="G97">
            <v>0</v>
          </cell>
          <cell r="H97">
            <v>0</v>
          </cell>
          <cell r="I97">
            <v>0</v>
          </cell>
          <cell r="J97">
            <v>-0.76075000000128057</v>
          </cell>
          <cell r="K97">
            <v>0</v>
          </cell>
          <cell r="L97">
            <v>0</v>
          </cell>
          <cell r="M97">
            <v>0</v>
          </cell>
          <cell r="O97">
            <v>-0.76075000000128057</v>
          </cell>
        </row>
        <row r="100">
          <cell r="D100" t="str">
            <v>TOTAL</v>
          </cell>
          <cell r="F100">
            <v>358000</v>
          </cell>
          <cell r="G100">
            <v>2566222</v>
          </cell>
          <cell r="H100">
            <v>1297778</v>
          </cell>
          <cell r="I100">
            <v>0</v>
          </cell>
          <cell r="J100">
            <v>31200.010750000001</v>
          </cell>
          <cell r="K100">
            <v>228082</v>
          </cell>
          <cell r="L100">
            <v>0</v>
          </cell>
          <cell r="M100">
            <v>0</v>
          </cell>
          <cell r="O100">
            <v>4181281.9892500001</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Detail"/>
      <sheetName val="Board presentation"/>
      <sheetName val="NewDepr"/>
      <sheetName val="OldDepr"/>
      <sheetName val="DeprCoDetail"/>
      <sheetName val="DeprSum"/>
      <sheetName val="5YrCapSum"/>
      <sheetName val="Sheet1"/>
    </sheetNames>
    <sheetDataSet>
      <sheetData sheetId="0"/>
      <sheetData sheetId="1" refreshError="1"/>
      <sheetData sheetId="2"/>
      <sheetData sheetId="3"/>
      <sheetData sheetId="4">
        <row r="1">
          <cell r="A1" t="str">
            <v>**********1999 PROJECTED FOR 2000- TRANSPORT**********</v>
          </cell>
        </row>
        <row r="2">
          <cell r="A2" t="str">
            <v>A/C #</v>
          </cell>
          <cell r="B2" t="str">
            <v>DESCRIPTION</v>
          </cell>
          <cell r="C2" t="str">
            <v>JAN</v>
          </cell>
          <cell r="D2" t="str">
            <v>FEB</v>
          </cell>
          <cell r="E2" t="str">
            <v>MARCH</v>
          </cell>
          <cell r="F2" t="str">
            <v>APRIL</v>
          </cell>
          <cell r="G2" t="str">
            <v>MAY</v>
          </cell>
        </row>
        <row r="3">
          <cell r="A3" t="str">
            <v>101-304</v>
          </cell>
          <cell r="B3" t="str">
            <v>Land</v>
          </cell>
        </row>
        <row r="4">
          <cell r="A4" t="str">
            <v>101-305</v>
          </cell>
          <cell r="B4" t="str">
            <v>Structures &amp; Improvements</v>
          </cell>
        </row>
        <row r="5">
          <cell r="A5" t="str">
            <v>101-311</v>
          </cell>
          <cell r="B5" t="str">
            <v>Propane Tanks</v>
          </cell>
        </row>
        <row r="6">
          <cell r="A6" t="str">
            <v>101-313</v>
          </cell>
          <cell r="B6" t="str">
            <v>Compressed Gas Tanks</v>
          </cell>
        </row>
        <row r="7">
          <cell r="A7" t="str">
            <v>101-314</v>
          </cell>
          <cell r="B7" t="str">
            <v>Vehicle Fuel Tanks</v>
          </cell>
        </row>
        <row r="8">
          <cell r="A8" t="str">
            <v>101-362</v>
          </cell>
          <cell r="B8" t="str">
            <v>Propane Bulk Plants</v>
          </cell>
        </row>
        <row r="9">
          <cell r="A9" t="str">
            <v>101-363</v>
          </cell>
          <cell r="B9" t="str">
            <v>Propane Bulk Plant-Plantations</v>
          </cell>
        </row>
        <row r="10">
          <cell r="A10" t="str">
            <v>101-381</v>
          </cell>
          <cell r="B10" t="str">
            <v>Meters</v>
          </cell>
        </row>
        <row r="11">
          <cell r="A11" t="str">
            <v>101-383</v>
          </cell>
          <cell r="B11" t="str">
            <v>Regulators</v>
          </cell>
        </row>
        <row r="12">
          <cell r="A12" t="str">
            <v>101-387</v>
          </cell>
          <cell r="B12" t="str">
            <v>Propane Related Equipment</v>
          </cell>
        </row>
        <row r="13">
          <cell r="A13" t="str">
            <v>101-390</v>
          </cell>
          <cell r="B13" t="str">
            <v>Office Building</v>
          </cell>
        </row>
        <row r="14">
          <cell r="A14" t="str">
            <v>101-391</v>
          </cell>
          <cell r="B14" t="str">
            <v>Office Furniture &amp; Equipment</v>
          </cell>
        </row>
        <row r="15">
          <cell r="A15" t="str">
            <v>101-392</v>
          </cell>
          <cell r="B15" t="str">
            <v>Trans Equipment</v>
          </cell>
        </row>
        <row r="16">
          <cell r="A16" t="str">
            <v>101-394</v>
          </cell>
          <cell r="B16" t="str">
            <v>Tools &amp; Shop Equipment</v>
          </cell>
        </row>
        <row r="17">
          <cell r="A17" t="str">
            <v>101-396</v>
          </cell>
          <cell r="B17" t="str">
            <v>Power Operated Equipment</v>
          </cell>
        </row>
        <row r="18">
          <cell r="A18" t="str">
            <v>101-397</v>
          </cell>
          <cell r="B18" t="str">
            <v>Communication Equipment</v>
          </cell>
        </row>
        <row r="19">
          <cell r="A19" t="str">
            <v>101-499</v>
          </cell>
          <cell r="B19" t="str">
            <v>W/H Leased</v>
          </cell>
        </row>
        <row r="20">
          <cell r="A20" t="str">
            <v>104</v>
          </cell>
          <cell r="B20" t="str">
            <v>Water Heaters Rented</v>
          </cell>
        </row>
        <row r="21">
          <cell r="A21" t="str">
            <v>104A</v>
          </cell>
          <cell r="B21" t="str">
            <v>PA Office</v>
          </cell>
        </row>
        <row r="22">
          <cell r="A22" t="str">
            <v>101-398</v>
          </cell>
          <cell r="B22" t="str">
            <v>Miscellaneous Equipment</v>
          </cell>
        </row>
        <row r="23">
          <cell r="B23" t="str">
            <v>TOTAL</v>
          </cell>
          <cell r="C23">
            <v>0</v>
          </cell>
          <cell r="D23">
            <v>0</v>
          </cell>
          <cell r="E23">
            <v>0</v>
          </cell>
          <cell r="F23">
            <v>0</v>
          </cell>
          <cell r="G23">
            <v>0</v>
          </cell>
        </row>
        <row r="27">
          <cell r="A27" t="str">
            <v>**********1999 PROJECTED - TRANSPORT**********</v>
          </cell>
        </row>
        <row r="28">
          <cell r="A28" t="str">
            <v>A/C #</v>
          </cell>
          <cell r="B28" t="str">
            <v>DESCRIPTION</v>
          </cell>
          <cell r="C28" t="str">
            <v>JAN</v>
          </cell>
          <cell r="D28" t="str">
            <v>FEB</v>
          </cell>
          <cell r="E28" t="str">
            <v>MARCH</v>
          </cell>
          <cell r="F28" t="str">
            <v>APRIL</v>
          </cell>
          <cell r="G28" t="str">
            <v>MAY</v>
          </cell>
        </row>
        <row r="29">
          <cell r="A29" t="str">
            <v>101-304</v>
          </cell>
          <cell r="B29" t="str">
            <v>Land</v>
          </cell>
        </row>
        <row r="30">
          <cell r="A30" t="str">
            <v>101-305</v>
          </cell>
          <cell r="B30" t="str">
            <v>Structures &amp; Improvements</v>
          </cell>
        </row>
        <row r="31">
          <cell r="A31" t="str">
            <v>101-311</v>
          </cell>
          <cell r="B31" t="str">
            <v>Propane Tanks</v>
          </cell>
        </row>
        <row r="32">
          <cell r="A32" t="str">
            <v>101-313</v>
          </cell>
          <cell r="B32" t="str">
            <v>Compressed Gas Tanks</v>
          </cell>
        </row>
        <row r="33">
          <cell r="A33" t="str">
            <v>101-314</v>
          </cell>
          <cell r="B33" t="str">
            <v>Vehicle Fuel Tanks</v>
          </cell>
        </row>
        <row r="34">
          <cell r="A34" t="str">
            <v>101-362</v>
          </cell>
          <cell r="B34" t="str">
            <v>Propane Bulk Plants</v>
          </cell>
        </row>
        <row r="35">
          <cell r="A35" t="str">
            <v>101-363</v>
          </cell>
          <cell r="B35" t="str">
            <v>Propane Bulk Plant-Plantations</v>
          </cell>
        </row>
        <row r="36">
          <cell r="A36" t="str">
            <v>101-381</v>
          </cell>
          <cell r="B36" t="str">
            <v>Meters</v>
          </cell>
        </row>
      </sheetData>
      <sheetData sheetId="5">
        <row r="1">
          <cell r="C1" t="str">
            <v>**********2001 BUDGET SUMMARY - ALL DISTRICTS**********</v>
          </cell>
        </row>
        <row r="2">
          <cell r="B2" t="str">
            <v>A/C #</v>
          </cell>
          <cell r="C2" t="str">
            <v>DESCRIPTION</v>
          </cell>
          <cell r="D2" t="str">
            <v>Jan</v>
          </cell>
          <cell r="E2" t="str">
            <v>Feb</v>
          </cell>
          <cell r="F2" t="str">
            <v>Mar</v>
          </cell>
          <cell r="G2" t="str">
            <v>Apr</v>
          </cell>
        </row>
        <row r="3">
          <cell r="B3" t="str">
            <v>101-304</v>
          </cell>
          <cell r="C3" t="str">
            <v>Land</v>
          </cell>
          <cell r="D3">
            <v>0</v>
          </cell>
          <cell r="E3">
            <v>0</v>
          </cell>
          <cell r="F3">
            <v>0</v>
          </cell>
          <cell r="G3">
            <v>0</v>
          </cell>
        </row>
        <row r="4">
          <cell r="B4" t="str">
            <v>101-305</v>
          </cell>
          <cell r="C4" t="str">
            <v>Structures &amp; Improvements</v>
          </cell>
          <cell r="D4">
            <v>16</v>
          </cell>
          <cell r="E4">
            <v>32</v>
          </cell>
          <cell r="F4">
            <v>35</v>
          </cell>
          <cell r="G4">
            <v>37</v>
          </cell>
        </row>
        <row r="5">
          <cell r="B5" t="str">
            <v>101-311</v>
          </cell>
          <cell r="C5" t="str">
            <v>Propane Tanks</v>
          </cell>
          <cell r="D5">
            <v>46</v>
          </cell>
          <cell r="E5">
            <v>139</v>
          </cell>
          <cell r="F5">
            <v>231</v>
          </cell>
          <cell r="G5">
            <v>324</v>
          </cell>
        </row>
        <row r="6">
          <cell r="B6" t="str">
            <v>101-362</v>
          </cell>
          <cell r="C6" t="str">
            <v>Propane Bulk Plants</v>
          </cell>
          <cell r="D6">
            <v>490</v>
          </cell>
          <cell r="E6">
            <v>979</v>
          </cell>
          <cell r="F6">
            <v>979</v>
          </cell>
          <cell r="G6">
            <v>979</v>
          </cell>
        </row>
        <row r="7">
          <cell r="B7" t="str">
            <v>101-363</v>
          </cell>
          <cell r="C7" t="str">
            <v>Propane Bulk Plant-Plantations</v>
          </cell>
          <cell r="D7">
            <v>0</v>
          </cell>
          <cell r="E7">
            <v>0</v>
          </cell>
          <cell r="F7">
            <v>0</v>
          </cell>
          <cell r="G7">
            <v>0</v>
          </cell>
        </row>
        <row r="8">
          <cell r="B8" t="str">
            <v>101-381</v>
          </cell>
          <cell r="C8" t="str">
            <v>Meters</v>
          </cell>
          <cell r="D8">
            <v>31</v>
          </cell>
          <cell r="E8">
            <v>94</v>
          </cell>
          <cell r="F8">
            <v>156</v>
          </cell>
          <cell r="G8">
            <v>219</v>
          </cell>
        </row>
        <row r="9">
          <cell r="B9" t="str">
            <v>101-383</v>
          </cell>
          <cell r="C9" t="str">
            <v>Regulators</v>
          </cell>
          <cell r="D9">
            <v>10</v>
          </cell>
          <cell r="E9">
            <v>32</v>
          </cell>
          <cell r="F9">
            <v>54</v>
          </cell>
          <cell r="G9">
            <v>75</v>
          </cell>
        </row>
        <row r="10">
          <cell r="B10" t="str">
            <v>101-390</v>
          </cell>
          <cell r="C10" t="str">
            <v>Office Building</v>
          </cell>
          <cell r="D10">
            <v>0</v>
          </cell>
          <cell r="E10">
            <v>0</v>
          </cell>
          <cell r="F10">
            <v>0</v>
          </cell>
          <cell r="G10">
            <v>0</v>
          </cell>
        </row>
        <row r="11">
          <cell r="B11" t="str">
            <v>101-391</v>
          </cell>
          <cell r="C11" t="str">
            <v>Office Furniture &amp; Equipment</v>
          </cell>
          <cell r="D11">
            <v>0</v>
          </cell>
          <cell r="E11">
            <v>0</v>
          </cell>
          <cell r="F11">
            <v>603</v>
          </cell>
          <cell r="G11">
            <v>1206</v>
          </cell>
        </row>
        <row r="12">
          <cell r="B12" t="str">
            <v>101-392</v>
          </cell>
          <cell r="C12" t="str">
            <v>Trans Equipment</v>
          </cell>
          <cell r="D12">
            <v>749</v>
          </cell>
          <cell r="E12">
            <v>1771</v>
          </cell>
          <cell r="F12">
            <v>2044</v>
          </cell>
          <cell r="G12">
            <v>2044</v>
          </cell>
        </row>
        <row r="13">
          <cell r="B13" t="str">
            <v>101-394</v>
          </cell>
          <cell r="C13" t="str">
            <v>Tools &amp; Shop Equipment</v>
          </cell>
          <cell r="D13">
            <v>7</v>
          </cell>
          <cell r="E13">
            <v>14</v>
          </cell>
          <cell r="F13">
            <v>18</v>
          </cell>
          <cell r="G13">
            <v>22</v>
          </cell>
        </row>
        <row r="14">
          <cell r="B14" t="str">
            <v>101-396</v>
          </cell>
          <cell r="C14" t="str">
            <v>Power Operated Equipment</v>
          </cell>
          <cell r="D14">
            <v>3</v>
          </cell>
          <cell r="E14">
            <v>6</v>
          </cell>
          <cell r="F14">
            <v>6</v>
          </cell>
          <cell r="G14">
            <v>6</v>
          </cell>
        </row>
        <row r="15">
          <cell r="B15" t="str">
            <v>101-380</v>
          </cell>
          <cell r="C15" t="str">
            <v>Service Installations</v>
          </cell>
          <cell r="D15">
            <v>149</v>
          </cell>
          <cell r="E15">
            <v>447</v>
          </cell>
          <cell r="F15">
            <v>744</v>
          </cell>
          <cell r="G15">
            <v>1042</v>
          </cell>
        </row>
        <row r="16">
          <cell r="B16" t="str">
            <v>101-398</v>
          </cell>
          <cell r="C16" t="str">
            <v>Miscellaneous Equipment</v>
          </cell>
          <cell r="D16">
            <v>0</v>
          </cell>
          <cell r="E16">
            <v>0</v>
          </cell>
          <cell r="F16">
            <v>0</v>
          </cell>
          <cell r="G16">
            <v>0</v>
          </cell>
        </row>
        <row r="17">
          <cell r="C17" t="str">
            <v>Sub-total</v>
          </cell>
          <cell r="D17">
            <v>1501</v>
          </cell>
          <cell r="E17">
            <v>3514</v>
          </cell>
          <cell r="F17">
            <v>4870</v>
          </cell>
          <cell r="G17">
            <v>5954</v>
          </cell>
        </row>
        <row r="19">
          <cell r="C19" t="str">
            <v>1999 Projected Budgeted Items</v>
          </cell>
          <cell r="D19">
            <v>15372</v>
          </cell>
          <cell r="E19">
            <v>15372</v>
          </cell>
          <cell r="F19">
            <v>15372</v>
          </cell>
          <cell r="G19">
            <v>15372</v>
          </cell>
        </row>
        <row r="20">
          <cell r="C20" t="str">
            <v>Current Assets Being Depreciated</v>
          </cell>
          <cell r="D20">
            <v>103664</v>
          </cell>
          <cell r="E20">
            <v>103664</v>
          </cell>
          <cell r="F20">
            <v>103664</v>
          </cell>
          <cell r="G20">
            <v>103664</v>
          </cell>
        </row>
        <row r="22">
          <cell r="C22" t="str">
            <v xml:space="preserve">Total depreciation </v>
          </cell>
          <cell r="D22">
            <v>120537</v>
          </cell>
          <cell r="E22">
            <v>122550</v>
          </cell>
          <cell r="F22">
            <v>123906</v>
          </cell>
          <cell r="G22">
            <v>124990</v>
          </cell>
        </row>
        <row r="25">
          <cell r="B25" t="str">
            <v xml:space="preserve">Note:  </v>
          </cell>
          <cell r="C25" t="str">
            <v>Transport depreciation is not included since it assumed to be considered in the cost of gas model.</v>
          </cell>
        </row>
        <row r="28">
          <cell r="C28" t="str">
            <v>Depreciation Analysis</v>
          </cell>
        </row>
        <row r="29">
          <cell r="C29" t="str">
            <v>Current Budget Projection</v>
          </cell>
        </row>
        <row r="30">
          <cell r="C30" t="str">
            <v>Excluding Transport</v>
          </cell>
          <cell r="D30">
            <v>120537</v>
          </cell>
          <cell r="E30">
            <v>122550</v>
          </cell>
          <cell r="F30">
            <v>123906</v>
          </cell>
          <cell r="G30">
            <v>124990</v>
          </cell>
        </row>
        <row r="31">
          <cell r="C31" t="str">
            <v>Projection from prior year</v>
          </cell>
          <cell r="D31">
            <v>1278897</v>
          </cell>
          <cell r="E31">
            <v>1328077</v>
          </cell>
          <cell r="F31">
            <v>1369273</v>
          </cell>
          <cell r="G31">
            <v>1378766</v>
          </cell>
        </row>
        <row r="32">
          <cell r="C32" t="str">
            <v>$ DIFF</v>
          </cell>
          <cell r="D32">
            <v>-1158360</v>
          </cell>
          <cell r="E32">
            <v>-1205527</v>
          </cell>
          <cell r="F32">
            <v>-1245367</v>
          </cell>
          <cell r="G32">
            <v>-1253776</v>
          </cell>
        </row>
        <row r="33">
          <cell r="C33" t="str">
            <v>% DIFF</v>
          </cell>
          <cell r="D33">
            <v>-0.90574925111248206</v>
          </cell>
          <cell r="E33">
            <v>-0.90772372385034905</v>
          </cell>
          <cell r="F33">
            <v>-0.90950964489915453</v>
          </cell>
          <cell r="G33">
            <v>-0.90934647358580067</v>
          </cell>
        </row>
      </sheetData>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NG Snapshot"/>
      <sheetName val="Frct by Month"/>
      <sheetName val="CFG Snapshot"/>
      <sheetName val="FPU Snapshot"/>
      <sheetName val="FI Snapshot"/>
      <sheetName val="FT Snapshot"/>
      <sheetName val="Forecast @ Bud"/>
      <sheetName val="Special Contracts"/>
      <sheetName val="Other Revenue"/>
      <sheetName val="COGS"/>
      <sheetName val="GRIP FPUC"/>
      <sheetName val="GRIP CFG"/>
      <sheetName val="Rates"/>
      <sheetName val="Budget"/>
      <sheetName val="FRCT INPUT-CFG"/>
      <sheetName val="FRCT INPUT-FN"/>
      <sheetName val="FRCT INPUT-FT"/>
      <sheetName val="Total DW NG Snapshot"/>
      <sheetName val="DW Forecast"/>
      <sheetName val="TS4 Frct"/>
      <sheetName val="NG Cust-Vol"/>
      <sheetName val="FPUC GRIP Rate 2016"/>
      <sheetName val="CFG GRIP Rate 2016"/>
      <sheetName val="FPUC GRIP Rate 2017"/>
      <sheetName val="CFG GRIP Rate 2017"/>
      <sheetName val="FPUC GRIP Rate 2018"/>
      <sheetName val="CFG GRIP Rate 2018"/>
      <sheetName val="FPUC GRIP Rate 2019"/>
      <sheetName val="CFG GRIP Rate 2019"/>
      <sheetName val="FPUC GRIP Rate 2020"/>
      <sheetName val="CFG GRIP Rate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2">
          <cell r="P32">
            <v>226588.34122000006</v>
          </cell>
        </row>
        <row r="41">
          <cell r="D41">
            <v>1461898.2599999949</v>
          </cell>
          <cell r="E41">
            <v>1582295.390000002</v>
          </cell>
          <cell r="F41">
            <v>1520019.960000003</v>
          </cell>
          <cell r="G41">
            <v>1405400.9499999951</v>
          </cell>
          <cell r="H41">
            <v>1424539.3200000019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 NE"/>
      <sheetName val="UI NW"/>
      <sheetName val="Budget Summary"/>
      <sheetName val="Budget Summary (2)"/>
      <sheetName val="Sheet2"/>
      <sheetName val="Sheet1"/>
      <sheetName val="Budget Summary By Division"/>
      <sheetName val="Forecast Summary"/>
      <sheetName val="Margin Input_Forecast"/>
      <sheetName val="2018 B"/>
      <sheetName val="Large Customers"/>
      <sheetName val="Rates"/>
      <sheetName val="Volume Input_Forecast"/>
      <sheetName val="Customer Input_Forecast"/>
      <sheetName val="5+7F GM Walk"/>
      <sheetName val="5+7F to 2020B"/>
      <sheetName val="6+6F GM walk"/>
      <sheetName val="6+6F to 2020B"/>
      <sheetName val="2019 Budget"/>
      <sheetName val="Customer Growth Input"/>
      <sheetName val="NW UI Adj Calc "/>
      <sheetName val="NW Margin Check "/>
      <sheetName val="NE UI Adj Calc"/>
      <sheetName val="NE Margin Check"/>
      <sheetName val="12ME May 2019"/>
      <sheetName val="12ME May to 2020B"/>
      <sheetName val="12ME May to 2019B"/>
      <sheetName val="2018 to 2019F"/>
      <sheetName val="PY 2019 to CY 2019"/>
      <sheetName val="2020B to 2021B"/>
      <sheetName val="List 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2019 01+11</v>
          </cell>
        </row>
        <row r="4">
          <cell r="A4" t="str">
            <v>2019 02+10</v>
          </cell>
        </row>
        <row r="5">
          <cell r="A5" t="str">
            <v>2019 03+ 09</v>
          </cell>
        </row>
        <row r="6">
          <cell r="A6" t="str">
            <v>2019 04+08</v>
          </cell>
        </row>
        <row r="7">
          <cell r="A7" t="str">
            <v>2019 05+07</v>
          </cell>
        </row>
        <row r="8">
          <cell r="A8" t="str">
            <v>2019 06+06</v>
          </cell>
        </row>
        <row r="9">
          <cell r="A9" t="str">
            <v>2019 07+05</v>
          </cell>
        </row>
        <row r="10">
          <cell r="A10" t="str">
            <v>2019 08+04</v>
          </cell>
        </row>
        <row r="11">
          <cell r="A11" t="str">
            <v>2019 09+03</v>
          </cell>
        </row>
        <row r="12">
          <cell r="A12" t="str">
            <v>2019 10+02</v>
          </cell>
        </row>
        <row r="13">
          <cell r="A13" t="str">
            <v>2019 11+01</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 NE"/>
      <sheetName val="UI NW"/>
      <sheetName val="Budget Summary"/>
      <sheetName val="Budget Summary (2)"/>
      <sheetName val="kw summary"/>
      <sheetName val="Sheet1"/>
      <sheetName val="Budget Summary By Division"/>
      <sheetName val="Forecast Summary"/>
      <sheetName val="Margin Input_Forecast"/>
      <sheetName val="Volume Input_Forecast"/>
      <sheetName val="Customer Input_Forecast"/>
      <sheetName val="Large Customers"/>
      <sheetName val="Exp not rec"/>
      <sheetName val="2018 B"/>
      <sheetName val="Rates"/>
      <sheetName val="5+7F GM Walk"/>
      <sheetName val="5+7F to 2020B"/>
      <sheetName val="6+6F GM walk"/>
      <sheetName val="6+6F to 2020B"/>
      <sheetName val="2019 Budget"/>
      <sheetName val="Customer Growth Input"/>
      <sheetName val="Surcharge 2019F Pivot Data"/>
      <sheetName val="Surcharge April &amp; May 19 Pivot"/>
      <sheetName val="Storm Surcharge Data"/>
      <sheetName val="NW UI Adj Calc "/>
      <sheetName val="NW Margin Check "/>
      <sheetName val="NE UI Adj Calc"/>
      <sheetName val="NE Margin Check"/>
      <sheetName val="UI FE Misc Revenues Data"/>
      <sheetName val="12ME May 2019"/>
      <sheetName val="12ME May to 2020B"/>
      <sheetName val="12ME May to 2019B"/>
      <sheetName val="2018 to 2019F"/>
      <sheetName val="PY 2019 to CY 2019"/>
      <sheetName val="2020B to 2021B"/>
      <sheetName val="List 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B3">
            <v>14.69</v>
          </cell>
        </row>
      </sheetData>
      <sheetData sheetId="15"/>
      <sheetData sheetId="16"/>
      <sheetData sheetId="17"/>
      <sheetData sheetId="18"/>
      <sheetData sheetId="19"/>
      <sheetData sheetId="20">
        <row r="2">
          <cell r="B2">
            <v>3.0000000000000001E-3</v>
          </cell>
        </row>
      </sheetData>
      <sheetData sheetId="21">
        <row r="4">
          <cell r="E4">
            <v>111092.70999999999</v>
          </cell>
        </row>
      </sheetData>
      <sheetData sheetId="22">
        <row r="5">
          <cell r="K5">
            <v>62450.17</v>
          </cell>
        </row>
      </sheetData>
      <sheetData sheetId="23"/>
      <sheetData sheetId="24"/>
      <sheetData sheetId="25"/>
      <sheetData sheetId="26"/>
      <sheetData sheetId="27"/>
      <sheetData sheetId="28"/>
      <sheetData sheetId="29">
        <row r="50">
          <cell r="O50">
            <v>275.19</v>
          </cell>
        </row>
      </sheetData>
      <sheetData sheetId="30"/>
      <sheetData sheetId="31"/>
      <sheetData sheetId="32"/>
      <sheetData sheetId="33"/>
      <sheetData sheetId="34"/>
      <sheetData sheetId="35">
        <row r="3">
          <cell r="A3" t="str">
            <v>2019 01+11</v>
          </cell>
        </row>
        <row r="4">
          <cell r="A4" t="str">
            <v>2019 02+10</v>
          </cell>
        </row>
        <row r="5">
          <cell r="A5" t="str">
            <v>2019 03+ 09</v>
          </cell>
        </row>
        <row r="6">
          <cell r="A6" t="str">
            <v>2019 04+08</v>
          </cell>
        </row>
        <row r="7">
          <cell r="A7" t="str">
            <v>2019 05+07</v>
          </cell>
        </row>
        <row r="8">
          <cell r="A8" t="str">
            <v>2019 06+06</v>
          </cell>
        </row>
        <row r="9">
          <cell r="A9" t="str">
            <v>2019 07+05</v>
          </cell>
        </row>
        <row r="10">
          <cell r="A10" t="str">
            <v>2019 08+04</v>
          </cell>
        </row>
        <row r="11">
          <cell r="A11" t="str">
            <v>2019 09+03</v>
          </cell>
        </row>
        <row r="12">
          <cell r="A12" t="str">
            <v>2019 10+02</v>
          </cell>
        </row>
        <row r="13">
          <cell r="A13" t="str">
            <v>2019 11+01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R"/>
      <sheetName val="COS"/>
      <sheetName val="Int Synch"/>
      <sheetName val="RateBase"/>
      <sheetName val="Mat&amp;Sup"/>
      <sheetName val="Prepayments"/>
      <sheetName val="Rev Deficiency"/>
      <sheetName val="DefTax"/>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Snapshot - Margin"/>
      <sheetName val="Forecast @ Bud"/>
      <sheetName val="Frct by Month"/>
      <sheetName val="Lighting Service"/>
      <sheetName val="Rev-COGS"/>
      <sheetName val="Misc Revenue"/>
      <sheetName val="2017 Budget"/>
      <sheetName val="Rates"/>
      <sheetName val="Budgeted OL"/>
      <sheetName val="FRCT INPUT-FE"/>
      <sheetName val="Cust-Vol"/>
      <sheetName val="True Forecast"/>
      <sheetName val="True Frct by Month"/>
      <sheetName val="FE JH"/>
      <sheetName val="Forecast Changes"/>
      <sheetName val="FPL Interconnect Initial Foreca"/>
      <sheetName val="FPL Interconnect Proj 2017"/>
      <sheetName val="FPL Interconnect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0">
          <cell r="BA10">
            <v>289725.71999999997</v>
          </cell>
        </row>
      </sheetData>
      <sheetData sheetId="14" refreshError="1"/>
      <sheetData sheetId="15" refreshError="1"/>
      <sheetData sheetId="16" refreshError="1"/>
      <sheetData sheetId="17" refreshError="1"/>
      <sheetData sheetId="18">
        <row r="7">
          <cell r="E7" t="str">
            <v>JANUARY</v>
          </cell>
          <cell r="F7" t="str">
            <v>FEBRUARY</v>
          </cell>
          <cell r="G7" t="str">
            <v>MARCH</v>
          </cell>
          <cell r="H7" t="str">
            <v>APRIL</v>
          </cell>
          <cell r="I7" t="str">
            <v>MAY</v>
          </cell>
          <cell r="J7" t="str">
            <v>JUNE</v>
          </cell>
          <cell r="K7" t="str">
            <v>JULY</v>
          </cell>
          <cell r="L7" t="str">
            <v>AUGUST</v>
          </cell>
          <cell r="M7" t="str">
            <v>SEPTEMBER</v>
          </cell>
          <cell r="N7" t="str">
            <v>OCTOBER</v>
          </cell>
          <cell r="O7" t="str">
            <v>NOVEMBER</v>
          </cell>
          <cell r="P7" t="str">
            <v>DECEMBER</v>
          </cell>
        </row>
        <row r="8">
          <cell r="E8">
            <v>0</v>
          </cell>
          <cell r="F8">
            <v>0</v>
          </cell>
          <cell r="G8">
            <v>0</v>
          </cell>
          <cell r="H8">
            <v>0</v>
          </cell>
          <cell r="I8">
            <v>0</v>
          </cell>
          <cell r="J8">
            <v>0</v>
          </cell>
          <cell r="K8">
            <v>0</v>
          </cell>
          <cell r="L8">
            <v>0</v>
          </cell>
          <cell r="M8">
            <v>0</v>
          </cell>
          <cell r="N8">
            <v>0</v>
          </cell>
          <cell r="O8">
            <v>0</v>
          </cell>
          <cell r="P8">
            <v>0</v>
          </cell>
        </row>
        <row r="9">
          <cell r="E9">
            <v>0</v>
          </cell>
          <cell r="F9">
            <v>0</v>
          </cell>
          <cell r="G9">
            <v>0</v>
          </cell>
          <cell r="H9">
            <v>0</v>
          </cell>
          <cell r="I9">
            <v>0</v>
          </cell>
          <cell r="J9">
            <v>0</v>
          </cell>
          <cell r="K9">
            <v>0</v>
          </cell>
          <cell r="L9">
            <v>0</v>
          </cell>
          <cell r="M9">
            <v>0</v>
          </cell>
          <cell r="N9">
            <v>0</v>
          </cell>
          <cell r="O9">
            <v>0</v>
          </cell>
          <cell r="P9">
            <v>0</v>
          </cell>
        </row>
        <row r="10">
          <cell r="E10">
            <v>0</v>
          </cell>
          <cell r="F10">
            <v>0</v>
          </cell>
          <cell r="G10">
            <v>0</v>
          </cell>
          <cell r="H10">
            <v>0</v>
          </cell>
          <cell r="I10">
            <v>0</v>
          </cell>
          <cell r="J10">
            <v>0</v>
          </cell>
          <cell r="K10">
            <v>0</v>
          </cell>
          <cell r="L10">
            <v>0</v>
          </cell>
          <cell r="M10">
            <v>0</v>
          </cell>
          <cell r="N10">
            <v>0</v>
          </cell>
          <cell r="O10">
            <v>0</v>
          </cell>
          <cell r="P10">
            <v>0</v>
          </cell>
        </row>
        <row r="11">
          <cell r="E11">
            <v>0</v>
          </cell>
          <cell r="F11">
            <v>0</v>
          </cell>
          <cell r="G11">
            <v>0</v>
          </cell>
          <cell r="H11">
            <v>0</v>
          </cell>
          <cell r="I11">
            <v>0</v>
          </cell>
          <cell r="J11">
            <v>0</v>
          </cell>
          <cell r="K11">
            <v>0</v>
          </cell>
          <cell r="L11">
            <v>0</v>
          </cell>
          <cell r="M11">
            <v>0</v>
          </cell>
          <cell r="N11">
            <v>0</v>
          </cell>
          <cell r="O11">
            <v>0</v>
          </cell>
          <cell r="P11">
            <v>0</v>
          </cell>
        </row>
        <row r="12">
          <cell r="E12">
            <v>0</v>
          </cell>
          <cell r="F12">
            <v>0</v>
          </cell>
          <cell r="G12">
            <v>0</v>
          </cell>
          <cell r="H12">
            <v>0</v>
          </cell>
          <cell r="I12">
            <v>0</v>
          </cell>
          <cell r="J12">
            <v>0</v>
          </cell>
          <cell r="K12">
            <v>0</v>
          </cell>
          <cell r="L12">
            <v>0</v>
          </cell>
          <cell r="M12">
            <v>0</v>
          </cell>
          <cell r="N12">
            <v>0</v>
          </cell>
          <cell r="O12">
            <v>0</v>
          </cell>
          <cell r="P12">
            <v>0</v>
          </cell>
        </row>
        <row r="13">
          <cell r="E13">
            <v>0</v>
          </cell>
          <cell r="F13">
            <v>0</v>
          </cell>
          <cell r="G13">
            <v>0</v>
          </cell>
          <cell r="H13">
            <v>0</v>
          </cell>
          <cell r="I13">
            <v>0</v>
          </cell>
          <cell r="J13">
            <v>0</v>
          </cell>
          <cell r="K13">
            <v>0</v>
          </cell>
          <cell r="L13">
            <v>0</v>
          </cell>
          <cell r="M13">
            <v>0</v>
          </cell>
          <cell r="N13">
            <v>0</v>
          </cell>
          <cell r="O13">
            <v>0</v>
          </cell>
          <cell r="P13">
            <v>0</v>
          </cell>
        </row>
        <row r="14">
          <cell r="E14">
            <v>0</v>
          </cell>
          <cell r="F14">
            <v>0</v>
          </cell>
          <cell r="G14">
            <v>0</v>
          </cell>
          <cell r="H14">
            <v>0</v>
          </cell>
          <cell r="I14">
            <v>0</v>
          </cell>
          <cell r="J14">
            <v>0</v>
          </cell>
          <cell r="K14">
            <v>0</v>
          </cell>
          <cell r="L14">
            <v>0</v>
          </cell>
          <cell r="M14">
            <v>0</v>
          </cell>
          <cell r="N14">
            <v>0</v>
          </cell>
          <cell r="O14">
            <v>0</v>
          </cell>
          <cell r="P14">
            <v>0</v>
          </cell>
        </row>
        <row r="15">
          <cell r="E15">
            <v>0</v>
          </cell>
          <cell r="F15">
            <v>0</v>
          </cell>
          <cell r="G15">
            <v>0</v>
          </cell>
          <cell r="H15">
            <v>0</v>
          </cell>
          <cell r="I15">
            <v>0</v>
          </cell>
          <cell r="J15">
            <v>0</v>
          </cell>
          <cell r="K15">
            <v>0</v>
          </cell>
          <cell r="L15">
            <v>0</v>
          </cell>
          <cell r="M15">
            <v>0</v>
          </cell>
          <cell r="N15">
            <v>0</v>
          </cell>
          <cell r="O15">
            <v>0</v>
          </cell>
          <cell r="P15">
            <v>0</v>
          </cell>
        </row>
        <row r="16">
          <cell r="E16">
            <v>0</v>
          </cell>
          <cell r="F16">
            <v>0</v>
          </cell>
          <cell r="G16">
            <v>0</v>
          </cell>
          <cell r="H16">
            <v>0</v>
          </cell>
          <cell r="I16">
            <v>0</v>
          </cell>
          <cell r="J16">
            <v>0</v>
          </cell>
          <cell r="K16">
            <v>0</v>
          </cell>
          <cell r="L16">
            <v>0</v>
          </cell>
          <cell r="M16">
            <v>0</v>
          </cell>
          <cell r="N16">
            <v>0</v>
          </cell>
          <cell r="O16">
            <v>0</v>
          </cell>
          <cell r="P16">
            <v>0</v>
          </cell>
        </row>
        <row r="17">
          <cell r="E17">
            <v>919269.98</v>
          </cell>
          <cell r="F17">
            <v>919269.98</v>
          </cell>
          <cell r="G17">
            <v>919269.98</v>
          </cell>
          <cell r="H17">
            <v>919269.98</v>
          </cell>
          <cell r="I17">
            <v>919269.98</v>
          </cell>
          <cell r="J17">
            <v>919269.98</v>
          </cell>
          <cell r="K17">
            <v>919269.98</v>
          </cell>
          <cell r="L17">
            <v>919269.98</v>
          </cell>
          <cell r="M17">
            <v>919269.98</v>
          </cell>
          <cell r="N17">
            <v>919269.98</v>
          </cell>
          <cell r="O17">
            <v>919269.98</v>
          </cell>
          <cell r="P17">
            <v>919269.98</v>
          </cell>
        </row>
        <row r="18">
          <cell r="E18">
            <v>0</v>
          </cell>
          <cell r="F18">
            <v>0</v>
          </cell>
          <cell r="G18">
            <v>0</v>
          </cell>
          <cell r="H18">
            <v>0</v>
          </cell>
          <cell r="I18">
            <v>0</v>
          </cell>
          <cell r="J18">
            <v>0</v>
          </cell>
          <cell r="K18">
            <v>0</v>
          </cell>
          <cell r="L18">
            <v>0</v>
          </cell>
          <cell r="M18">
            <v>0</v>
          </cell>
          <cell r="N18">
            <v>0</v>
          </cell>
          <cell r="O18">
            <v>0</v>
          </cell>
          <cell r="P18">
            <v>0</v>
          </cell>
        </row>
        <row r="19">
          <cell r="E19">
            <v>0</v>
          </cell>
          <cell r="F19">
            <v>0</v>
          </cell>
          <cell r="G19">
            <v>0</v>
          </cell>
          <cell r="H19">
            <v>0</v>
          </cell>
          <cell r="I19">
            <v>0</v>
          </cell>
          <cell r="J19">
            <v>0</v>
          </cell>
          <cell r="K19">
            <v>0</v>
          </cell>
          <cell r="L19">
            <v>0</v>
          </cell>
          <cell r="M19">
            <v>0</v>
          </cell>
          <cell r="N19">
            <v>0</v>
          </cell>
          <cell r="O19">
            <v>0</v>
          </cell>
          <cell r="P19">
            <v>0</v>
          </cell>
        </row>
        <row r="20">
          <cell r="E20">
            <v>0</v>
          </cell>
          <cell r="F20">
            <v>0</v>
          </cell>
          <cell r="G20">
            <v>0</v>
          </cell>
          <cell r="H20">
            <v>0</v>
          </cell>
          <cell r="I20">
            <v>0</v>
          </cell>
          <cell r="J20">
            <v>0</v>
          </cell>
          <cell r="K20">
            <v>0</v>
          </cell>
          <cell r="L20">
            <v>0</v>
          </cell>
          <cell r="M20">
            <v>0</v>
          </cell>
          <cell r="N20">
            <v>0</v>
          </cell>
          <cell r="O20">
            <v>0</v>
          </cell>
          <cell r="P20">
            <v>0</v>
          </cell>
        </row>
        <row r="21">
          <cell r="E21">
            <v>0</v>
          </cell>
          <cell r="F21">
            <v>0</v>
          </cell>
          <cell r="G21">
            <v>0</v>
          </cell>
          <cell r="H21">
            <v>0</v>
          </cell>
          <cell r="I21">
            <v>0</v>
          </cell>
          <cell r="J21">
            <v>0</v>
          </cell>
          <cell r="K21">
            <v>0</v>
          </cell>
          <cell r="L21">
            <v>0</v>
          </cell>
          <cell r="M21">
            <v>0</v>
          </cell>
          <cell r="N21">
            <v>0</v>
          </cell>
          <cell r="O21">
            <v>0</v>
          </cell>
          <cell r="P21">
            <v>0</v>
          </cell>
        </row>
        <row r="22">
          <cell r="E22">
            <v>0</v>
          </cell>
          <cell r="F22">
            <v>0</v>
          </cell>
          <cell r="G22">
            <v>0</v>
          </cell>
          <cell r="H22">
            <v>0</v>
          </cell>
          <cell r="I22">
            <v>0</v>
          </cell>
          <cell r="J22">
            <v>0</v>
          </cell>
          <cell r="K22">
            <v>0</v>
          </cell>
          <cell r="L22">
            <v>0</v>
          </cell>
          <cell r="M22">
            <v>0</v>
          </cell>
          <cell r="N22">
            <v>0</v>
          </cell>
          <cell r="O22">
            <v>0</v>
          </cell>
          <cell r="P22">
            <v>0</v>
          </cell>
        </row>
        <row r="23">
          <cell r="E23">
            <v>919269.98</v>
          </cell>
          <cell r="F23">
            <v>919269.98</v>
          </cell>
          <cell r="G23">
            <v>919269.98</v>
          </cell>
          <cell r="H23">
            <v>919269.98</v>
          </cell>
          <cell r="I23">
            <v>919269.98</v>
          </cell>
          <cell r="J23">
            <v>919269.98</v>
          </cell>
          <cell r="K23">
            <v>919269.98</v>
          </cell>
          <cell r="L23">
            <v>919269.98</v>
          </cell>
          <cell r="M23">
            <v>919269.98</v>
          </cell>
          <cell r="N23">
            <v>919269.98</v>
          </cell>
          <cell r="O23">
            <v>919269.98</v>
          </cell>
          <cell r="P23">
            <v>919269.98</v>
          </cell>
        </row>
        <row r="24">
          <cell r="E24">
            <v>0</v>
          </cell>
          <cell r="F24">
            <v>0</v>
          </cell>
          <cell r="G24">
            <v>0</v>
          </cell>
          <cell r="H24">
            <v>0</v>
          </cell>
          <cell r="I24">
            <v>0</v>
          </cell>
          <cell r="J24">
            <v>0</v>
          </cell>
          <cell r="K24">
            <v>0</v>
          </cell>
          <cell r="L24">
            <v>0</v>
          </cell>
          <cell r="M24">
            <v>0</v>
          </cell>
          <cell r="N24">
            <v>0</v>
          </cell>
          <cell r="O24">
            <v>0</v>
          </cell>
          <cell r="P24">
            <v>0</v>
          </cell>
        </row>
        <row r="25">
          <cell r="E25">
            <v>0</v>
          </cell>
          <cell r="F25">
            <v>0</v>
          </cell>
          <cell r="G25">
            <v>0</v>
          </cell>
          <cell r="H25">
            <v>0</v>
          </cell>
          <cell r="I25">
            <v>0</v>
          </cell>
          <cell r="J25">
            <v>0</v>
          </cell>
          <cell r="K25">
            <v>0</v>
          </cell>
          <cell r="L25">
            <v>0</v>
          </cell>
          <cell r="M25">
            <v>0</v>
          </cell>
          <cell r="N25">
            <v>0</v>
          </cell>
          <cell r="O25">
            <v>0</v>
          </cell>
          <cell r="P25">
            <v>0</v>
          </cell>
        </row>
        <row r="26">
          <cell r="E26">
            <v>919269.98</v>
          </cell>
          <cell r="F26">
            <v>919269.98</v>
          </cell>
          <cell r="G26">
            <v>919269.98</v>
          </cell>
          <cell r="H26">
            <v>919269.98</v>
          </cell>
          <cell r="I26">
            <v>919269.98</v>
          </cell>
          <cell r="J26">
            <v>919269.98</v>
          </cell>
          <cell r="K26">
            <v>919269.98</v>
          </cell>
          <cell r="L26">
            <v>919269.98</v>
          </cell>
          <cell r="M26">
            <v>919269.98</v>
          </cell>
          <cell r="N26">
            <v>919269.98</v>
          </cell>
          <cell r="O26">
            <v>919269.98</v>
          </cell>
          <cell r="P26">
            <v>919269.98</v>
          </cell>
        </row>
        <row r="27">
          <cell r="E27">
            <v>0</v>
          </cell>
          <cell r="F27">
            <v>0</v>
          </cell>
          <cell r="G27">
            <v>0</v>
          </cell>
          <cell r="H27">
            <v>0</v>
          </cell>
          <cell r="I27">
            <v>0</v>
          </cell>
          <cell r="J27">
            <v>0</v>
          </cell>
          <cell r="K27">
            <v>0</v>
          </cell>
          <cell r="L27">
            <v>0</v>
          </cell>
          <cell r="M27">
            <v>0</v>
          </cell>
          <cell r="N27">
            <v>0</v>
          </cell>
          <cell r="O27">
            <v>0</v>
          </cell>
          <cell r="P27">
            <v>0</v>
          </cell>
        </row>
        <row r="28">
          <cell r="E28">
            <v>919270</v>
          </cell>
          <cell r="F28">
            <v>919270</v>
          </cell>
          <cell r="G28">
            <v>919270</v>
          </cell>
          <cell r="H28">
            <v>919270</v>
          </cell>
          <cell r="I28">
            <v>919270</v>
          </cell>
          <cell r="J28">
            <v>919270</v>
          </cell>
          <cell r="K28">
            <v>919270</v>
          </cell>
          <cell r="L28">
            <v>919270</v>
          </cell>
          <cell r="M28">
            <v>919270</v>
          </cell>
          <cell r="N28">
            <v>919270</v>
          </cell>
          <cell r="O28">
            <v>919270</v>
          </cell>
          <cell r="P28">
            <v>919270</v>
          </cell>
        </row>
        <row r="29">
          <cell r="E29">
            <v>0</v>
          </cell>
          <cell r="F29">
            <v>0</v>
          </cell>
          <cell r="G29">
            <v>0</v>
          </cell>
          <cell r="H29">
            <v>0</v>
          </cell>
          <cell r="I29">
            <v>0</v>
          </cell>
          <cell r="J29">
            <v>0</v>
          </cell>
          <cell r="K29">
            <v>0</v>
          </cell>
          <cell r="L29">
            <v>0</v>
          </cell>
          <cell r="M29">
            <v>0</v>
          </cell>
          <cell r="N29">
            <v>0</v>
          </cell>
          <cell r="O29">
            <v>0</v>
          </cell>
          <cell r="P29">
            <v>0</v>
          </cell>
        </row>
        <row r="30">
          <cell r="E30">
            <v>0</v>
          </cell>
          <cell r="F30">
            <v>0</v>
          </cell>
          <cell r="G30">
            <v>0</v>
          </cell>
          <cell r="H30">
            <v>0</v>
          </cell>
          <cell r="I30">
            <v>0</v>
          </cell>
          <cell r="J30">
            <v>0</v>
          </cell>
          <cell r="K30">
            <v>0</v>
          </cell>
          <cell r="L30">
            <v>0</v>
          </cell>
          <cell r="M30">
            <v>0</v>
          </cell>
          <cell r="N30">
            <v>0</v>
          </cell>
          <cell r="O30">
            <v>0</v>
          </cell>
          <cell r="P30">
            <v>0</v>
          </cell>
        </row>
        <row r="31">
          <cell r="E31">
            <v>1.7999999999999999E-2</v>
          </cell>
          <cell r="F31">
            <v>1.7999999999999999E-2</v>
          </cell>
          <cell r="G31">
            <v>1.7999999999999999E-2</v>
          </cell>
          <cell r="H31">
            <v>1.7999999999999999E-2</v>
          </cell>
          <cell r="I31">
            <v>1.7999999999999999E-2</v>
          </cell>
          <cell r="J31">
            <v>1.7999999999999999E-2</v>
          </cell>
          <cell r="K31">
            <v>1.7999999999999999E-2</v>
          </cell>
          <cell r="L31">
            <v>1.7999999999999999E-2</v>
          </cell>
          <cell r="M31">
            <v>1.7999999999999999E-2</v>
          </cell>
          <cell r="N31">
            <v>1.7999999999999999E-2</v>
          </cell>
          <cell r="O31">
            <v>1.7999999999999999E-2</v>
          </cell>
          <cell r="P31">
            <v>1.7999999999999999E-2</v>
          </cell>
        </row>
        <row r="32">
          <cell r="E32">
            <v>2.5999999999999999E-2</v>
          </cell>
          <cell r="F32">
            <v>2.5999999999999999E-2</v>
          </cell>
          <cell r="G32">
            <v>2.5999999999999999E-2</v>
          </cell>
          <cell r="H32">
            <v>2.5999999999999999E-2</v>
          </cell>
          <cell r="I32">
            <v>2.5999999999999999E-2</v>
          </cell>
          <cell r="J32">
            <v>2.5999999999999999E-2</v>
          </cell>
          <cell r="K32">
            <v>2.5999999999999999E-2</v>
          </cell>
          <cell r="L32">
            <v>2.5999999999999999E-2</v>
          </cell>
          <cell r="M32">
            <v>2.5999999999999999E-2</v>
          </cell>
          <cell r="N32">
            <v>2.5999999999999999E-2</v>
          </cell>
          <cell r="O32">
            <v>2.5999999999999999E-2</v>
          </cell>
          <cell r="P32">
            <v>2.5999999999999999E-2</v>
          </cell>
        </row>
        <row r="33">
          <cell r="E33">
            <v>2.5000000000000001E-2</v>
          </cell>
          <cell r="F33">
            <v>2.5000000000000001E-2</v>
          </cell>
          <cell r="G33">
            <v>2.5000000000000001E-2</v>
          </cell>
          <cell r="H33">
            <v>2.5000000000000001E-2</v>
          </cell>
          <cell r="I33">
            <v>2.5000000000000001E-2</v>
          </cell>
          <cell r="J33">
            <v>2.5000000000000001E-2</v>
          </cell>
          <cell r="K33">
            <v>2.5000000000000001E-2</v>
          </cell>
          <cell r="L33">
            <v>2.5000000000000001E-2</v>
          </cell>
          <cell r="M33">
            <v>2.5000000000000001E-2</v>
          </cell>
          <cell r="N33">
            <v>2.5000000000000001E-2</v>
          </cell>
          <cell r="O33">
            <v>2.5000000000000001E-2</v>
          </cell>
          <cell r="P33">
            <v>2.5000000000000001E-2</v>
          </cell>
        </row>
        <row r="34">
          <cell r="E34">
            <v>0</v>
          </cell>
          <cell r="F34">
            <v>0</v>
          </cell>
          <cell r="G34">
            <v>0</v>
          </cell>
          <cell r="H34">
            <v>0</v>
          </cell>
          <cell r="I34">
            <v>0</v>
          </cell>
          <cell r="J34">
            <v>0</v>
          </cell>
          <cell r="K34">
            <v>0</v>
          </cell>
          <cell r="L34">
            <v>0</v>
          </cell>
          <cell r="M34">
            <v>0</v>
          </cell>
          <cell r="N34">
            <v>0</v>
          </cell>
          <cell r="O34">
            <v>0</v>
          </cell>
          <cell r="P34">
            <v>0</v>
          </cell>
        </row>
        <row r="35">
          <cell r="E35">
            <v>0</v>
          </cell>
          <cell r="F35">
            <v>0</v>
          </cell>
          <cell r="G35">
            <v>0</v>
          </cell>
          <cell r="H35">
            <v>0</v>
          </cell>
          <cell r="I35">
            <v>0</v>
          </cell>
          <cell r="J35">
            <v>0</v>
          </cell>
          <cell r="K35">
            <v>0</v>
          </cell>
          <cell r="L35">
            <v>0</v>
          </cell>
          <cell r="M35">
            <v>0</v>
          </cell>
          <cell r="N35">
            <v>0</v>
          </cell>
          <cell r="O35">
            <v>0</v>
          </cell>
          <cell r="P35">
            <v>0</v>
          </cell>
        </row>
        <row r="36">
          <cell r="E36">
            <v>0</v>
          </cell>
          <cell r="F36">
            <v>0</v>
          </cell>
          <cell r="G36">
            <v>0</v>
          </cell>
          <cell r="H36">
            <v>0</v>
          </cell>
          <cell r="I36">
            <v>0</v>
          </cell>
          <cell r="J36">
            <v>0</v>
          </cell>
          <cell r="K36">
            <v>0</v>
          </cell>
          <cell r="L36">
            <v>0</v>
          </cell>
          <cell r="M36">
            <v>0</v>
          </cell>
          <cell r="N36">
            <v>0</v>
          </cell>
          <cell r="O36">
            <v>0</v>
          </cell>
          <cell r="P36">
            <v>0</v>
          </cell>
        </row>
        <row r="37">
          <cell r="E37">
            <v>6.4699999999999994E-2</v>
          </cell>
          <cell r="F37">
            <v>6.4699999999999994E-2</v>
          </cell>
          <cell r="G37">
            <v>6.4699999999999994E-2</v>
          </cell>
          <cell r="H37">
            <v>6.4699999999999994E-2</v>
          </cell>
          <cell r="I37">
            <v>6.4699999999999994E-2</v>
          </cell>
          <cell r="J37">
            <v>6.4699999999999994E-2</v>
          </cell>
          <cell r="K37">
            <v>6.4699999999999994E-2</v>
          </cell>
          <cell r="L37">
            <v>6.4699999999999994E-2</v>
          </cell>
          <cell r="M37">
            <v>6.4699999999999994E-2</v>
          </cell>
          <cell r="N37">
            <v>6.4699999999999994E-2</v>
          </cell>
          <cell r="O37">
            <v>6.4699999999999994E-2</v>
          </cell>
          <cell r="P37">
            <v>6.4699999999999994E-2</v>
          </cell>
        </row>
        <row r="38">
          <cell r="E38">
            <v>1.2500000000000001E-2</v>
          </cell>
          <cell r="F38">
            <v>1.2500000000000001E-2</v>
          </cell>
          <cell r="G38">
            <v>1.2500000000000001E-2</v>
          </cell>
          <cell r="H38">
            <v>1.2500000000000001E-2</v>
          </cell>
          <cell r="I38">
            <v>1.2500000000000001E-2</v>
          </cell>
          <cell r="J38">
            <v>1.2500000000000001E-2</v>
          </cell>
          <cell r="K38">
            <v>1.2500000000000001E-2</v>
          </cell>
          <cell r="L38">
            <v>1.2500000000000001E-2</v>
          </cell>
          <cell r="M38">
            <v>1.2500000000000001E-2</v>
          </cell>
          <cell r="N38">
            <v>1.2500000000000001E-2</v>
          </cell>
          <cell r="O38">
            <v>1.2500000000000001E-2</v>
          </cell>
          <cell r="P38">
            <v>1.2500000000000001E-2</v>
          </cell>
        </row>
        <row r="39">
          <cell r="E39">
            <v>0</v>
          </cell>
          <cell r="F39">
            <v>0</v>
          </cell>
          <cell r="G39">
            <v>0</v>
          </cell>
          <cell r="H39">
            <v>0</v>
          </cell>
          <cell r="I39">
            <v>0</v>
          </cell>
          <cell r="J39">
            <v>0</v>
          </cell>
          <cell r="K39">
            <v>0</v>
          </cell>
          <cell r="L39">
            <v>0</v>
          </cell>
          <cell r="M39">
            <v>0</v>
          </cell>
          <cell r="N39">
            <v>0</v>
          </cell>
          <cell r="O39">
            <v>0</v>
          </cell>
          <cell r="P39">
            <v>0</v>
          </cell>
        </row>
        <row r="40">
          <cell r="E40">
            <v>4956</v>
          </cell>
          <cell r="F40">
            <v>4956</v>
          </cell>
          <cell r="G40">
            <v>4956</v>
          </cell>
          <cell r="H40">
            <v>4956</v>
          </cell>
          <cell r="I40">
            <v>4956</v>
          </cell>
          <cell r="J40">
            <v>4956</v>
          </cell>
          <cell r="K40">
            <v>4956</v>
          </cell>
          <cell r="L40">
            <v>4956</v>
          </cell>
          <cell r="M40">
            <v>4956</v>
          </cell>
          <cell r="N40">
            <v>4956</v>
          </cell>
          <cell r="O40">
            <v>4956</v>
          </cell>
          <cell r="P40">
            <v>4956</v>
          </cell>
        </row>
        <row r="41">
          <cell r="E41">
            <v>958</v>
          </cell>
          <cell r="F41">
            <v>958</v>
          </cell>
          <cell r="G41">
            <v>958</v>
          </cell>
          <cell r="H41">
            <v>958</v>
          </cell>
          <cell r="I41">
            <v>958</v>
          </cell>
          <cell r="J41">
            <v>958</v>
          </cell>
          <cell r="K41">
            <v>958</v>
          </cell>
          <cell r="L41">
            <v>958</v>
          </cell>
          <cell r="M41">
            <v>958</v>
          </cell>
          <cell r="N41">
            <v>958</v>
          </cell>
          <cell r="O41">
            <v>958</v>
          </cell>
          <cell r="P41">
            <v>958</v>
          </cell>
        </row>
        <row r="42">
          <cell r="E42">
            <v>5914</v>
          </cell>
          <cell r="F42">
            <v>5914</v>
          </cell>
          <cell r="G42">
            <v>5914</v>
          </cell>
          <cell r="H42">
            <v>5914</v>
          </cell>
          <cell r="I42">
            <v>5914</v>
          </cell>
          <cell r="J42">
            <v>5914</v>
          </cell>
          <cell r="K42">
            <v>5914</v>
          </cell>
          <cell r="L42">
            <v>5914</v>
          </cell>
          <cell r="M42">
            <v>5914</v>
          </cell>
          <cell r="N42">
            <v>5914</v>
          </cell>
          <cell r="O42">
            <v>5914</v>
          </cell>
          <cell r="P42">
            <v>5914</v>
          </cell>
        </row>
        <row r="43">
          <cell r="E43">
            <v>0</v>
          </cell>
          <cell r="F43">
            <v>0</v>
          </cell>
          <cell r="G43">
            <v>0</v>
          </cell>
          <cell r="H43">
            <v>0</v>
          </cell>
          <cell r="I43">
            <v>0</v>
          </cell>
          <cell r="J43">
            <v>0</v>
          </cell>
          <cell r="K43">
            <v>0</v>
          </cell>
          <cell r="L43">
            <v>0</v>
          </cell>
          <cell r="M43">
            <v>0</v>
          </cell>
          <cell r="N43">
            <v>0</v>
          </cell>
          <cell r="O43">
            <v>0</v>
          </cell>
          <cell r="P43">
            <v>0</v>
          </cell>
        </row>
        <row r="44">
          <cell r="E44">
            <v>0</v>
          </cell>
          <cell r="F44">
            <v>0</v>
          </cell>
          <cell r="G44">
            <v>0</v>
          </cell>
          <cell r="H44">
            <v>0</v>
          </cell>
          <cell r="I44">
            <v>0</v>
          </cell>
          <cell r="J44">
            <v>0</v>
          </cell>
          <cell r="K44">
            <v>0</v>
          </cell>
          <cell r="L44">
            <v>0</v>
          </cell>
          <cell r="M44">
            <v>0</v>
          </cell>
          <cell r="N44">
            <v>0</v>
          </cell>
          <cell r="O44">
            <v>0</v>
          </cell>
          <cell r="P44">
            <v>0</v>
          </cell>
        </row>
        <row r="45">
          <cell r="E45">
            <v>0</v>
          </cell>
          <cell r="F45">
            <v>0</v>
          </cell>
          <cell r="G45">
            <v>0</v>
          </cell>
          <cell r="H45">
            <v>0</v>
          </cell>
          <cell r="I45">
            <v>0</v>
          </cell>
          <cell r="J45">
            <v>0</v>
          </cell>
          <cell r="K45">
            <v>0</v>
          </cell>
          <cell r="L45">
            <v>0</v>
          </cell>
          <cell r="M45">
            <v>0</v>
          </cell>
          <cell r="N45">
            <v>0</v>
          </cell>
          <cell r="O45">
            <v>0</v>
          </cell>
          <cell r="P45">
            <v>0</v>
          </cell>
        </row>
        <row r="46">
          <cell r="E46">
            <v>0</v>
          </cell>
          <cell r="F46">
            <v>0</v>
          </cell>
          <cell r="G46">
            <v>0</v>
          </cell>
          <cell r="H46">
            <v>0</v>
          </cell>
          <cell r="I46">
            <v>0</v>
          </cell>
          <cell r="J46">
            <v>0</v>
          </cell>
          <cell r="K46">
            <v>0</v>
          </cell>
          <cell r="L46">
            <v>0</v>
          </cell>
          <cell r="M46">
            <v>0</v>
          </cell>
          <cell r="N46">
            <v>0</v>
          </cell>
          <cell r="O46">
            <v>0</v>
          </cell>
          <cell r="P46">
            <v>0</v>
          </cell>
        </row>
        <row r="47">
          <cell r="E47">
            <v>0</v>
          </cell>
          <cell r="F47">
            <v>0</v>
          </cell>
          <cell r="G47">
            <v>0</v>
          </cell>
          <cell r="H47">
            <v>0</v>
          </cell>
          <cell r="I47">
            <v>0</v>
          </cell>
          <cell r="J47">
            <v>0</v>
          </cell>
          <cell r="K47">
            <v>0</v>
          </cell>
          <cell r="L47">
            <v>0</v>
          </cell>
          <cell r="M47">
            <v>0</v>
          </cell>
          <cell r="N47">
            <v>0</v>
          </cell>
          <cell r="O47">
            <v>0</v>
          </cell>
          <cell r="P47">
            <v>0</v>
          </cell>
        </row>
        <row r="48">
          <cell r="E48">
            <v>0</v>
          </cell>
          <cell r="F48">
            <v>0</v>
          </cell>
          <cell r="G48">
            <v>0</v>
          </cell>
          <cell r="H48">
            <v>0</v>
          </cell>
          <cell r="I48">
            <v>0</v>
          </cell>
          <cell r="J48">
            <v>0</v>
          </cell>
          <cell r="K48">
            <v>0</v>
          </cell>
          <cell r="L48">
            <v>0</v>
          </cell>
          <cell r="M48">
            <v>0</v>
          </cell>
          <cell r="N48">
            <v>0</v>
          </cell>
          <cell r="O48">
            <v>0</v>
          </cell>
          <cell r="P48">
            <v>0</v>
          </cell>
        </row>
        <row r="49">
          <cell r="E49">
            <v>5914</v>
          </cell>
          <cell r="F49">
            <v>5914</v>
          </cell>
          <cell r="G49">
            <v>5914</v>
          </cell>
          <cell r="H49">
            <v>5914</v>
          </cell>
          <cell r="I49">
            <v>5914</v>
          </cell>
          <cell r="J49">
            <v>5914</v>
          </cell>
          <cell r="K49">
            <v>5914</v>
          </cell>
          <cell r="L49">
            <v>5914</v>
          </cell>
          <cell r="M49">
            <v>5914</v>
          </cell>
          <cell r="N49">
            <v>5914</v>
          </cell>
          <cell r="O49">
            <v>5914</v>
          </cell>
          <cell r="P49">
            <v>5914</v>
          </cell>
        </row>
        <row r="50">
          <cell r="E50">
            <v>4.2580800000000005</v>
          </cell>
          <cell r="F50">
            <v>4.2580800000000005</v>
          </cell>
          <cell r="G50">
            <v>4.2580800000000005</v>
          </cell>
          <cell r="H50">
            <v>4.2580800000000005</v>
          </cell>
          <cell r="I50">
            <v>4.2580800000000005</v>
          </cell>
          <cell r="J50">
            <v>4.2580800000000005</v>
          </cell>
          <cell r="K50">
            <v>4.2580800000000005</v>
          </cell>
          <cell r="L50">
            <v>4.2580800000000005</v>
          </cell>
          <cell r="M50">
            <v>4.2580800000000005</v>
          </cell>
          <cell r="N50">
            <v>4.2580800000000005</v>
          </cell>
          <cell r="O50">
            <v>4.2580800000000005</v>
          </cell>
          <cell r="P50">
            <v>4.2580800000000005</v>
          </cell>
        </row>
        <row r="51">
          <cell r="E51">
            <v>5918.2580799999996</v>
          </cell>
          <cell r="F51">
            <v>5918.2580799999996</v>
          </cell>
          <cell r="G51">
            <v>5918.2580799999996</v>
          </cell>
          <cell r="H51">
            <v>5918.2580799999996</v>
          </cell>
          <cell r="I51">
            <v>5918.2580799999996</v>
          </cell>
          <cell r="J51">
            <v>5918.2580799999996</v>
          </cell>
          <cell r="K51">
            <v>5918.2580799999996</v>
          </cell>
          <cell r="L51">
            <v>5918.2580799999996</v>
          </cell>
          <cell r="M51">
            <v>5918.2580799999996</v>
          </cell>
          <cell r="N51">
            <v>5918.2580799999996</v>
          </cell>
          <cell r="O51">
            <v>5918.2580799999996</v>
          </cell>
          <cell r="P51">
            <v>5918.2580799999996</v>
          </cell>
        </row>
        <row r="52">
          <cell r="E52">
            <v>0</v>
          </cell>
          <cell r="F52">
            <v>0</v>
          </cell>
          <cell r="G52">
            <v>0</v>
          </cell>
          <cell r="H52">
            <v>0</v>
          </cell>
          <cell r="I52">
            <v>0</v>
          </cell>
          <cell r="J52">
            <v>0</v>
          </cell>
          <cell r="K52">
            <v>0</v>
          </cell>
          <cell r="L52">
            <v>0</v>
          </cell>
          <cell r="M52">
            <v>0</v>
          </cell>
          <cell r="N52">
            <v>0</v>
          </cell>
          <cell r="O52">
            <v>0</v>
          </cell>
          <cell r="P52">
            <v>0</v>
          </cell>
        </row>
        <row r="53">
          <cell r="E53">
            <v>5918.2580799999996</v>
          </cell>
          <cell r="F53">
            <v>11836.516159999999</v>
          </cell>
          <cell r="G53">
            <v>17754.774239999999</v>
          </cell>
          <cell r="H53">
            <v>23673.032319999998</v>
          </cell>
          <cell r="I53">
            <v>29591.290399999998</v>
          </cell>
          <cell r="J53">
            <v>35509.548479999998</v>
          </cell>
          <cell r="K53">
            <v>41427.806559999997</v>
          </cell>
          <cell r="L53">
            <v>47346.064639999997</v>
          </cell>
          <cell r="M53">
            <v>53264.322719999996</v>
          </cell>
          <cell r="N53">
            <v>59182.580799999996</v>
          </cell>
          <cell r="O53">
            <v>65100.838879999996</v>
          </cell>
          <cell r="P53">
            <v>71019.096959999995</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updated"/>
      <sheetName val="MAR-updated"/>
      <sheetName val="FLA-updated"/>
      <sheetName val="PPS-updated"/>
      <sheetName val="ESN-updated"/>
      <sheetName val="SHPFL-updated"/>
      <sheetName val="SHARP-updated"/>
      <sheetName val="Tolan-updated"/>
      <sheetName val="Douglas-updated"/>
      <sheetName val="Carroll-updated"/>
      <sheetName val="Start-Ups-updated"/>
      <sheetName val="EXC-updated"/>
      <sheetName val="SKIPJACK-updated"/>
      <sheetName val="Seaford Pwr Plant"/>
    </sheetNames>
    <sheetDataSet>
      <sheetData sheetId="0">
        <row r="11">
          <cell r="A11" t="str">
            <v>01S</v>
          </cell>
          <cell r="B11" t="str">
            <v>304</v>
          </cell>
          <cell r="G11" t="str">
            <v>Land and Land Rights</v>
          </cell>
        </row>
        <row r="13">
          <cell r="H13" t="str">
            <v>Subtotal Group 01S</v>
          </cell>
          <cell r="O13">
            <v>0</v>
          </cell>
        </row>
        <row r="15">
          <cell r="A15" t="str">
            <v>02S</v>
          </cell>
          <cell r="B15" t="str">
            <v>305</v>
          </cell>
          <cell r="G15" t="str">
            <v>Structures and Improvements</v>
          </cell>
        </row>
        <row r="16">
          <cell r="H16" t="str">
            <v>Subtotal Group 02S</v>
          </cell>
          <cell r="O16">
            <v>0</v>
          </cell>
        </row>
        <row r="18">
          <cell r="A18" t="str">
            <v>03</v>
          </cell>
          <cell r="B18" t="str">
            <v>311</v>
          </cell>
          <cell r="G18" t="str">
            <v>Propane Plant</v>
          </cell>
        </row>
        <row r="19">
          <cell r="A19" t="str">
            <v>03</v>
          </cell>
          <cell r="B19" t="str">
            <v>311</v>
          </cell>
          <cell r="C19">
            <v>36832</v>
          </cell>
          <cell r="D19">
            <v>37225</v>
          </cell>
          <cell r="E19" t="str">
            <v>DE-N DOVER</v>
          </cell>
          <cell r="F19" t="str">
            <v>PROPANE PLANT</v>
          </cell>
          <cell r="H19" t="str">
            <v>N. Dover Peak Shaving Plant (ADD $45,000)</v>
          </cell>
          <cell r="M19">
            <v>75365.47</v>
          </cell>
          <cell r="N19">
            <v>81000</v>
          </cell>
          <cell r="O19">
            <v>5634.5299999999988</v>
          </cell>
          <cell r="P19">
            <v>2448.5700000000002</v>
          </cell>
          <cell r="Q19">
            <v>824.1</v>
          </cell>
          <cell r="R19">
            <v>72092.800000000003</v>
          </cell>
        </row>
        <row r="20">
          <cell r="A20" t="str">
            <v>03</v>
          </cell>
          <cell r="B20" t="str">
            <v>311</v>
          </cell>
          <cell r="H20" t="str">
            <v>BLANKET</v>
          </cell>
          <cell r="M20">
            <v>0</v>
          </cell>
          <cell r="N20">
            <v>10400</v>
          </cell>
          <cell r="O20">
            <v>10400</v>
          </cell>
        </row>
        <row r="21">
          <cell r="H21" t="str">
            <v>Subtotal Group 03</v>
          </cell>
          <cell r="M21">
            <v>75365.47</v>
          </cell>
          <cell r="N21">
            <v>91400</v>
          </cell>
          <cell r="O21">
            <v>16034.529999999999</v>
          </cell>
        </row>
        <row r="23">
          <cell r="A23" t="str">
            <v>05</v>
          </cell>
          <cell r="B23" t="str">
            <v>376</v>
          </cell>
          <cell r="G23" t="str">
            <v>Mains - New Customers</v>
          </cell>
        </row>
        <row r="24">
          <cell r="A24" t="str">
            <v>05</v>
          </cell>
          <cell r="B24" t="str">
            <v>376</v>
          </cell>
          <cell r="H24" t="str">
            <v>Milford Project</v>
          </cell>
          <cell r="M24">
            <v>0</v>
          </cell>
          <cell r="N24">
            <v>1175</v>
          </cell>
          <cell r="O24">
            <v>1175</v>
          </cell>
        </row>
        <row r="25">
          <cell r="A25" t="str">
            <v>05</v>
          </cell>
          <cell r="B25" t="str">
            <v>376</v>
          </cell>
          <cell r="H25" t="str">
            <v>BLANKET</v>
          </cell>
          <cell r="M25">
            <v>0</v>
          </cell>
          <cell r="N25">
            <v>16748</v>
          </cell>
          <cell r="O25">
            <v>16748</v>
          </cell>
        </row>
        <row r="26">
          <cell r="A26" t="str">
            <v>05</v>
          </cell>
          <cell r="B26" t="str">
            <v>376</v>
          </cell>
          <cell r="C26">
            <v>36861</v>
          </cell>
          <cell r="D26">
            <v>37042</v>
          </cell>
          <cell r="E26" t="str">
            <v>DE-17&amp;23 LIBERTY DR</v>
          </cell>
          <cell r="F26" t="str">
            <v>MAIN-NEW CUST</v>
          </cell>
          <cell r="H26" t="str">
            <v>2000 DE-17 &amp; 23 LIBERTY DR-MAIN-NEW CUST</v>
          </cell>
          <cell r="J26">
            <v>390</v>
          </cell>
          <cell r="L26">
            <v>60</v>
          </cell>
          <cell r="M26">
            <v>202.82</v>
          </cell>
          <cell r="N26">
            <v>203</v>
          </cell>
          <cell r="O26">
            <v>0.18000000000000682</v>
          </cell>
          <cell r="P26">
            <v>202.82</v>
          </cell>
        </row>
        <row r="27">
          <cell r="A27" t="str">
            <v>05</v>
          </cell>
          <cell r="B27" t="str">
            <v>376</v>
          </cell>
          <cell r="C27">
            <v>36647</v>
          </cell>
          <cell r="D27">
            <v>36738</v>
          </cell>
          <cell r="E27" t="str">
            <v>DE-BON AYRE MHP</v>
          </cell>
          <cell r="F27" t="str">
            <v>MAIN NEW</v>
          </cell>
          <cell r="H27" t="str">
            <v>2000 Bon Ayre MHP Main</v>
          </cell>
          <cell r="K27">
            <v>235</v>
          </cell>
          <cell r="L27">
            <v>54</v>
          </cell>
          <cell r="M27">
            <v>334.29</v>
          </cell>
          <cell r="N27">
            <v>334</v>
          </cell>
          <cell r="O27">
            <v>-0.29000000000002046</v>
          </cell>
          <cell r="P27">
            <v>334.29</v>
          </cell>
        </row>
        <row r="28">
          <cell r="A28" t="str">
            <v>05</v>
          </cell>
          <cell r="B28" t="str">
            <v>376</v>
          </cell>
          <cell r="C28">
            <v>37158</v>
          </cell>
          <cell r="E28" t="str">
            <v>DE-BUNKER HILL</v>
          </cell>
          <cell r="F28" t="str">
            <v xml:space="preserve">MAIN NEW </v>
          </cell>
          <cell r="H28" t="str">
            <v>Install 3850'-6", 1050'-2" pl main-Bunker Hill Business Center</v>
          </cell>
          <cell r="I28">
            <v>4900</v>
          </cell>
          <cell r="J28">
            <v>1050</v>
          </cell>
          <cell r="K28">
            <v>3850</v>
          </cell>
          <cell r="L28">
            <v>45</v>
          </cell>
          <cell r="M28">
            <v>39451.67</v>
          </cell>
          <cell r="N28">
            <v>60993</v>
          </cell>
          <cell r="O28">
            <v>21541.33</v>
          </cell>
          <cell r="P28">
            <v>12476.67</v>
          </cell>
          <cell r="R28">
            <v>26975</v>
          </cell>
        </row>
        <row r="29">
          <cell r="A29" t="str">
            <v>05</v>
          </cell>
          <cell r="B29" t="str">
            <v>376</v>
          </cell>
          <cell r="C29">
            <v>37158</v>
          </cell>
          <cell r="E29" t="str">
            <v>DE-BUNKER HIL APPR</v>
          </cell>
          <cell r="F29" t="str">
            <v xml:space="preserve">MAIN NEW </v>
          </cell>
          <cell r="H29" t="str">
            <v>Install 1350'-6", from Doc Levinson Dr to Sandhill Dr entrance to Bunker Hill Ctr</v>
          </cell>
          <cell r="I29">
            <v>1350</v>
          </cell>
          <cell r="K29">
            <v>1350</v>
          </cell>
          <cell r="L29">
            <v>45</v>
          </cell>
          <cell r="M29">
            <v>4094.73</v>
          </cell>
          <cell r="N29">
            <v>19045</v>
          </cell>
          <cell r="O29">
            <v>14950.27</v>
          </cell>
          <cell r="P29">
            <v>4094.73</v>
          </cell>
        </row>
        <row r="30">
          <cell r="A30" t="str">
            <v>05</v>
          </cell>
          <cell r="B30" t="str">
            <v>376</v>
          </cell>
          <cell r="C30">
            <v>36949</v>
          </cell>
          <cell r="D30">
            <v>37195</v>
          </cell>
          <cell r="E30" t="str">
            <v>DE-CANTWELL RIDGE PH II</v>
          </cell>
          <cell r="F30" t="str">
            <v>MAIN NEW DEV</v>
          </cell>
          <cell r="H30" t="str">
            <v>Install 850'-4", 2250'-2" pl main-AppoquiniminkCt,SeamansCt,Drawyers Dr</v>
          </cell>
          <cell r="I30">
            <v>3100</v>
          </cell>
          <cell r="J30">
            <v>3850</v>
          </cell>
          <cell r="K30">
            <v>850</v>
          </cell>
          <cell r="L30">
            <v>46</v>
          </cell>
          <cell r="M30">
            <v>12114.68</v>
          </cell>
          <cell r="N30">
            <v>19612</v>
          </cell>
          <cell r="O30">
            <v>7497.32</v>
          </cell>
          <cell r="P30">
            <v>2033.48</v>
          </cell>
          <cell r="R30">
            <v>10081.200000000001</v>
          </cell>
        </row>
        <row r="31">
          <cell r="A31" t="str">
            <v>05</v>
          </cell>
          <cell r="B31" t="str">
            <v>376</v>
          </cell>
          <cell r="C31">
            <v>36777</v>
          </cell>
          <cell r="D31">
            <v>36951</v>
          </cell>
          <cell r="E31" t="str">
            <v>DE-CARDINAL HILL DEV</v>
          </cell>
          <cell r="F31" t="str">
            <v>MAINS NEW DEV</v>
          </cell>
          <cell r="H31" t="str">
            <v>2000 DE-CARDINAL HILL DEV - MAINS NEW DEV</v>
          </cell>
          <cell r="I31">
            <v>2825</v>
          </cell>
          <cell r="J31">
            <v>5320</v>
          </cell>
          <cell r="L31">
            <v>68</v>
          </cell>
          <cell r="M31">
            <v>13429.95</v>
          </cell>
          <cell r="N31">
            <v>16807</v>
          </cell>
          <cell r="O31">
            <v>3377.0499999999993</v>
          </cell>
          <cell r="P31">
            <v>2367.4499999999998</v>
          </cell>
          <cell r="R31">
            <v>11062.5</v>
          </cell>
        </row>
        <row r="32">
          <cell r="A32" t="str">
            <v>05</v>
          </cell>
          <cell r="B32" t="str">
            <v>376</v>
          </cell>
          <cell r="C32">
            <v>36920</v>
          </cell>
          <cell r="D32">
            <v>37041</v>
          </cell>
          <cell r="E32" t="str">
            <v>DE-CARLISLE DEV</v>
          </cell>
          <cell r="F32" t="str">
            <v>MAIN NEW</v>
          </cell>
          <cell r="H32" t="str">
            <v>Install 1200 ft, 2 pl main, Birchwood Court and Turning Leaf Court-Carlisle Dev</v>
          </cell>
          <cell r="I32">
            <v>1200</v>
          </cell>
          <cell r="J32">
            <v>1215</v>
          </cell>
          <cell r="L32">
            <v>59</v>
          </cell>
          <cell r="M32">
            <v>5629.27</v>
          </cell>
          <cell r="N32">
            <v>6846</v>
          </cell>
          <cell r="O32">
            <v>1216.7299999999996</v>
          </cell>
          <cell r="P32">
            <v>609.27</v>
          </cell>
          <cell r="R32">
            <v>5020</v>
          </cell>
        </row>
        <row r="33">
          <cell r="A33" t="str">
            <v>05</v>
          </cell>
          <cell r="B33" t="str">
            <v>376</v>
          </cell>
          <cell r="C33">
            <v>36839</v>
          </cell>
          <cell r="D33">
            <v>36891</v>
          </cell>
          <cell r="E33" t="str">
            <v>DE-CHIMNEY HILL DEV</v>
          </cell>
          <cell r="F33" t="str">
            <v>MAIN NEW CUST</v>
          </cell>
          <cell r="H33" t="str">
            <v>Inventory charges additional</v>
          </cell>
          <cell r="M33">
            <v>61.04</v>
          </cell>
          <cell r="N33">
            <v>61</v>
          </cell>
          <cell r="O33">
            <v>-3.9999999999999147E-2</v>
          </cell>
          <cell r="P33">
            <v>61.04</v>
          </cell>
        </row>
        <row r="34">
          <cell r="A34" t="str">
            <v>05</v>
          </cell>
          <cell r="B34" t="str">
            <v>376</v>
          </cell>
          <cell r="C34">
            <v>37209</v>
          </cell>
          <cell r="E34" t="str">
            <v>DE-CHIMNEY HILL DEV</v>
          </cell>
          <cell r="F34" t="str">
            <v xml:space="preserve">MAIN NEW </v>
          </cell>
          <cell r="H34" t="str">
            <v>Install 600' 4" pl &amp; 1320' 2" in this development</v>
          </cell>
          <cell r="I34">
            <v>1920</v>
          </cell>
          <cell r="J34">
            <v>500</v>
          </cell>
          <cell r="K34">
            <v>680</v>
          </cell>
          <cell r="L34">
            <v>69</v>
          </cell>
          <cell r="M34">
            <v>1402.23</v>
          </cell>
          <cell r="N34">
            <v>13662</v>
          </cell>
          <cell r="O34">
            <v>12259.77</v>
          </cell>
          <cell r="P34">
            <v>1402.23</v>
          </cell>
        </row>
        <row r="35">
          <cell r="A35" t="str">
            <v>05</v>
          </cell>
          <cell r="B35" t="str">
            <v>376</v>
          </cell>
          <cell r="C35">
            <v>37074</v>
          </cell>
          <cell r="D35">
            <v>37225</v>
          </cell>
          <cell r="E35" t="str">
            <v>DE-CRICKLEWOOD DEV</v>
          </cell>
          <cell r="F35" t="str">
            <v xml:space="preserve">MAIN NEW </v>
          </cell>
          <cell r="H35" t="str">
            <v>Extend 2"pl main E. Minglewood Dr, W. Minglewood Dr</v>
          </cell>
          <cell r="I35">
            <v>1788</v>
          </cell>
          <cell r="J35">
            <v>1500</v>
          </cell>
          <cell r="L35">
            <v>45</v>
          </cell>
          <cell r="M35">
            <v>7852.49</v>
          </cell>
          <cell r="N35">
            <v>10723</v>
          </cell>
          <cell r="O35">
            <v>2870.51</v>
          </cell>
          <cell r="P35">
            <v>600.99</v>
          </cell>
          <cell r="R35">
            <v>7251.5</v>
          </cell>
        </row>
        <row r="36">
          <cell r="A36" t="str">
            <v>05</v>
          </cell>
          <cell r="B36" t="str">
            <v>376</v>
          </cell>
          <cell r="C36">
            <v>37105</v>
          </cell>
          <cell r="D36">
            <v>37195</v>
          </cell>
          <cell r="E36" t="str">
            <v>DE-FOUR SEASONS</v>
          </cell>
          <cell r="F36" t="str">
            <v>MAIN DEV</v>
          </cell>
          <cell r="H36" t="str">
            <v xml:space="preserve">Install 4978 feet of 2"PL main.  43 Lots </v>
          </cell>
          <cell r="I36">
            <v>4978</v>
          </cell>
          <cell r="J36">
            <v>4975</v>
          </cell>
          <cell r="L36">
            <v>60</v>
          </cell>
          <cell r="M36">
            <v>19448.75</v>
          </cell>
          <cell r="N36">
            <v>14242</v>
          </cell>
          <cell r="O36">
            <v>-5206.75</v>
          </cell>
          <cell r="P36">
            <v>1728.58</v>
          </cell>
          <cell r="R36">
            <v>17720.169999999998</v>
          </cell>
        </row>
        <row r="37">
          <cell r="A37" t="str">
            <v>05</v>
          </cell>
          <cell r="B37" t="str">
            <v>376</v>
          </cell>
          <cell r="C37">
            <v>37074</v>
          </cell>
          <cell r="E37" t="str">
            <v>DE-GRAND OAKS</v>
          </cell>
          <cell r="F37" t="str">
            <v>MAIN NEW</v>
          </cell>
          <cell r="H37" t="str">
            <v>Install 2"pl main-Grand Oaks Dr,Arthur Ln,Jullian Ct. 1st phase</v>
          </cell>
          <cell r="I37">
            <v>2115</v>
          </cell>
          <cell r="J37">
            <v>2120</v>
          </cell>
          <cell r="L37">
            <v>64</v>
          </cell>
          <cell r="M37">
            <v>8773.11</v>
          </cell>
          <cell r="N37">
            <v>12909</v>
          </cell>
          <cell r="O37">
            <v>4135.8899999999994</v>
          </cell>
          <cell r="P37">
            <v>1050.6100000000001</v>
          </cell>
          <cell r="R37">
            <v>7722.5</v>
          </cell>
        </row>
        <row r="38">
          <cell r="A38" t="str">
            <v>05</v>
          </cell>
          <cell r="B38" t="str">
            <v>376</v>
          </cell>
          <cell r="C38">
            <v>36839</v>
          </cell>
          <cell r="D38">
            <v>37195</v>
          </cell>
          <cell r="E38" t="str">
            <v>DE-GREENLAWN</v>
          </cell>
          <cell r="F38" t="str">
            <v>MAIN NEW CUST</v>
          </cell>
          <cell r="H38" t="str">
            <v>ADD-Carryover-4" and 2" pl main-Millbranch at Greenlawn</v>
          </cell>
          <cell r="I38">
            <v>2550</v>
          </cell>
          <cell r="K38">
            <v>1400</v>
          </cell>
          <cell r="L38">
            <v>45</v>
          </cell>
          <cell r="M38">
            <v>12765.85</v>
          </cell>
          <cell r="N38">
            <v>10423</v>
          </cell>
          <cell r="O38">
            <v>-2342.8500000000004</v>
          </cell>
          <cell r="P38">
            <v>2028.85</v>
          </cell>
          <cell r="R38">
            <v>10737</v>
          </cell>
        </row>
        <row r="39">
          <cell r="A39" t="str">
            <v>05</v>
          </cell>
          <cell r="B39" t="str">
            <v>376</v>
          </cell>
          <cell r="C39">
            <v>37158</v>
          </cell>
          <cell r="E39" t="str">
            <v>DE-GREENLAWN</v>
          </cell>
          <cell r="F39" t="str">
            <v>MAIN NEW 2</v>
          </cell>
          <cell r="H39" t="str">
            <v>Install 2200' of 2" Main in Greenlawn Dev *This is separate from the carryover</v>
          </cell>
          <cell r="I39">
            <v>2200</v>
          </cell>
          <cell r="J39">
            <v>2000</v>
          </cell>
          <cell r="L39">
            <v>45</v>
          </cell>
          <cell r="M39">
            <v>970.88</v>
          </cell>
          <cell r="N39">
            <v>12554</v>
          </cell>
          <cell r="O39">
            <v>11583.12</v>
          </cell>
          <cell r="P39">
            <v>970.88</v>
          </cell>
        </row>
        <row r="40">
          <cell r="A40" t="str">
            <v>05</v>
          </cell>
          <cell r="B40" t="str">
            <v>376</v>
          </cell>
          <cell r="C40">
            <v>37060</v>
          </cell>
          <cell r="D40">
            <v>37195</v>
          </cell>
          <cell r="E40" t="str">
            <v>DE-LAKE FOREST ELEM</v>
          </cell>
          <cell r="F40" t="str">
            <v>MAIN NEW</v>
          </cell>
          <cell r="H40" t="str">
            <v>2" Pl main-Lake Forest School Ctrl Elem; $8920.10 Reimbursed</v>
          </cell>
          <cell r="I40">
            <v>940</v>
          </cell>
          <cell r="J40">
            <v>3000</v>
          </cell>
          <cell r="L40">
            <v>69</v>
          </cell>
          <cell r="M40">
            <v>702.10000000000105</v>
          </cell>
          <cell r="N40">
            <v>9635</v>
          </cell>
          <cell r="O40">
            <v>8932.9</v>
          </cell>
          <cell r="P40">
            <v>2429.63</v>
          </cell>
          <cell r="R40">
            <v>5940</v>
          </cell>
          <cell r="S40">
            <v>-8148</v>
          </cell>
          <cell r="T40">
            <v>480.47</v>
          </cell>
        </row>
        <row r="41">
          <cell r="A41" t="str">
            <v>05</v>
          </cell>
          <cell r="B41" t="str">
            <v>376</v>
          </cell>
          <cell r="C41">
            <v>36542</v>
          </cell>
          <cell r="D41">
            <v>37195</v>
          </cell>
          <cell r="E41" t="str">
            <v>DE-LAKESIDE DEV</v>
          </cell>
          <cell r="F41" t="str">
            <v>MAIN DEV</v>
          </cell>
          <cell r="H41" t="str">
            <v>Extend 2 in Pl main in Lakeside Dev off Broad St, Install 550', 2" main Littondale</v>
          </cell>
          <cell r="I41">
            <v>550</v>
          </cell>
          <cell r="J41">
            <v>2845</v>
          </cell>
          <cell r="L41">
            <v>45</v>
          </cell>
          <cell r="M41">
            <v>10889.93</v>
          </cell>
          <cell r="N41">
            <v>11647</v>
          </cell>
          <cell r="O41">
            <v>757.06999999999971</v>
          </cell>
          <cell r="P41">
            <v>723.32999999999993</v>
          </cell>
          <cell r="R41">
            <v>10166.6</v>
          </cell>
        </row>
        <row r="42">
          <cell r="A42" t="str">
            <v>05</v>
          </cell>
          <cell r="B42" t="str">
            <v>376</v>
          </cell>
          <cell r="C42">
            <v>37035</v>
          </cell>
          <cell r="D42">
            <v>37195</v>
          </cell>
          <cell r="E42" t="str">
            <v>DE-LAKESIDE DEV</v>
          </cell>
          <cell r="F42" t="str">
            <v>MAIN DEV 2</v>
          </cell>
          <cell r="H42" t="str">
            <v>Install 3405',2"pl main-1717'Ingleside Dr&amp;1688'Silver Lake Dr (57Lots)</v>
          </cell>
          <cell r="I42">
            <v>3405</v>
          </cell>
          <cell r="L42">
            <v>45</v>
          </cell>
          <cell r="M42">
            <v>12183</v>
          </cell>
          <cell r="N42">
            <v>18277</v>
          </cell>
          <cell r="O42">
            <v>6094</v>
          </cell>
          <cell r="R42">
            <v>12183</v>
          </cell>
        </row>
        <row r="43">
          <cell r="A43" t="str">
            <v>05</v>
          </cell>
          <cell r="B43" t="str">
            <v>376</v>
          </cell>
          <cell r="C43">
            <v>37189</v>
          </cell>
          <cell r="E43" t="str">
            <v>DE-LAKESIDE DEV</v>
          </cell>
          <cell r="F43" t="str">
            <v>MAIN DEV 3</v>
          </cell>
          <cell r="H43" t="str">
            <v>ADD-Install 450' of 2" pl in the woods of Lakeside on Beckington Ct</v>
          </cell>
          <cell r="I43">
            <v>450</v>
          </cell>
          <cell r="J43">
            <v>1850</v>
          </cell>
          <cell r="L43">
            <v>45</v>
          </cell>
          <cell r="M43">
            <v>730.98</v>
          </cell>
          <cell r="N43">
            <v>2799</v>
          </cell>
          <cell r="O43">
            <v>2068.02</v>
          </cell>
          <cell r="P43">
            <v>730.98</v>
          </cell>
        </row>
        <row r="44">
          <cell r="A44" t="str">
            <v>05</v>
          </cell>
          <cell r="B44" t="str">
            <v>376</v>
          </cell>
          <cell r="C44">
            <v>36927</v>
          </cell>
          <cell r="D44">
            <v>36973</v>
          </cell>
          <cell r="E44" t="str">
            <v>DE-LINKSIDE COMM</v>
          </cell>
          <cell r="F44" t="str">
            <v>MAIN NEW</v>
          </cell>
          <cell r="H44" t="str">
            <v>Install 1000 ft, 4 inch pl main, Linkside Commercial Complex-S. St Street Ext</v>
          </cell>
          <cell r="I44">
            <v>1000</v>
          </cell>
          <cell r="K44">
            <v>1150</v>
          </cell>
          <cell r="L44">
            <v>64</v>
          </cell>
          <cell r="M44">
            <v>7363.46</v>
          </cell>
          <cell r="N44">
            <v>10030</v>
          </cell>
          <cell r="O44">
            <v>2666.54</v>
          </cell>
          <cell r="P44">
            <v>1613.46</v>
          </cell>
          <cell r="R44">
            <v>5750</v>
          </cell>
        </row>
        <row r="45">
          <cell r="A45" t="str">
            <v>05</v>
          </cell>
          <cell r="B45" t="str">
            <v>376</v>
          </cell>
          <cell r="C45">
            <v>36826</v>
          </cell>
          <cell r="D45">
            <v>37164</v>
          </cell>
          <cell r="E45" t="str">
            <v>DE-LONGMDW DEV</v>
          </cell>
          <cell r="F45" t="str">
            <v>MAIN NEW</v>
          </cell>
          <cell r="H45" t="str">
            <v>ADD-Carryover-2" pl main in Longmeadows Development</v>
          </cell>
          <cell r="I45">
            <v>5250</v>
          </cell>
          <cell r="J45">
            <v>5250</v>
          </cell>
          <cell r="L45">
            <v>44</v>
          </cell>
          <cell r="M45">
            <v>11892.72</v>
          </cell>
          <cell r="N45">
            <v>14328</v>
          </cell>
          <cell r="O45">
            <v>2435.2800000000007</v>
          </cell>
          <cell r="P45">
            <v>1842.72</v>
          </cell>
          <cell r="R45">
            <v>10050</v>
          </cell>
        </row>
        <row r="46">
          <cell r="A46" t="str">
            <v>05</v>
          </cell>
          <cell r="B46" t="str">
            <v>376</v>
          </cell>
          <cell r="C46">
            <v>37172</v>
          </cell>
          <cell r="E46" t="str">
            <v>DE-MAPLE GLEN</v>
          </cell>
          <cell r="F46" t="str">
            <v>MAIN NEW</v>
          </cell>
          <cell r="H46" t="str">
            <v>ADD-Install 940' of 4" pl main from Carlisle Dr to entrance of Maple Glen Dev</v>
          </cell>
          <cell r="I46">
            <v>940</v>
          </cell>
          <cell r="K46">
            <v>24</v>
          </cell>
          <cell r="L46">
            <v>59</v>
          </cell>
          <cell r="M46">
            <v>858.54</v>
          </cell>
          <cell r="N46">
            <v>29714</v>
          </cell>
          <cell r="O46">
            <v>28855.46</v>
          </cell>
          <cell r="P46">
            <v>858.54</v>
          </cell>
        </row>
        <row r="47">
          <cell r="A47" t="str">
            <v>05</v>
          </cell>
          <cell r="B47" t="str">
            <v>376</v>
          </cell>
          <cell r="C47">
            <v>37214</v>
          </cell>
          <cell r="E47" t="str">
            <v>DE-MIDDLETOWN COMMONS</v>
          </cell>
          <cell r="F47" t="str">
            <v>MAIN NEW</v>
          </cell>
          <cell r="H47" t="str">
            <v>ADD-Install 1210' 4" pl from Industrial Rd to Entrance; Install 2100' of 2" in Commons</v>
          </cell>
          <cell r="I47">
            <v>3310</v>
          </cell>
          <cell r="K47">
            <v>1160</v>
          </cell>
          <cell r="L47">
            <v>46</v>
          </cell>
          <cell r="M47">
            <v>1651.78</v>
          </cell>
          <cell r="N47">
            <v>24540</v>
          </cell>
          <cell r="O47">
            <v>22888.22</v>
          </cell>
          <cell r="P47">
            <v>1601.22</v>
          </cell>
          <cell r="R47">
            <v>50.56</v>
          </cell>
        </row>
        <row r="48">
          <cell r="A48" t="str">
            <v>05</v>
          </cell>
          <cell r="B48" t="str">
            <v>376</v>
          </cell>
          <cell r="C48">
            <v>36920</v>
          </cell>
          <cell r="D48">
            <v>37195</v>
          </cell>
          <cell r="E48" t="str">
            <v>DE-MIDDLETOWN VILLG</v>
          </cell>
          <cell r="F48" t="str">
            <v>MAIN NEW</v>
          </cell>
          <cell r="H48" t="str">
            <v>Install 4065 ft, 2 inch pl main, W. Harvest Lane and North Ramunno Dr.</v>
          </cell>
          <cell r="I48">
            <v>6665</v>
          </cell>
          <cell r="J48">
            <v>18845</v>
          </cell>
          <cell r="K48">
            <v>12530</v>
          </cell>
          <cell r="L48">
            <v>45</v>
          </cell>
          <cell r="M48">
            <v>20853.59</v>
          </cell>
          <cell r="N48">
            <v>37663</v>
          </cell>
          <cell r="O48">
            <v>16809.41</v>
          </cell>
          <cell r="P48">
            <v>3891.59</v>
          </cell>
          <cell r="R48">
            <v>16962</v>
          </cell>
        </row>
        <row r="49">
          <cell r="A49" t="str">
            <v>05</v>
          </cell>
          <cell r="B49" t="str">
            <v>376</v>
          </cell>
          <cell r="C49">
            <v>37215</v>
          </cell>
          <cell r="E49" t="str">
            <v>DE-MIDDLETOWN VILLG</v>
          </cell>
          <cell r="F49" t="str">
            <v>MAIN NEW PH2</v>
          </cell>
          <cell r="H49" t="str">
            <v>ADD-Install 1000' of 2" pl on Rosie Dr &amp; 260' of 2" on Edgerow Dr</v>
          </cell>
          <cell r="I49">
            <v>1260</v>
          </cell>
          <cell r="L49">
            <v>46</v>
          </cell>
          <cell r="M49">
            <v>0</v>
          </cell>
          <cell r="N49">
            <v>8050</v>
          </cell>
          <cell r="O49">
            <v>8050</v>
          </cell>
        </row>
        <row r="50">
          <cell r="A50" t="str">
            <v>05</v>
          </cell>
          <cell r="B50" t="str">
            <v>376</v>
          </cell>
          <cell r="C50">
            <v>37235</v>
          </cell>
          <cell r="E50" t="str">
            <v>DE-MIDDLETOWN VILLG</v>
          </cell>
          <cell r="F50" t="str">
            <v>MAIN NEW PH3</v>
          </cell>
          <cell r="H50" t="str">
            <v xml:space="preserve">Install 200' of 2" pl on Marian Dr </v>
          </cell>
          <cell r="I50">
            <v>200</v>
          </cell>
          <cell r="L50">
            <v>46</v>
          </cell>
          <cell r="M50">
            <v>0</v>
          </cell>
          <cell r="N50">
            <v>1615</v>
          </cell>
          <cell r="O50">
            <v>1615</v>
          </cell>
        </row>
        <row r="51">
          <cell r="A51" t="str">
            <v>05</v>
          </cell>
          <cell r="B51" t="str">
            <v>376</v>
          </cell>
          <cell r="C51">
            <v>36935</v>
          </cell>
          <cell r="D51">
            <v>37134</v>
          </cell>
          <cell r="E51" t="str">
            <v>DE-MILFORD</v>
          </cell>
          <cell r="F51" t="str">
            <v>AREA 1</v>
          </cell>
          <cell r="H51" t="str">
            <v>Install 6850ft-4" pl main-Milford Business Park-Airport Road</v>
          </cell>
          <cell r="I51">
            <v>6850</v>
          </cell>
          <cell r="J51">
            <v>2250</v>
          </cell>
          <cell r="K51">
            <v>5800</v>
          </cell>
          <cell r="L51">
            <v>75</v>
          </cell>
          <cell r="M51">
            <v>44122.71</v>
          </cell>
          <cell r="N51">
            <v>65612</v>
          </cell>
          <cell r="O51">
            <v>21489.29</v>
          </cell>
          <cell r="P51">
            <v>2953.46</v>
          </cell>
          <cell r="R51">
            <v>41169.25</v>
          </cell>
        </row>
        <row r="52">
          <cell r="A52" t="str">
            <v>05</v>
          </cell>
          <cell r="B52" t="str">
            <v>376</v>
          </cell>
          <cell r="C52">
            <v>36962</v>
          </cell>
          <cell r="D52">
            <v>37164</v>
          </cell>
          <cell r="E52" t="str">
            <v>DE-MILFORD</v>
          </cell>
          <cell r="F52" t="str">
            <v>AREA 2A</v>
          </cell>
          <cell r="H52" t="str">
            <v>Install 275ft-6inch and 800ft-4inch pl main-Milford Project Area 2-A</v>
          </cell>
          <cell r="I52">
            <v>1075</v>
          </cell>
          <cell r="L52">
            <v>75</v>
          </cell>
          <cell r="M52">
            <v>14440.83</v>
          </cell>
          <cell r="N52">
            <v>22884</v>
          </cell>
          <cell r="O52">
            <v>8443.17</v>
          </cell>
          <cell r="P52">
            <v>1537.04</v>
          </cell>
          <cell r="Q52">
            <v>556.37</v>
          </cell>
          <cell r="R52">
            <v>12293.28</v>
          </cell>
          <cell r="T52">
            <v>54.14</v>
          </cell>
        </row>
        <row r="53">
          <cell r="A53" t="str">
            <v>05</v>
          </cell>
          <cell r="B53" t="str">
            <v>376</v>
          </cell>
          <cell r="C53">
            <v>37158</v>
          </cell>
          <cell r="E53" t="str">
            <v>DE-MILFORD</v>
          </cell>
          <cell r="F53" t="str">
            <v>AREA 2A</v>
          </cell>
          <cell r="H53" t="str">
            <v>Install 700' of 2" from Wal-Mart to Milford Landing</v>
          </cell>
          <cell r="I53">
            <v>700</v>
          </cell>
          <cell r="L53">
            <v>75</v>
          </cell>
          <cell r="M53">
            <v>0</v>
          </cell>
          <cell r="N53">
            <v>6452</v>
          </cell>
          <cell r="O53">
            <v>6452</v>
          </cell>
        </row>
        <row r="54">
          <cell r="A54" t="str">
            <v>05</v>
          </cell>
          <cell r="B54" t="str">
            <v>376</v>
          </cell>
          <cell r="C54">
            <v>36962</v>
          </cell>
          <cell r="D54">
            <v>37164</v>
          </cell>
          <cell r="E54" t="str">
            <v>DE-MILFORD</v>
          </cell>
          <cell r="F54" t="str">
            <v>AREA 2B</v>
          </cell>
          <cell r="H54" t="str">
            <v>Install 935ft-4inch and 750ft-2inch pl main-Milfor Project-Area 2-B</v>
          </cell>
          <cell r="I54">
            <v>1685</v>
          </cell>
          <cell r="L54">
            <v>75</v>
          </cell>
          <cell r="M54">
            <v>39492.909999999996</v>
          </cell>
          <cell r="N54">
            <v>43055</v>
          </cell>
          <cell r="O54">
            <v>3562.0900000000038</v>
          </cell>
          <cell r="P54">
            <v>1279.2</v>
          </cell>
          <cell r="Q54">
            <v>2042.5</v>
          </cell>
          <cell r="R54">
            <v>36171.21</v>
          </cell>
        </row>
        <row r="55">
          <cell r="A55" t="str">
            <v>05</v>
          </cell>
          <cell r="B55" t="str">
            <v>376</v>
          </cell>
          <cell r="C55">
            <v>37028</v>
          </cell>
          <cell r="D55">
            <v>37225</v>
          </cell>
          <cell r="E55" t="str">
            <v>DE-MILFORD</v>
          </cell>
          <cell r="F55" t="str">
            <v>AREA 2C</v>
          </cell>
          <cell r="H55" t="str">
            <v>Install 475', 4" Pl main on Rt 113 frm WalMart entance North to Food Lion</v>
          </cell>
          <cell r="I55">
            <v>475</v>
          </cell>
          <cell r="L55">
            <v>75</v>
          </cell>
          <cell r="M55">
            <v>0</v>
          </cell>
          <cell r="N55">
            <v>145</v>
          </cell>
          <cell r="O55">
            <v>145</v>
          </cell>
          <cell r="P55">
            <v>-63.9</v>
          </cell>
          <cell r="R55">
            <v>63.899999999999977</v>
          </cell>
        </row>
        <row r="56">
          <cell r="A56" t="str">
            <v>05</v>
          </cell>
          <cell r="B56" t="str">
            <v>376</v>
          </cell>
          <cell r="C56" t="str">
            <v>05/17/200</v>
          </cell>
          <cell r="E56" t="str">
            <v>DE-MILFORD</v>
          </cell>
          <cell r="F56" t="str">
            <v>AREA 3A</v>
          </cell>
          <cell r="H56" t="str">
            <v>Install 3085', 6" Pl main-Airport Rd(Rosa Rd) to North of Stevenson House</v>
          </cell>
          <cell r="I56">
            <v>3085</v>
          </cell>
          <cell r="L56">
            <v>75</v>
          </cell>
          <cell r="M56">
            <v>0</v>
          </cell>
          <cell r="N56">
            <v>0</v>
          </cell>
          <cell r="O56">
            <v>0</v>
          </cell>
        </row>
        <row r="57">
          <cell r="A57" t="str">
            <v>05</v>
          </cell>
          <cell r="B57" t="str">
            <v>376</v>
          </cell>
          <cell r="C57">
            <v>37028</v>
          </cell>
          <cell r="E57" t="str">
            <v>DE-MILFORD</v>
          </cell>
          <cell r="F57" t="str">
            <v>AREA 3C</v>
          </cell>
          <cell r="H57" t="str">
            <v>Install 385',6" Pl &amp; 2245', 4" Pl main-N. Stevenson House to Milford Plaza Shp Ctr</v>
          </cell>
          <cell r="I57">
            <v>2630</v>
          </cell>
          <cell r="J57">
            <v>250</v>
          </cell>
          <cell r="L57">
            <v>75</v>
          </cell>
          <cell r="M57">
            <v>0</v>
          </cell>
          <cell r="N57">
            <v>0</v>
          </cell>
          <cell r="O57">
            <v>0</v>
          </cell>
          <cell r="P57">
            <v>-687.73</v>
          </cell>
          <cell r="Q57">
            <v>687.73</v>
          </cell>
        </row>
        <row r="58">
          <cell r="A58" t="str">
            <v>05</v>
          </cell>
          <cell r="B58" t="str">
            <v>376</v>
          </cell>
          <cell r="C58">
            <v>37166</v>
          </cell>
          <cell r="D58">
            <v>37225</v>
          </cell>
          <cell r="E58" t="str">
            <v>DE-MILFORD</v>
          </cell>
          <cell r="F58" t="str">
            <v>AREA 5</v>
          </cell>
          <cell r="H58" t="str">
            <v>Install 220' of 6" @ Sea Watch to Rehoboth Blvd</v>
          </cell>
          <cell r="I58">
            <v>220</v>
          </cell>
          <cell r="L58">
            <v>75</v>
          </cell>
          <cell r="M58">
            <v>9047.48</v>
          </cell>
          <cell r="N58">
            <v>7458</v>
          </cell>
          <cell r="O58">
            <v>-1589.4799999999996</v>
          </cell>
          <cell r="P58">
            <v>1147.48</v>
          </cell>
          <cell r="R58">
            <v>7900</v>
          </cell>
        </row>
        <row r="59">
          <cell r="A59" t="str">
            <v>05</v>
          </cell>
          <cell r="B59" t="str">
            <v>376</v>
          </cell>
          <cell r="C59">
            <v>37240</v>
          </cell>
          <cell r="E59" t="str">
            <v>DE-MILFORD PARK CENTER</v>
          </cell>
          <cell r="F59" t="str">
            <v>MAIN NEW</v>
          </cell>
          <cell r="H59" t="str">
            <v>Install 1600' of 2" pl to Milford Park Center - this is off Buccaneer Dr</v>
          </cell>
          <cell r="I59">
            <v>1600</v>
          </cell>
          <cell r="L59">
            <v>75</v>
          </cell>
          <cell r="M59">
            <v>0</v>
          </cell>
          <cell r="N59">
            <v>11415</v>
          </cell>
          <cell r="O59">
            <v>11415</v>
          </cell>
        </row>
        <row r="60">
          <cell r="A60" t="str">
            <v>05</v>
          </cell>
          <cell r="B60" t="str">
            <v>376</v>
          </cell>
          <cell r="C60">
            <v>37168</v>
          </cell>
          <cell r="E60" t="str">
            <v>DE-ORCHARD CREEK</v>
          </cell>
          <cell r="F60" t="str">
            <v>MAIN NEW</v>
          </cell>
          <cell r="H60" t="str">
            <v>Install 2580' of 4" and 290' of 2" in Orchard Creek Dev</v>
          </cell>
          <cell r="I60">
            <v>2870</v>
          </cell>
          <cell r="J60">
            <v>500</v>
          </cell>
          <cell r="K60">
            <v>2930</v>
          </cell>
          <cell r="L60">
            <v>64</v>
          </cell>
          <cell r="M60">
            <v>19948.18</v>
          </cell>
          <cell r="N60">
            <v>23848</v>
          </cell>
          <cell r="O60">
            <v>3899.8199999999997</v>
          </cell>
          <cell r="P60">
            <v>2863.67</v>
          </cell>
          <cell r="R60">
            <v>17084.510000000002</v>
          </cell>
        </row>
        <row r="61">
          <cell r="A61" t="str">
            <v>05</v>
          </cell>
          <cell r="B61" t="str">
            <v>376</v>
          </cell>
          <cell r="C61">
            <v>37043</v>
          </cell>
          <cell r="D61">
            <v>37195</v>
          </cell>
          <cell r="E61" t="str">
            <v>DE-ORCHARDS</v>
          </cell>
          <cell r="F61" t="str">
            <v>MAIN NEW</v>
          </cell>
          <cell r="H61" t="str">
            <v>Install 790', 4", and 2665', 2" pl main in Orchards Dev</v>
          </cell>
          <cell r="I61">
            <v>3455</v>
          </cell>
          <cell r="J61">
            <v>3250</v>
          </cell>
          <cell r="K61">
            <v>1320</v>
          </cell>
          <cell r="L61">
            <v>64</v>
          </cell>
          <cell r="M61">
            <v>16276.21</v>
          </cell>
          <cell r="N61">
            <v>22243</v>
          </cell>
          <cell r="O61">
            <v>5966.7900000000009</v>
          </cell>
          <cell r="P61">
            <v>2817.46</v>
          </cell>
          <cell r="R61">
            <v>13458.75</v>
          </cell>
        </row>
        <row r="62">
          <cell r="A62" t="str">
            <v>05</v>
          </cell>
          <cell r="B62" t="str">
            <v>376</v>
          </cell>
          <cell r="C62">
            <v>37189</v>
          </cell>
          <cell r="D62">
            <v>37225</v>
          </cell>
          <cell r="E62" t="str">
            <v>DE-ORCHARDS</v>
          </cell>
          <cell r="F62" t="str">
            <v>MAIN NEW 2</v>
          </cell>
          <cell r="H62" t="str">
            <v>ADD-Install 345' of 4" pl on Pear Blossom Ln in Orchards Dev</v>
          </cell>
          <cell r="I62">
            <v>345</v>
          </cell>
          <cell r="J62">
            <v>1000</v>
          </cell>
          <cell r="L62">
            <v>64</v>
          </cell>
          <cell r="M62">
            <v>2509.86</v>
          </cell>
          <cell r="N62">
            <v>3409</v>
          </cell>
          <cell r="O62">
            <v>899.13999999999987</v>
          </cell>
          <cell r="P62">
            <v>371.11</v>
          </cell>
          <cell r="R62">
            <v>2138.75</v>
          </cell>
        </row>
        <row r="63">
          <cell r="A63" t="str">
            <v>05</v>
          </cell>
          <cell r="B63">
            <v>376</v>
          </cell>
          <cell r="C63">
            <v>36818</v>
          </cell>
          <cell r="D63">
            <v>36891</v>
          </cell>
          <cell r="E63" t="str">
            <v>DE-PAYNTERS VILLAGE</v>
          </cell>
          <cell r="F63" t="str">
            <v>MAIN NEW CUST DEV</v>
          </cell>
          <cell r="H63" t="str">
            <v>Install 125', 2" and 350', 1 1/4" PL Main in Paynters Village Dev</v>
          </cell>
          <cell r="J63">
            <v>1500</v>
          </cell>
          <cell r="K63">
            <v>200</v>
          </cell>
          <cell r="M63">
            <v>825.75</v>
          </cell>
          <cell r="N63">
            <v>826</v>
          </cell>
          <cell r="O63">
            <v>0.25</v>
          </cell>
          <cell r="P63">
            <v>825.75</v>
          </cell>
        </row>
        <row r="64">
          <cell r="A64" t="str">
            <v>05</v>
          </cell>
          <cell r="B64" t="str">
            <v>376</v>
          </cell>
          <cell r="C64">
            <v>37048</v>
          </cell>
          <cell r="D64">
            <v>37195</v>
          </cell>
          <cell r="E64" t="str">
            <v>DE-PINE TREE CRNR</v>
          </cell>
          <cell r="F64" t="str">
            <v>MAIN NEW</v>
          </cell>
          <cell r="H64" t="str">
            <v>Install 2" high press steel main for CGATE at Rt1 &amp; Pinetree Corners</v>
          </cell>
          <cell r="L64">
            <v>46</v>
          </cell>
          <cell r="M64">
            <v>10400</v>
          </cell>
          <cell r="N64">
            <v>22169</v>
          </cell>
          <cell r="O64">
            <v>11769</v>
          </cell>
          <cell r="R64">
            <v>10400</v>
          </cell>
        </row>
        <row r="65">
          <cell r="A65" t="str">
            <v>05</v>
          </cell>
          <cell r="B65" t="str">
            <v>376</v>
          </cell>
          <cell r="C65">
            <v>37035</v>
          </cell>
          <cell r="D65">
            <v>37225</v>
          </cell>
          <cell r="E65" t="str">
            <v>DE-PLANTERS RUN</v>
          </cell>
          <cell r="F65" t="str">
            <v>MAIN NEW</v>
          </cell>
          <cell r="H65" t="str">
            <v>Install 2" pl main in the Planters Run Dev off Rt10(Lebannon Rd)</v>
          </cell>
          <cell r="I65">
            <v>3955</v>
          </cell>
          <cell r="J65">
            <v>3250</v>
          </cell>
          <cell r="L65">
            <v>64</v>
          </cell>
          <cell r="M65">
            <v>7262.38</v>
          </cell>
          <cell r="N65">
            <v>21209</v>
          </cell>
          <cell r="O65">
            <v>13946.619999999999</v>
          </cell>
          <cell r="P65">
            <v>1302.18</v>
          </cell>
          <cell r="R65">
            <v>5960.2</v>
          </cell>
        </row>
        <row r="66">
          <cell r="A66" t="str">
            <v>05</v>
          </cell>
          <cell r="B66" t="str">
            <v>376</v>
          </cell>
          <cell r="C66">
            <v>37074</v>
          </cell>
          <cell r="D66">
            <v>37195</v>
          </cell>
          <cell r="E66" t="str">
            <v>DE-PLANTERS WOODS DEV</v>
          </cell>
          <cell r="F66" t="str">
            <v>MAIN NEW</v>
          </cell>
          <cell r="H66" t="str">
            <v>Extend 2" pl main on Cantwell Dr,Canary Ct,and Tall Tree Ct. (31 lots)</v>
          </cell>
          <cell r="J66">
            <v>2400</v>
          </cell>
          <cell r="L66">
            <v>59</v>
          </cell>
          <cell r="M66">
            <v>10634.63</v>
          </cell>
          <cell r="N66">
            <v>14599</v>
          </cell>
          <cell r="O66">
            <v>3964.3700000000008</v>
          </cell>
          <cell r="P66">
            <v>980.88</v>
          </cell>
          <cell r="R66">
            <v>9653.75</v>
          </cell>
        </row>
        <row r="67">
          <cell r="A67" t="str">
            <v>05</v>
          </cell>
          <cell r="B67" t="str">
            <v>376</v>
          </cell>
          <cell r="C67">
            <v>36858</v>
          </cell>
          <cell r="D67">
            <v>36891</v>
          </cell>
          <cell r="E67" t="str">
            <v>DE-SAFEWAY MAIN</v>
          </cell>
          <cell r="F67" t="str">
            <v>MAIN NEW APPR</v>
          </cell>
          <cell r="H67" t="str">
            <v>2000 Safeway main, Install 2 Inch pl, Dover Crossing</v>
          </cell>
          <cell r="J67">
            <v>30</v>
          </cell>
          <cell r="L67">
            <v>60</v>
          </cell>
          <cell r="M67">
            <v>311.89999999999998</v>
          </cell>
          <cell r="N67">
            <v>312</v>
          </cell>
          <cell r="O67">
            <v>0.10000000000002274</v>
          </cell>
          <cell r="P67">
            <v>311.89999999999998</v>
          </cell>
        </row>
        <row r="68">
          <cell r="A68" t="str">
            <v>05</v>
          </cell>
          <cell r="B68" t="str">
            <v>376</v>
          </cell>
          <cell r="C68">
            <v>37011</v>
          </cell>
          <cell r="D68">
            <v>37164</v>
          </cell>
          <cell r="E68" t="str">
            <v>DE-SPRING CREEK DEV</v>
          </cell>
          <cell r="F68" t="str">
            <v>MAIN NEW</v>
          </cell>
          <cell r="H68" t="str">
            <v xml:space="preserve">Install 465',4"pl main in Spring Creek Dev off State Rd,Install 2" Setter Ct, 350' Spaniel Ct </v>
          </cell>
          <cell r="I68">
            <v>1230</v>
          </cell>
          <cell r="J68">
            <v>1765</v>
          </cell>
          <cell r="K68">
            <v>925</v>
          </cell>
          <cell r="L68">
            <v>46</v>
          </cell>
          <cell r="M68">
            <v>9659.43</v>
          </cell>
          <cell r="N68">
            <v>11607</v>
          </cell>
          <cell r="O68">
            <v>1947.5699999999997</v>
          </cell>
          <cell r="P68">
            <v>2579.7299999999996</v>
          </cell>
          <cell r="R68">
            <v>7079.7</v>
          </cell>
        </row>
        <row r="69">
          <cell r="A69" t="str">
            <v>05</v>
          </cell>
          <cell r="B69" t="str">
            <v>376</v>
          </cell>
          <cell r="C69">
            <v>37174</v>
          </cell>
          <cell r="D69">
            <v>37225</v>
          </cell>
          <cell r="E69" t="str">
            <v>DE-SPRING CREEK DEV 2</v>
          </cell>
          <cell r="F69" t="str">
            <v>MAIN NEW</v>
          </cell>
          <cell r="H69" t="str">
            <v>ADD- Install 550' of 4" on Spring Creek Dr 830' of 2" on Labrador Ln &amp; 500' of 2" on Shepherd Ct</v>
          </cell>
          <cell r="I69">
            <v>1880</v>
          </cell>
          <cell r="K69">
            <v>675</v>
          </cell>
          <cell r="L69">
            <v>46</v>
          </cell>
          <cell r="M69">
            <v>9235.83</v>
          </cell>
          <cell r="N69">
            <v>13260</v>
          </cell>
          <cell r="O69">
            <v>4024.17</v>
          </cell>
          <cell r="P69">
            <v>937.08</v>
          </cell>
          <cell r="R69">
            <v>8298.75</v>
          </cell>
        </row>
        <row r="70">
          <cell r="A70" t="str">
            <v>05</v>
          </cell>
          <cell r="B70" t="str">
            <v>376</v>
          </cell>
          <cell r="C70">
            <v>36826</v>
          </cell>
          <cell r="D70">
            <v>37225</v>
          </cell>
          <cell r="E70" t="str">
            <v>DE-SPRINGMILL</v>
          </cell>
          <cell r="F70" t="str">
            <v>MAIN NEW</v>
          </cell>
          <cell r="H70" t="str">
            <v>ADD-Carryover-4" and 2" pl main Springmill Development</v>
          </cell>
          <cell r="I70">
            <v>3711</v>
          </cell>
          <cell r="J70">
            <v>2750</v>
          </cell>
          <cell r="L70">
            <v>45</v>
          </cell>
          <cell r="M70">
            <v>21258.07</v>
          </cell>
          <cell r="N70">
            <v>23183</v>
          </cell>
          <cell r="O70">
            <v>1924.9300000000003</v>
          </cell>
          <cell r="P70">
            <v>1375.4699999999998</v>
          </cell>
          <cell r="R70">
            <v>19930.599999999999</v>
          </cell>
          <cell r="S70">
            <v>-48</v>
          </cell>
        </row>
        <row r="71">
          <cell r="A71" t="str">
            <v>05</v>
          </cell>
          <cell r="B71" t="str">
            <v>376</v>
          </cell>
          <cell r="C71">
            <v>36678</v>
          </cell>
          <cell r="D71">
            <v>36707</v>
          </cell>
          <cell r="E71" t="str">
            <v>DE-ST JONES</v>
          </cell>
          <cell r="F71" t="str">
            <v>MAINS NEW</v>
          </cell>
          <cell r="H71" t="str">
            <v>2000 DE-STJONES</v>
          </cell>
          <cell r="K71">
            <v>2230</v>
          </cell>
          <cell r="M71">
            <v>3172.23</v>
          </cell>
          <cell r="N71">
            <v>3200</v>
          </cell>
          <cell r="O71">
            <v>27.769999999999982</v>
          </cell>
          <cell r="P71">
            <v>3172.23</v>
          </cell>
        </row>
        <row r="72">
          <cell r="A72" t="str">
            <v>05</v>
          </cell>
          <cell r="B72" t="str">
            <v>376</v>
          </cell>
          <cell r="C72">
            <v>37156</v>
          </cell>
          <cell r="D72">
            <v>37195</v>
          </cell>
          <cell r="E72" t="str">
            <v>DE-ST JONES</v>
          </cell>
          <cell r="F72" t="str">
            <v>MAINS NEW</v>
          </cell>
          <cell r="H72" t="str">
            <v>2001 DE-STJONES 1550' of 2"</v>
          </cell>
          <cell r="I72">
            <v>1550</v>
          </cell>
          <cell r="J72">
            <v>1550</v>
          </cell>
          <cell r="M72">
            <v>7013.67</v>
          </cell>
          <cell r="N72">
            <v>11498.23</v>
          </cell>
          <cell r="O72">
            <v>4484.5599999999995</v>
          </cell>
          <cell r="P72">
            <v>548.73</v>
          </cell>
          <cell r="R72">
            <v>6464.94</v>
          </cell>
        </row>
        <row r="73">
          <cell r="A73" t="str">
            <v>05</v>
          </cell>
          <cell r="B73" t="str">
            <v>376</v>
          </cell>
          <cell r="C73">
            <v>36908</v>
          </cell>
          <cell r="D73">
            <v>37195</v>
          </cell>
          <cell r="E73" t="str">
            <v>DE-STONEFIELD</v>
          </cell>
          <cell r="F73" t="str">
            <v>MAIN NEW</v>
          </cell>
          <cell r="H73" t="str">
            <v>Install 500 ft, 2 inch pl, Conquina Ct, 940ft 2 in pl-Basalt St, 80ft, 4 in-Olivine Cl</v>
          </cell>
          <cell r="I73">
            <v>1520</v>
          </cell>
          <cell r="J73">
            <v>1250</v>
          </cell>
          <cell r="L73">
            <v>46</v>
          </cell>
          <cell r="M73">
            <v>5635.97</v>
          </cell>
          <cell r="N73">
            <v>9424</v>
          </cell>
          <cell r="O73">
            <v>3788.0299999999997</v>
          </cell>
          <cell r="P73">
            <v>544.47</v>
          </cell>
          <cell r="R73">
            <v>5091.5</v>
          </cell>
        </row>
        <row r="74">
          <cell r="A74" t="str">
            <v>05</v>
          </cell>
          <cell r="B74" t="str">
            <v>376</v>
          </cell>
          <cell r="C74">
            <v>36910</v>
          </cell>
          <cell r="D74">
            <v>37164</v>
          </cell>
          <cell r="E74" t="str">
            <v>DE-SUNNYSIDE VILLG</v>
          </cell>
          <cell r="F74" t="str">
            <v>MAIN NEW</v>
          </cell>
          <cell r="H74" t="str">
            <v>Install 320 ft, 2inch pl main, Sunnyside Village Dev-Smyrna</v>
          </cell>
          <cell r="I74">
            <v>320</v>
          </cell>
          <cell r="J74">
            <v>2405</v>
          </cell>
          <cell r="K74">
            <v>1485</v>
          </cell>
          <cell r="L74">
            <v>54</v>
          </cell>
          <cell r="M74">
            <v>5365.09</v>
          </cell>
          <cell r="N74">
            <v>5213</v>
          </cell>
          <cell r="O74">
            <v>-152.09000000000015</v>
          </cell>
          <cell r="P74">
            <v>3254.8399999999997</v>
          </cell>
          <cell r="R74">
            <v>2110.25</v>
          </cell>
        </row>
        <row r="75">
          <cell r="A75" t="str">
            <v>05</v>
          </cell>
          <cell r="B75" t="str">
            <v>376</v>
          </cell>
          <cell r="C75">
            <v>37172</v>
          </cell>
          <cell r="D75">
            <v>37195</v>
          </cell>
          <cell r="E75" t="str">
            <v>DE-SUNNYSIDE VILLG 2</v>
          </cell>
          <cell r="F75" t="str">
            <v>MAIN NEW</v>
          </cell>
          <cell r="H75" t="str">
            <v>ADD-Install 720' of 2" pl main on Dairy Dr in Sunnyside Village Dev</v>
          </cell>
          <cell r="I75">
            <v>720</v>
          </cell>
          <cell r="J75">
            <v>720</v>
          </cell>
          <cell r="L75">
            <v>54</v>
          </cell>
          <cell r="M75">
            <v>3489.16</v>
          </cell>
          <cell r="N75">
            <v>5725</v>
          </cell>
          <cell r="O75">
            <v>2235.84</v>
          </cell>
          <cell r="P75">
            <v>289.16000000000003</v>
          </cell>
          <cell r="R75">
            <v>3200</v>
          </cell>
        </row>
        <row r="76">
          <cell r="A76" t="str">
            <v>05</v>
          </cell>
          <cell r="B76" t="str">
            <v>376</v>
          </cell>
          <cell r="C76">
            <v>36669</v>
          </cell>
          <cell r="D76">
            <v>37195</v>
          </cell>
          <cell r="E76" t="str">
            <v>DE-THE LEGENDS</v>
          </cell>
          <cell r="F76" t="str">
            <v>MAIN NEW</v>
          </cell>
          <cell r="H76" t="str">
            <v>ADD-Carryover-4" and 2" pl main The Legends Development</v>
          </cell>
          <cell r="I76">
            <v>5350</v>
          </cell>
          <cell r="J76">
            <v>3750</v>
          </cell>
          <cell r="L76">
            <v>45</v>
          </cell>
          <cell r="M76">
            <v>6945.99</v>
          </cell>
          <cell r="N76">
            <v>12816</v>
          </cell>
          <cell r="O76">
            <v>5870.01</v>
          </cell>
          <cell r="P76">
            <v>1264.3899999999999</v>
          </cell>
          <cell r="R76">
            <v>5681.6</v>
          </cell>
        </row>
        <row r="77">
          <cell r="A77" t="str">
            <v>05</v>
          </cell>
          <cell r="B77" t="str">
            <v>376</v>
          </cell>
          <cell r="C77">
            <v>37188</v>
          </cell>
          <cell r="E77" t="str">
            <v>DE-THE LEGENDS WEST</v>
          </cell>
          <cell r="F77" t="str">
            <v>MAIN NEW</v>
          </cell>
          <cell r="H77" t="str">
            <v>ADD-1550' of 4"pl -Palmer; 500' of 4" -Betsy Rawls; 500' of 4" on Porky Oliver; 800' of 2" on Jackie Circle; 600' of 2" on O'Meara Ct</v>
          </cell>
          <cell r="I77">
            <v>4500</v>
          </cell>
          <cell r="J77">
            <v>2450</v>
          </cell>
          <cell r="K77">
            <v>2600</v>
          </cell>
          <cell r="L77">
            <v>45</v>
          </cell>
          <cell r="M77">
            <v>4597.01</v>
          </cell>
          <cell r="N77">
            <v>29900</v>
          </cell>
          <cell r="O77">
            <v>25302.989999999998</v>
          </cell>
          <cell r="P77">
            <v>4597.01</v>
          </cell>
        </row>
        <row r="78">
          <cell r="A78" t="str">
            <v>05</v>
          </cell>
          <cell r="B78" t="str">
            <v>376</v>
          </cell>
          <cell r="C78">
            <v>37204</v>
          </cell>
          <cell r="E78" t="str">
            <v>DE-THOMAS COVE DEV</v>
          </cell>
          <cell r="F78" t="str">
            <v>MAIN NEW</v>
          </cell>
          <cell r="H78" t="str">
            <v>ADD-Install 3375' of 2" pl; 1775' on Middessa Dr; 650' -Jersey Ct; 550' -Guernsey Dr; 400' -Holstein Ct</v>
          </cell>
          <cell r="I78">
            <v>3375</v>
          </cell>
          <cell r="J78">
            <v>3112</v>
          </cell>
          <cell r="L78">
            <v>46</v>
          </cell>
          <cell r="M78">
            <v>8526.77</v>
          </cell>
          <cell r="N78">
            <v>19595</v>
          </cell>
          <cell r="O78">
            <v>11068.23</v>
          </cell>
          <cell r="P78">
            <v>1026.77</v>
          </cell>
          <cell r="R78">
            <v>7500</v>
          </cell>
        </row>
        <row r="79">
          <cell r="A79" t="str">
            <v>05</v>
          </cell>
          <cell r="B79" t="str">
            <v>376</v>
          </cell>
          <cell r="C79">
            <v>37180</v>
          </cell>
          <cell r="D79">
            <v>37195</v>
          </cell>
          <cell r="E79" t="str">
            <v>DE-THOMAS LANDING RD</v>
          </cell>
          <cell r="F79" t="str">
            <v>MAIN NEW</v>
          </cell>
          <cell r="H79" t="str">
            <v>ADD-Install 388' of 2" pl from Thomas Landing Rd to East</v>
          </cell>
          <cell r="I79">
            <v>388</v>
          </cell>
          <cell r="J79">
            <v>388</v>
          </cell>
          <cell r="L79">
            <v>46</v>
          </cell>
          <cell r="M79">
            <v>2589.1999999999998</v>
          </cell>
          <cell r="N79">
            <v>3702</v>
          </cell>
          <cell r="O79">
            <v>1112.8000000000002</v>
          </cell>
          <cell r="P79">
            <v>137.19999999999999</v>
          </cell>
          <cell r="R79">
            <v>2452</v>
          </cell>
        </row>
        <row r="80">
          <cell r="A80" t="str">
            <v>05</v>
          </cell>
          <cell r="B80" t="str">
            <v>376</v>
          </cell>
          <cell r="C80">
            <v>36678</v>
          </cell>
          <cell r="D80">
            <v>36739</v>
          </cell>
          <cell r="E80" t="str">
            <v>DE-VIOLATON CTR</v>
          </cell>
          <cell r="F80" t="str">
            <v>MAIN-NEW APPRO</v>
          </cell>
          <cell r="H80" t="str">
            <v>2000 DE-Violation Center-Main New Approach</v>
          </cell>
          <cell r="J80">
            <v>800</v>
          </cell>
          <cell r="K80">
            <v>1990</v>
          </cell>
          <cell r="L80">
            <v>48</v>
          </cell>
          <cell r="M80">
            <v>2830.83</v>
          </cell>
          <cell r="N80">
            <v>2900</v>
          </cell>
          <cell r="O80">
            <v>69.170000000000073</v>
          </cell>
          <cell r="P80">
            <v>2830.83</v>
          </cell>
        </row>
        <row r="81">
          <cell r="A81" t="str">
            <v>05</v>
          </cell>
          <cell r="B81">
            <v>376</v>
          </cell>
          <cell r="C81">
            <v>37140</v>
          </cell>
          <cell r="D81">
            <v>37195</v>
          </cell>
          <cell r="E81" t="str">
            <v>DE-WHEATLEY POND</v>
          </cell>
          <cell r="F81" t="str">
            <v>MAIN NEW</v>
          </cell>
          <cell r="H81" t="str">
            <v>Install 1500' 2" plastic main in Wheatley Pond Development</v>
          </cell>
          <cell r="I81">
            <v>1500</v>
          </cell>
          <cell r="J81">
            <v>1750</v>
          </cell>
          <cell r="L81">
            <v>51</v>
          </cell>
          <cell r="M81">
            <v>7377.37</v>
          </cell>
          <cell r="N81">
            <v>9974</v>
          </cell>
          <cell r="O81">
            <v>2596.63</v>
          </cell>
          <cell r="P81">
            <v>752.37</v>
          </cell>
          <cell r="R81">
            <v>6625</v>
          </cell>
        </row>
        <row r="82">
          <cell r="A82" t="str">
            <v>05</v>
          </cell>
          <cell r="B82" t="str">
            <v>376</v>
          </cell>
          <cell r="C82">
            <v>36949</v>
          </cell>
          <cell r="D82">
            <v>36994</v>
          </cell>
          <cell r="E82" t="str">
            <v>DE-WILD MEADOWS</v>
          </cell>
          <cell r="F82" t="str">
            <v>MAIN NEW APPR</v>
          </cell>
          <cell r="H82" t="str">
            <v>Install 285'-6" pl approach main to srve Wild Meadows Dev</v>
          </cell>
          <cell r="I82">
            <v>285</v>
          </cell>
          <cell r="K82">
            <v>300</v>
          </cell>
          <cell r="L82">
            <v>61</v>
          </cell>
          <cell r="M82">
            <v>8483.93</v>
          </cell>
          <cell r="N82">
            <v>11705</v>
          </cell>
          <cell r="O82">
            <v>3221.0699999999997</v>
          </cell>
          <cell r="P82">
            <v>1035.93</v>
          </cell>
          <cell r="R82">
            <v>7448</v>
          </cell>
        </row>
        <row r="83">
          <cell r="A83" t="str">
            <v>05</v>
          </cell>
          <cell r="B83" t="str">
            <v>376</v>
          </cell>
          <cell r="C83">
            <v>36949</v>
          </cell>
          <cell r="D83">
            <v>36994</v>
          </cell>
          <cell r="E83" t="str">
            <v>DE-WILD MEADOWS</v>
          </cell>
          <cell r="F83" t="str">
            <v>MAIN NEW DEV</v>
          </cell>
          <cell r="H83" t="str">
            <v>Install 1300'-2"pl main-Kurt Dr, Persimmon Circle West and Holland Ct</v>
          </cell>
          <cell r="I83">
            <v>1300</v>
          </cell>
          <cell r="J83">
            <v>3523</v>
          </cell>
          <cell r="L83">
            <v>61</v>
          </cell>
          <cell r="M83">
            <v>16247.66</v>
          </cell>
          <cell r="N83">
            <v>20402</v>
          </cell>
          <cell r="O83">
            <v>4154.34</v>
          </cell>
          <cell r="P83">
            <v>1508.66</v>
          </cell>
          <cell r="R83">
            <v>14739</v>
          </cell>
        </row>
        <row r="84">
          <cell r="A84" t="str">
            <v>05</v>
          </cell>
          <cell r="B84" t="str">
            <v>376</v>
          </cell>
          <cell r="C84">
            <v>36967</v>
          </cell>
          <cell r="D84">
            <v>37195</v>
          </cell>
          <cell r="E84" t="str">
            <v>DE-WOODFIELD DEV</v>
          </cell>
          <cell r="F84" t="str">
            <v>MAIN NEW DEV</v>
          </cell>
          <cell r="H84" t="str">
            <v>Install 350ft-2 in pl main -Forest Glen Rd, 300ft-4in pl mn-Sunny meadow Dr</v>
          </cell>
          <cell r="J84">
            <v>300</v>
          </cell>
          <cell r="K84">
            <v>300</v>
          </cell>
          <cell r="L84">
            <v>64</v>
          </cell>
          <cell r="M84">
            <v>3220.2200000000003</v>
          </cell>
          <cell r="N84">
            <v>4911</v>
          </cell>
          <cell r="O84">
            <v>1690.7799999999997</v>
          </cell>
          <cell r="P84">
            <v>610.22</v>
          </cell>
          <cell r="R84">
            <v>2610</v>
          </cell>
        </row>
        <row r="85">
          <cell r="A85" t="str">
            <v>05</v>
          </cell>
          <cell r="B85" t="str">
            <v>376</v>
          </cell>
          <cell r="C85">
            <v>37083</v>
          </cell>
          <cell r="D85">
            <v>37195</v>
          </cell>
          <cell r="E85" t="str">
            <v>DE-WOODFIELD DEV</v>
          </cell>
          <cell r="F85" t="str">
            <v>MAIN NEW DEV PH3</v>
          </cell>
          <cell r="H85" t="str">
            <v>Install 985ft-4" and 2691ft-2"--Woodfield Development (Extension)</v>
          </cell>
          <cell r="I85">
            <v>3676</v>
          </cell>
          <cell r="J85">
            <v>2691</v>
          </cell>
          <cell r="K85">
            <v>985</v>
          </cell>
          <cell r="L85">
            <v>64</v>
          </cell>
          <cell r="M85">
            <v>18278.400000000001</v>
          </cell>
          <cell r="N85">
            <v>24622</v>
          </cell>
          <cell r="O85">
            <v>6343.5999999999985</v>
          </cell>
          <cell r="P85">
            <v>2467.25</v>
          </cell>
          <cell r="R85">
            <v>15811.15</v>
          </cell>
        </row>
        <row r="86">
          <cell r="A86" t="str">
            <v>05</v>
          </cell>
          <cell r="B86">
            <v>376</v>
          </cell>
          <cell r="D86">
            <v>36922</v>
          </cell>
          <cell r="E86" t="str">
            <v>DE-WYNN WOOD DEV</v>
          </cell>
          <cell r="F86" t="str">
            <v>MAIN NEW</v>
          </cell>
          <cell r="H86" t="str">
            <v>2000 Project</v>
          </cell>
          <cell r="I86">
            <v>1500</v>
          </cell>
          <cell r="L86">
            <v>51</v>
          </cell>
          <cell r="M86">
            <v>2172.37</v>
          </cell>
          <cell r="N86">
            <v>2172</v>
          </cell>
          <cell r="O86">
            <v>-0.36999999999989086</v>
          </cell>
          <cell r="P86">
            <v>27.37</v>
          </cell>
          <cell r="R86">
            <v>2145</v>
          </cell>
        </row>
        <row r="87">
          <cell r="H87" t="str">
            <v>Subtotal Group 05</v>
          </cell>
          <cell r="M87">
            <v>515029.89999999997</v>
          </cell>
          <cell r="N87">
            <v>876080.23</v>
          </cell>
          <cell r="O87">
            <v>361050.33</v>
          </cell>
        </row>
        <row r="89">
          <cell r="A89" t="str">
            <v>05S</v>
          </cell>
          <cell r="B89" t="str">
            <v>376</v>
          </cell>
          <cell r="G89" t="str">
            <v>Mains - New Customers</v>
          </cell>
        </row>
        <row r="90">
          <cell r="A90" t="str">
            <v>05S</v>
          </cell>
          <cell r="B90" t="str">
            <v>376</v>
          </cell>
          <cell r="H90" t="str">
            <v>BLANKET</v>
          </cell>
          <cell r="M90">
            <v>0</v>
          </cell>
          <cell r="N90">
            <v>0</v>
          </cell>
          <cell r="O90">
            <v>0</v>
          </cell>
        </row>
        <row r="91">
          <cell r="A91" t="str">
            <v>05S</v>
          </cell>
          <cell r="B91">
            <v>376</v>
          </cell>
          <cell r="C91">
            <v>36956</v>
          </cell>
          <cell r="D91">
            <v>37225</v>
          </cell>
          <cell r="E91" t="str">
            <v>DE-HOLLY OAK MHP II</v>
          </cell>
          <cell r="F91" t="str">
            <v>MAIN NEW DEV</v>
          </cell>
          <cell r="H91" t="str">
            <v>Install 2400 ft- 2" main, Holly Oak MHP II, 40 New lots</v>
          </cell>
          <cell r="I91">
            <v>2400</v>
          </cell>
          <cell r="J91">
            <v>2125</v>
          </cell>
          <cell r="L91">
            <v>90</v>
          </cell>
          <cell r="M91">
            <v>9900.75</v>
          </cell>
          <cell r="N91">
            <v>12488</v>
          </cell>
          <cell r="O91">
            <v>2587.25</v>
          </cell>
          <cell r="P91">
            <v>1025.75</v>
          </cell>
          <cell r="R91">
            <v>8875</v>
          </cell>
        </row>
        <row r="92">
          <cell r="A92" t="str">
            <v>05S</v>
          </cell>
          <cell r="B92">
            <v>376</v>
          </cell>
          <cell r="C92">
            <v>36956</v>
          </cell>
          <cell r="D92">
            <v>37134</v>
          </cell>
          <cell r="E92" t="str">
            <v>DE-LITTLE MEADOW</v>
          </cell>
          <cell r="F92" t="str">
            <v>MAIN NEW APPR</v>
          </cell>
          <cell r="H92" t="str">
            <v>Extend main to Little Meadows Development(Approach Mn)-4 inch pl</v>
          </cell>
          <cell r="I92">
            <v>685</v>
          </cell>
          <cell r="J92">
            <v>930</v>
          </cell>
          <cell r="K92">
            <v>1757</v>
          </cell>
          <cell r="L92">
            <v>84</v>
          </cell>
          <cell r="M92">
            <v>9930.0400000000009</v>
          </cell>
          <cell r="N92">
            <v>10506</v>
          </cell>
          <cell r="O92">
            <v>575.95999999999913</v>
          </cell>
          <cell r="P92">
            <v>3505.04</v>
          </cell>
          <cell r="R92">
            <v>6425</v>
          </cell>
        </row>
        <row r="93">
          <cell r="A93" t="str">
            <v>05S</v>
          </cell>
          <cell r="B93">
            <v>376</v>
          </cell>
          <cell r="C93">
            <v>36956</v>
          </cell>
          <cell r="D93">
            <v>37134</v>
          </cell>
          <cell r="E93" t="str">
            <v>DE-LITTLE MEADOW</v>
          </cell>
          <cell r="F93" t="str">
            <v>MAIN NEW DEV</v>
          </cell>
          <cell r="H93" t="str">
            <v>Extend main to Little Meadows Development(DEV-Main)-2 inch pl</v>
          </cell>
          <cell r="I93">
            <v>3800</v>
          </cell>
          <cell r="J93">
            <v>3750</v>
          </cell>
          <cell r="L93">
            <v>84</v>
          </cell>
          <cell r="M93">
            <v>11539.130000000001</v>
          </cell>
          <cell r="N93">
            <v>17006</v>
          </cell>
          <cell r="O93">
            <v>5466.869999999999</v>
          </cell>
          <cell r="P93">
            <v>2635.38</v>
          </cell>
          <cell r="R93">
            <v>8903.75</v>
          </cell>
        </row>
        <row r="94">
          <cell r="A94" t="str">
            <v>05S</v>
          </cell>
          <cell r="B94">
            <v>376</v>
          </cell>
          <cell r="C94">
            <v>37035</v>
          </cell>
          <cell r="D94">
            <v>37134</v>
          </cell>
          <cell r="E94" t="str">
            <v>DE-YORKTOWN WOODS</v>
          </cell>
          <cell r="F94" t="str">
            <v>MAIN NEW APPR</v>
          </cell>
          <cell r="H94" t="str">
            <v>ADD-Extend new main 1000',2"pl to Yorktowne Woods Dev, Nylon Ave Seaford</v>
          </cell>
          <cell r="I94">
            <v>1000</v>
          </cell>
          <cell r="J94">
            <v>1130</v>
          </cell>
          <cell r="L94">
            <v>81</v>
          </cell>
          <cell r="M94">
            <v>5259.97</v>
          </cell>
          <cell r="N94">
            <v>5415</v>
          </cell>
          <cell r="O94">
            <v>155.02999999999975</v>
          </cell>
          <cell r="P94">
            <v>522.47</v>
          </cell>
          <cell r="R94">
            <v>4737.5</v>
          </cell>
        </row>
        <row r="95">
          <cell r="H95" t="str">
            <v>Subtotal Group 05S</v>
          </cell>
          <cell r="M95">
            <v>36629.89</v>
          </cell>
          <cell r="N95">
            <v>45415</v>
          </cell>
          <cell r="O95">
            <v>8785.1099999999969</v>
          </cell>
        </row>
        <row r="97">
          <cell r="A97" t="str">
            <v>06</v>
          </cell>
          <cell r="B97" t="str">
            <v>376</v>
          </cell>
          <cell r="G97" t="str">
            <v>Mains - Replacement</v>
          </cell>
        </row>
        <row r="98">
          <cell r="A98" t="str">
            <v>06</v>
          </cell>
          <cell r="B98" t="str">
            <v>376</v>
          </cell>
          <cell r="H98" t="str">
            <v>Replace 2" Bare Steel Main with 2" Plastic Main (2500')</v>
          </cell>
          <cell r="M98">
            <v>116.69</v>
          </cell>
          <cell r="N98">
            <v>22100</v>
          </cell>
          <cell r="O98">
            <v>21983.31</v>
          </cell>
          <cell r="P98">
            <v>116.69</v>
          </cell>
        </row>
        <row r="99">
          <cell r="A99" t="str">
            <v>06</v>
          </cell>
          <cell r="B99">
            <v>376</v>
          </cell>
          <cell r="C99">
            <v>37032</v>
          </cell>
          <cell r="D99">
            <v>37195</v>
          </cell>
          <cell r="E99" t="str">
            <v>DE-BROAD ST</v>
          </cell>
          <cell r="F99" t="str">
            <v>MAIN REPLACE</v>
          </cell>
          <cell r="H99" t="str">
            <v>ADD-Replace 2" BS, main on Broad St in Wyoming from Mech St West to End</v>
          </cell>
          <cell r="I99">
            <v>326</v>
          </cell>
          <cell r="J99">
            <v>330</v>
          </cell>
          <cell r="L99">
            <v>66</v>
          </cell>
          <cell r="M99">
            <v>2482</v>
          </cell>
          <cell r="N99">
            <v>3481</v>
          </cell>
          <cell r="O99">
            <v>999</v>
          </cell>
          <cell r="R99">
            <v>2482</v>
          </cell>
        </row>
        <row r="100">
          <cell r="A100" t="str">
            <v>06</v>
          </cell>
          <cell r="B100" t="str">
            <v>376</v>
          </cell>
          <cell r="C100">
            <v>36896</v>
          </cell>
          <cell r="D100">
            <v>36950</v>
          </cell>
          <cell r="E100" t="str">
            <v>DE-DOV SHOP CTR</v>
          </cell>
          <cell r="F100" t="str">
            <v>MAIN REPLACE</v>
          </cell>
          <cell r="H100" t="str">
            <v>Replace @300ft 2inch pl main, Center of Dover Shopping Center</v>
          </cell>
          <cell r="I100">
            <v>300</v>
          </cell>
          <cell r="J100">
            <v>300</v>
          </cell>
          <cell r="L100">
            <v>60</v>
          </cell>
          <cell r="M100">
            <v>3631.27</v>
          </cell>
          <cell r="N100">
            <v>4577</v>
          </cell>
          <cell r="O100">
            <v>945.73</v>
          </cell>
          <cell r="P100">
            <v>131.27000000000001</v>
          </cell>
          <cell r="R100">
            <v>3500</v>
          </cell>
        </row>
        <row r="101">
          <cell r="A101" t="str">
            <v>06</v>
          </cell>
          <cell r="B101">
            <v>376</v>
          </cell>
          <cell r="C101">
            <v>37141</v>
          </cell>
          <cell r="D101">
            <v>37195</v>
          </cell>
          <cell r="E101" t="str">
            <v>DE-EAST ST</v>
          </cell>
          <cell r="F101" t="str">
            <v>MAIN REPLACE</v>
          </cell>
          <cell r="H101" t="str">
            <v>ADD-Replace 700' 2" Bare Steel Main with 2" Plastic Main</v>
          </cell>
          <cell r="I101">
            <v>700</v>
          </cell>
          <cell r="J101">
            <v>700</v>
          </cell>
          <cell r="L101">
            <v>65</v>
          </cell>
          <cell r="M101">
            <v>13155.38</v>
          </cell>
          <cell r="N101">
            <v>19450</v>
          </cell>
          <cell r="O101">
            <v>6294.6200000000008</v>
          </cell>
          <cell r="P101">
            <v>247.53</v>
          </cell>
          <cell r="Q101">
            <v>17.850000000000001</v>
          </cell>
          <cell r="R101">
            <v>12890</v>
          </cell>
        </row>
        <row r="102">
          <cell r="A102" t="str">
            <v>06</v>
          </cell>
          <cell r="B102">
            <v>376</v>
          </cell>
          <cell r="C102">
            <v>37215</v>
          </cell>
          <cell r="E102" t="str">
            <v>DE-EDGEHILL &amp; HALSEY</v>
          </cell>
          <cell r="F102" t="str">
            <v>MAIN REPLACE</v>
          </cell>
          <cell r="H102" t="str">
            <v>ADD-Replace 735' of 2" bare steel on Edgehill &amp; 540' on S Halsey with 2" pl</v>
          </cell>
          <cell r="I102">
            <v>1275</v>
          </cell>
          <cell r="L102">
            <v>60</v>
          </cell>
          <cell r="M102">
            <v>0</v>
          </cell>
          <cell r="N102">
            <v>23096</v>
          </cell>
          <cell r="O102">
            <v>23096</v>
          </cell>
        </row>
        <row r="103">
          <cell r="A103" t="str">
            <v>06</v>
          </cell>
          <cell r="B103">
            <v>376</v>
          </cell>
          <cell r="C103">
            <v>37147</v>
          </cell>
          <cell r="D103">
            <v>37225</v>
          </cell>
          <cell r="E103" t="str">
            <v>DE-HIGHLAND AVE</v>
          </cell>
          <cell r="F103" t="str">
            <v>MAIN REPLACE</v>
          </cell>
          <cell r="H103" t="str">
            <v>Replace 710' of 2" Bare Steel with 2" plastic on Highland Ave in Clayton</v>
          </cell>
          <cell r="I103">
            <v>710</v>
          </cell>
          <cell r="L103">
            <v>51</v>
          </cell>
          <cell r="M103">
            <v>10111.040000000001</v>
          </cell>
          <cell r="N103">
            <v>14872.59</v>
          </cell>
          <cell r="O103">
            <v>4761.5499999999993</v>
          </cell>
          <cell r="P103">
            <v>361.04</v>
          </cell>
          <cell r="R103">
            <v>9750</v>
          </cell>
        </row>
        <row r="104">
          <cell r="A104" t="str">
            <v>06</v>
          </cell>
          <cell r="B104">
            <v>376</v>
          </cell>
          <cell r="C104">
            <v>37033</v>
          </cell>
          <cell r="D104">
            <v>37195</v>
          </cell>
          <cell r="E104" t="str">
            <v>DE-MECHANIC ST</v>
          </cell>
          <cell r="F104" t="str">
            <v>MAIN REPLACE</v>
          </cell>
          <cell r="H104" t="str">
            <v>Replace 2" BS, main on Mechanic St in Wyoming from 3rd St to Grant St</v>
          </cell>
          <cell r="I104">
            <v>680</v>
          </cell>
          <cell r="J104">
            <v>500</v>
          </cell>
          <cell r="L104">
            <v>66</v>
          </cell>
          <cell r="M104">
            <v>10991.279999999999</v>
          </cell>
          <cell r="N104">
            <v>16543</v>
          </cell>
          <cell r="O104">
            <v>5551.7200000000012</v>
          </cell>
          <cell r="P104">
            <v>181.89</v>
          </cell>
          <cell r="R104">
            <v>10809.39</v>
          </cell>
        </row>
        <row r="105">
          <cell r="A105" t="str">
            <v>06</v>
          </cell>
          <cell r="B105">
            <v>376</v>
          </cell>
          <cell r="C105">
            <v>37165</v>
          </cell>
          <cell r="E105" t="str">
            <v>DE-MESSINA HILL RD</v>
          </cell>
          <cell r="F105" t="str">
            <v>MAIN REPLACE</v>
          </cell>
          <cell r="H105" t="str">
            <v>ADD-Replace 3100' of 4" Bare Steel with 6" Plastic on Messina Hill Rd in Cheswold</v>
          </cell>
          <cell r="I105">
            <v>3100</v>
          </cell>
          <cell r="K105">
            <v>2200</v>
          </cell>
          <cell r="L105">
            <v>57</v>
          </cell>
          <cell r="M105">
            <v>0</v>
          </cell>
          <cell r="N105">
            <v>63712</v>
          </cell>
          <cell r="O105">
            <v>63712</v>
          </cell>
        </row>
        <row r="106">
          <cell r="A106" t="str">
            <v>06</v>
          </cell>
          <cell r="B106">
            <v>376</v>
          </cell>
          <cell r="C106">
            <v>37033</v>
          </cell>
          <cell r="D106">
            <v>37195</v>
          </cell>
          <cell r="E106" t="str">
            <v>DE-SO STATE ST DOV</v>
          </cell>
          <cell r="F106" t="str">
            <v>MAIN RELOCATE</v>
          </cell>
          <cell r="H106" t="str">
            <v>Relocate of existing 4" due to conflicts w/storm drain wk performed by DELDOT</v>
          </cell>
          <cell r="J106">
            <v>100</v>
          </cell>
          <cell r="L106">
            <v>60</v>
          </cell>
          <cell r="M106">
            <v>30894.61</v>
          </cell>
          <cell r="N106">
            <v>24000</v>
          </cell>
          <cell r="O106">
            <v>-6894.6100000000006</v>
          </cell>
          <cell r="P106">
            <v>618.73</v>
          </cell>
          <cell r="R106">
            <v>27784</v>
          </cell>
          <cell r="T106">
            <v>2491.88</v>
          </cell>
        </row>
        <row r="107">
          <cell r="A107" t="str">
            <v>06</v>
          </cell>
          <cell r="B107">
            <v>376</v>
          </cell>
          <cell r="C107">
            <v>36949</v>
          </cell>
          <cell r="D107">
            <v>37164</v>
          </cell>
          <cell r="E107" t="str">
            <v>DE-THE MEADOWS</v>
          </cell>
          <cell r="F107" t="str">
            <v>MAIN RELOC</v>
          </cell>
          <cell r="H107" t="str">
            <v>Replace &amp; Relocate-2" pl main in the Meadows Housing Dev</v>
          </cell>
          <cell r="I107">
            <v>580</v>
          </cell>
          <cell r="J107">
            <v>580</v>
          </cell>
          <cell r="L107">
            <v>60</v>
          </cell>
          <cell r="M107">
            <v>3732.93</v>
          </cell>
          <cell r="N107">
            <v>4880</v>
          </cell>
          <cell r="O107">
            <v>1147.0700000000002</v>
          </cell>
          <cell r="P107">
            <v>232.93</v>
          </cell>
          <cell r="R107">
            <v>3500</v>
          </cell>
        </row>
        <row r="108">
          <cell r="A108" t="str">
            <v>06</v>
          </cell>
          <cell r="B108">
            <v>376</v>
          </cell>
          <cell r="C108">
            <v>37147</v>
          </cell>
          <cell r="D108">
            <v>37225</v>
          </cell>
          <cell r="E108" t="str">
            <v>DE-WEST MAIN</v>
          </cell>
          <cell r="F108" t="str">
            <v>MAIN REPLACE</v>
          </cell>
          <cell r="H108" t="str">
            <v>Replace 630' of 2" Bare Steel with 2" plastic on West Main in Clayton</v>
          </cell>
          <cell r="I108">
            <v>630</v>
          </cell>
          <cell r="J108">
            <v>650</v>
          </cell>
          <cell r="L108">
            <v>51</v>
          </cell>
          <cell r="M108">
            <v>9339.85</v>
          </cell>
          <cell r="N108">
            <v>23040.11</v>
          </cell>
          <cell r="O108">
            <v>13700.26</v>
          </cell>
          <cell r="P108">
            <v>229.85</v>
          </cell>
          <cell r="R108">
            <v>9110</v>
          </cell>
        </row>
        <row r="109">
          <cell r="A109" t="str">
            <v>06</v>
          </cell>
          <cell r="B109" t="str">
            <v>376</v>
          </cell>
          <cell r="H109" t="str">
            <v>BLANKET</v>
          </cell>
          <cell r="M109">
            <v>0</v>
          </cell>
          <cell r="N109">
            <v>0</v>
          </cell>
          <cell r="O109">
            <v>0</v>
          </cell>
        </row>
        <row r="110">
          <cell r="H110" t="str">
            <v>Subtotal Group 06</v>
          </cell>
          <cell r="M110">
            <v>84455.05</v>
          </cell>
          <cell r="N110">
            <v>219751.7</v>
          </cell>
          <cell r="O110">
            <v>135296.65000000002</v>
          </cell>
        </row>
        <row r="112">
          <cell r="A112" t="str">
            <v>06S</v>
          </cell>
          <cell r="B112" t="str">
            <v>376</v>
          </cell>
          <cell r="G112" t="str">
            <v>Mains - Replacement</v>
          </cell>
        </row>
        <row r="113">
          <cell r="A113" t="str">
            <v>06S</v>
          </cell>
          <cell r="B113" t="str">
            <v>376</v>
          </cell>
          <cell r="H113" t="str">
            <v>Replace 1000', 4" Bare Steel Main-Seaford/Lrl Hwy (13A) with 4" PL</v>
          </cell>
          <cell r="M113">
            <v>0</v>
          </cell>
          <cell r="N113">
            <v>22800</v>
          </cell>
          <cell r="O113">
            <v>22800</v>
          </cell>
        </row>
        <row r="114">
          <cell r="A114" t="str">
            <v>06S</v>
          </cell>
          <cell r="B114" t="str">
            <v>376</v>
          </cell>
          <cell r="H114" t="str">
            <v>Replace 1000', 4" Bare Steel Main-Rt 13A Laurel-Seaford with 4" PL</v>
          </cell>
          <cell r="M114">
            <v>0</v>
          </cell>
          <cell r="N114">
            <v>22800</v>
          </cell>
          <cell r="O114">
            <v>22800</v>
          </cell>
        </row>
        <row r="115">
          <cell r="A115" t="str">
            <v>06S</v>
          </cell>
          <cell r="B115" t="str">
            <v>376</v>
          </cell>
          <cell r="H115" t="str">
            <v>Replace 500', 2" Bare Steel Main-E. Sixth St-Laurel with 2" PL</v>
          </cell>
          <cell r="M115">
            <v>0</v>
          </cell>
          <cell r="N115">
            <v>0</v>
          </cell>
          <cell r="O115">
            <v>0</v>
          </cell>
        </row>
        <row r="116">
          <cell r="A116" t="str">
            <v>06S</v>
          </cell>
          <cell r="B116" t="str">
            <v>376</v>
          </cell>
          <cell r="H116" t="str">
            <v>BLANKET</v>
          </cell>
          <cell r="M116">
            <v>0</v>
          </cell>
          <cell r="N116">
            <v>15000</v>
          </cell>
          <cell r="O116">
            <v>15000</v>
          </cell>
        </row>
        <row r="117">
          <cell r="H117" t="str">
            <v>Subtotal Group 06S</v>
          </cell>
          <cell r="M117">
            <v>0</v>
          </cell>
          <cell r="N117">
            <v>60600</v>
          </cell>
          <cell r="O117">
            <v>60600</v>
          </cell>
        </row>
        <row r="120">
          <cell r="A120" t="str">
            <v>07</v>
          </cell>
          <cell r="B120" t="str">
            <v>376</v>
          </cell>
          <cell r="G120" t="str">
            <v>Mains - Reinforcement</v>
          </cell>
        </row>
        <row r="121">
          <cell r="H121" t="str">
            <v>Subtotal Group 07</v>
          </cell>
          <cell r="N121">
            <v>0</v>
          </cell>
        </row>
        <row r="123">
          <cell r="A123" t="str">
            <v>07</v>
          </cell>
          <cell r="B123" t="str">
            <v>376</v>
          </cell>
          <cell r="G123" t="str">
            <v>Mains - Reinforcement</v>
          </cell>
        </row>
        <row r="124">
          <cell r="A124" t="str">
            <v>07</v>
          </cell>
          <cell r="B124" t="str">
            <v>376</v>
          </cell>
          <cell r="C124">
            <v>36892</v>
          </cell>
          <cell r="D124">
            <v>36922</v>
          </cell>
          <cell r="E124" t="str">
            <v>DE-S STATE DOV</v>
          </cell>
          <cell r="F124" t="str">
            <v>MAIN REINFORCE</v>
          </cell>
          <cell r="H124" t="str">
            <v>ADD-Carryover-Main Reinforcement 4" pl main-(S. State)</v>
          </cell>
          <cell r="I124">
            <v>2800</v>
          </cell>
          <cell r="K124">
            <v>2700</v>
          </cell>
          <cell r="L124">
            <v>65</v>
          </cell>
          <cell r="M124">
            <v>58435.25</v>
          </cell>
          <cell r="N124">
            <v>69847</v>
          </cell>
          <cell r="O124">
            <v>11411.75</v>
          </cell>
          <cell r="P124">
            <v>1383.06</v>
          </cell>
          <cell r="Q124">
            <v>386</v>
          </cell>
          <cell r="R124">
            <v>56084</v>
          </cell>
          <cell r="T124">
            <v>582.19000000000005</v>
          </cell>
        </row>
        <row r="125">
          <cell r="H125" t="str">
            <v>Subtotal Group 07</v>
          </cell>
          <cell r="M125">
            <v>58435.25</v>
          </cell>
          <cell r="N125">
            <v>69847</v>
          </cell>
          <cell r="O125">
            <v>11411.75</v>
          </cell>
        </row>
        <row r="127">
          <cell r="A127" t="str">
            <v>07S</v>
          </cell>
          <cell r="B127" t="str">
            <v>376</v>
          </cell>
          <cell r="G127" t="str">
            <v>Mains - Reinforcement</v>
          </cell>
        </row>
        <row r="128">
          <cell r="A128" t="str">
            <v>07S</v>
          </cell>
          <cell r="B128" t="str">
            <v>376</v>
          </cell>
          <cell r="H128" t="str">
            <v>BLANKET</v>
          </cell>
          <cell r="M128">
            <v>0</v>
          </cell>
          <cell r="N128">
            <v>0</v>
          </cell>
          <cell r="O128">
            <v>0</v>
          </cell>
        </row>
        <row r="129">
          <cell r="H129" t="str">
            <v>Subtotal Group 07S</v>
          </cell>
          <cell r="M129">
            <v>0</v>
          </cell>
          <cell r="N129">
            <v>0</v>
          </cell>
          <cell r="O129">
            <v>0</v>
          </cell>
        </row>
        <row r="131">
          <cell r="A131" t="str">
            <v>08</v>
          </cell>
          <cell r="B131" t="str">
            <v>378</v>
          </cell>
          <cell r="G131" t="str">
            <v>M &amp; R Stations - General</v>
          </cell>
        </row>
        <row r="132">
          <cell r="A132" t="str">
            <v>08</v>
          </cell>
          <cell r="B132" t="str">
            <v>378</v>
          </cell>
          <cell r="C132">
            <v>37202</v>
          </cell>
          <cell r="E132" t="str">
            <v>DE-LAKE FOREST HS</v>
          </cell>
          <cell r="F132" t="str">
            <v>MR GEN</v>
          </cell>
          <cell r="H132" t="str">
            <v>Install a Ditrict Regulator set @ Lake Forrest HS</v>
          </cell>
          <cell r="L132">
            <v>69</v>
          </cell>
          <cell r="M132">
            <v>3784</v>
          </cell>
          <cell r="N132">
            <v>8470</v>
          </cell>
          <cell r="O132">
            <v>4686</v>
          </cell>
          <cell r="R132">
            <v>3784</v>
          </cell>
        </row>
        <row r="133">
          <cell r="A133" t="str">
            <v>08</v>
          </cell>
          <cell r="B133" t="str">
            <v>378</v>
          </cell>
          <cell r="H133" t="str">
            <v>BLANKET</v>
          </cell>
          <cell r="M133">
            <v>0</v>
          </cell>
          <cell r="N133">
            <v>1310</v>
          </cell>
          <cell r="O133">
            <v>1310</v>
          </cell>
        </row>
        <row r="134">
          <cell r="H134" t="str">
            <v>Subtotal Group 08</v>
          </cell>
          <cell r="M134">
            <v>3784</v>
          </cell>
          <cell r="N134">
            <v>9780</v>
          </cell>
          <cell r="O134">
            <v>5996</v>
          </cell>
        </row>
        <row r="136">
          <cell r="A136" t="str">
            <v>08S</v>
          </cell>
          <cell r="B136" t="str">
            <v>378</v>
          </cell>
          <cell r="D136">
            <v>36891</v>
          </cell>
          <cell r="E136" t="str">
            <v>DE-M&amp;R GEN</v>
          </cell>
          <cell r="F136" t="str">
            <v>DELMAR HIGH</v>
          </cell>
          <cell r="H136" t="str">
            <v>Delmar High M&amp;R</v>
          </cell>
          <cell r="M136">
            <v>199.44</v>
          </cell>
          <cell r="N136">
            <v>0</v>
          </cell>
          <cell r="O136">
            <v>-199.44</v>
          </cell>
          <cell r="P136">
            <v>199.44</v>
          </cell>
        </row>
        <row r="137">
          <cell r="H137" t="str">
            <v>Subtotal Group 08S</v>
          </cell>
          <cell r="M137">
            <v>199.44</v>
          </cell>
          <cell r="N137">
            <v>0</v>
          </cell>
          <cell r="O137">
            <v>-199.44</v>
          </cell>
        </row>
        <row r="139">
          <cell r="A139" t="str">
            <v>08S</v>
          </cell>
          <cell r="B139" t="str">
            <v>378</v>
          </cell>
          <cell r="G139" t="str">
            <v>M &amp; R Stations - General</v>
          </cell>
        </row>
        <row r="142">
          <cell r="A142" t="str">
            <v>09</v>
          </cell>
          <cell r="B142" t="str">
            <v>379</v>
          </cell>
          <cell r="G142" t="str">
            <v>M &amp; R Stations - City Gate</v>
          </cell>
        </row>
        <row r="143">
          <cell r="A143" t="str">
            <v>09</v>
          </cell>
          <cell r="B143" t="str">
            <v>379</v>
          </cell>
          <cell r="H143" t="str">
            <v>BLANKET</v>
          </cell>
          <cell r="M143">
            <v>0</v>
          </cell>
          <cell r="N143">
            <v>0</v>
          </cell>
          <cell r="O143">
            <v>0</v>
          </cell>
        </row>
        <row r="144">
          <cell r="H144" t="str">
            <v>Subtotal group 09</v>
          </cell>
          <cell r="M144">
            <v>0</v>
          </cell>
          <cell r="N144">
            <v>0</v>
          </cell>
          <cell r="O144">
            <v>0</v>
          </cell>
        </row>
        <row r="146">
          <cell r="A146" t="str">
            <v>09S</v>
          </cell>
          <cell r="B146" t="str">
            <v>379</v>
          </cell>
          <cell r="G146" t="str">
            <v>M &amp; R Stations - City Gate</v>
          </cell>
        </row>
        <row r="147">
          <cell r="A147" t="str">
            <v>09S</v>
          </cell>
          <cell r="B147" t="str">
            <v>379</v>
          </cell>
          <cell r="H147" t="str">
            <v>BLANKET</v>
          </cell>
          <cell r="M147">
            <v>0</v>
          </cell>
          <cell r="N147">
            <v>0</v>
          </cell>
          <cell r="O147">
            <v>0</v>
          </cell>
        </row>
        <row r="148">
          <cell r="H148" t="str">
            <v>Subtotal Group 09S</v>
          </cell>
          <cell r="M148">
            <v>0</v>
          </cell>
          <cell r="N148">
            <v>0</v>
          </cell>
          <cell r="O148">
            <v>0</v>
          </cell>
        </row>
        <row r="150">
          <cell r="A150" t="str">
            <v>10</v>
          </cell>
          <cell r="B150" t="str">
            <v>380</v>
          </cell>
          <cell r="G150" t="str">
            <v>Services - 1/2"</v>
          </cell>
        </row>
        <row r="151">
          <cell r="A151" t="str">
            <v>10</v>
          </cell>
          <cell r="B151" t="str">
            <v>380</v>
          </cell>
          <cell r="C151">
            <v>36892</v>
          </cell>
          <cell r="E151" t="str">
            <v>DE-SVC</v>
          </cell>
          <cell r="F151" t="str">
            <v>1/2 INCH-DOV</v>
          </cell>
          <cell r="H151" t="str">
            <v>BLANKET</v>
          </cell>
          <cell r="M151">
            <v>2002.3</v>
          </cell>
          <cell r="N151">
            <v>7920</v>
          </cell>
          <cell r="O151">
            <v>5917.7</v>
          </cell>
          <cell r="P151">
            <v>-8.69</v>
          </cell>
          <cell r="T151">
            <v>2010.99</v>
          </cell>
        </row>
        <row r="152">
          <cell r="H152" t="str">
            <v>Subtotal Group 10</v>
          </cell>
          <cell r="M152">
            <v>2002.3</v>
          </cell>
          <cell r="N152">
            <v>7920</v>
          </cell>
          <cell r="O152">
            <v>5917.7</v>
          </cell>
        </row>
        <row r="154">
          <cell r="A154" t="str">
            <v>10S</v>
          </cell>
          <cell r="B154" t="str">
            <v>380</v>
          </cell>
          <cell r="G154" t="str">
            <v>Services - 1/2"</v>
          </cell>
        </row>
        <row r="157">
          <cell r="A157" t="str">
            <v>10S</v>
          </cell>
          <cell r="B157" t="str">
            <v>380</v>
          </cell>
          <cell r="G157" t="str">
            <v>Services - 1/2"</v>
          </cell>
        </row>
        <row r="158">
          <cell r="A158" t="str">
            <v>10S</v>
          </cell>
          <cell r="B158" t="str">
            <v>380</v>
          </cell>
          <cell r="C158">
            <v>36892</v>
          </cell>
          <cell r="E158" t="str">
            <v>DE-SVC</v>
          </cell>
          <cell r="F158" t="str">
            <v>1/2 INCH-SUS</v>
          </cell>
          <cell r="H158" t="str">
            <v>BLANKET</v>
          </cell>
          <cell r="J158">
            <v>75</v>
          </cell>
          <cell r="M158">
            <v>6231.9299999999994</v>
          </cell>
          <cell r="N158">
            <v>4500</v>
          </cell>
          <cell r="O158">
            <v>-1731.9299999999994</v>
          </cell>
          <cell r="P158">
            <v>400.12</v>
          </cell>
          <cell r="T158">
            <v>5831.8099999999995</v>
          </cell>
        </row>
        <row r="159">
          <cell r="H159" t="str">
            <v>Subtotal Group 10S</v>
          </cell>
          <cell r="M159">
            <v>6231.9299999999994</v>
          </cell>
          <cell r="N159">
            <v>4500</v>
          </cell>
          <cell r="O159">
            <v>-1731.9299999999994</v>
          </cell>
        </row>
        <row r="161">
          <cell r="A161" t="str">
            <v>11</v>
          </cell>
          <cell r="B161" t="str">
            <v>380</v>
          </cell>
          <cell r="E161" t="str">
            <v>DE-SVC</v>
          </cell>
          <cell r="F161" t="str">
            <v>3/4 INCH-DOV</v>
          </cell>
          <cell r="G161" t="str">
            <v>Services - 3/4"</v>
          </cell>
        </row>
        <row r="162">
          <cell r="A162" t="str">
            <v>11</v>
          </cell>
          <cell r="B162" t="str">
            <v>380</v>
          </cell>
          <cell r="C162">
            <v>36892</v>
          </cell>
          <cell r="E162" t="str">
            <v>DE-SVC INTERNAL</v>
          </cell>
          <cell r="F162" t="str">
            <v>3/4 INCH-DOV</v>
          </cell>
          <cell r="H162" t="str">
            <v>BLANKET-Installations performed Internally</v>
          </cell>
          <cell r="J162">
            <v>83821</v>
          </cell>
          <cell r="M162">
            <v>366473.94</v>
          </cell>
          <cell r="N162">
            <v>336341</v>
          </cell>
          <cell r="O162">
            <v>-30132.940000000002</v>
          </cell>
          <cell r="P162">
            <v>33676.869999999995</v>
          </cell>
          <cell r="Q162">
            <v>1125</v>
          </cell>
          <cell r="R162">
            <v>1201.01</v>
          </cell>
          <cell r="T162">
            <v>330471.06</v>
          </cell>
        </row>
        <row r="163">
          <cell r="A163" t="str">
            <v>11</v>
          </cell>
          <cell r="B163" t="str">
            <v>380</v>
          </cell>
          <cell r="C163">
            <v>36892</v>
          </cell>
          <cell r="E163" t="str">
            <v>DE-SVC CONTR</v>
          </cell>
          <cell r="F163" t="str">
            <v>3/4 INCH-DOV</v>
          </cell>
          <cell r="H163" t="str">
            <v>BLANKET-Installatons performed by Contractor</v>
          </cell>
          <cell r="J163">
            <v>51852</v>
          </cell>
          <cell r="K163">
            <v>550</v>
          </cell>
          <cell r="M163">
            <v>278639.17000000004</v>
          </cell>
          <cell r="N163">
            <v>280179</v>
          </cell>
          <cell r="O163">
            <v>1539.8299999999581</v>
          </cell>
          <cell r="P163">
            <v>33990.26</v>
          </cell>
          <cell r="Q163">
            <v>20773.510000000002</v>
          </cell>
          <cell r="R163">
            <v>208273</v>
          </cell>
          <cell r="S163">
            <v>15602.4</v>
          </cell>
        </row>
        <row r="164">
          <cell r="H164" t="str">
            <v>Subtotal Group 11</v>
          </cell>
          <cell r="M164">
            <v>645113.1100000001</v>
          </cell>
          <cell r="N164">
            <v>616520</v>
          </cell>
          <cell r="O164">
            <v>-28593.110000000044</v>
          </cell>
        </row>
        <row r="166">
          <cell r="A166" t="str">
            <v>11S</v>
          </cell>
          <cell r="B166" t="str">
            <v>380</v>
          </cell>
          <cell r="E166" t="str">
            <v>DE-SVC</v>
          </cell>
          <cell r="F166" t="str">
            <v>3/4 INCH-SUS</v>
          </cell>
          <cell r="G166" t="str">
            <v>Services - 3/4"</v>
          </cell>
        </row>
        <row r="167">
          <cell r="A167" t="str">
            <v>11S</v>
          </cell>
          <cell r="B167" t="str">
            <v>380</v>
          </cell>
          <cell r="C167">
            <v>36892</v>
          </cell>
          <cell r="E167" t="str">
            <v>DE-SVC INTERNAL</v>
          </cell>
          <cell r="F167" t="str">
            <v>3/4 INCH-SUS</v>
          </cell>
          <cell r="H167" t="str">
            <v>BLANKET-Installations performed Internally</v>
          </cell>
          <cell r="J167">
            <v>9632</v>
          </cell>
          <cell r="K167">
            <v>1680</v>
          </cell>
          <cell r="M167">
            <v>32874.649999999994</v>
          </cell>
          <cell r="N167">
            <v>69340</v>
          </cell>
          <cell r="O167">
            <v>36465.350000000006</v>
          </cell>
          <cell r="P167">
            <v>8525.36</v>
          </cell>
          <cell r="T167">
            <v>24349.289999999997</v>
          </cell>
        </row>
        <row r="168">
          <cell r="A168" t="str">
            <v>11S</v>
          </cell>
          <cell r="B168" t="str">
            <v>380</v>
          </cell>
          <cell r="C168">
            <v>36892</v>
          </cell>
          <cell r="E168" t="str">
            <v>DE-SVC CONTR</v>
          </cell>
          <cell r="F168" t="str">
            <v>3/4 INCH-SUS</v>
          </cell>
          <cell r="H168" t="str">
            <v>BLANKET-Installations performed by Contractor</v>
          </cell>
          <cell r="M168">
            <v>7304.11</v>
          </cell>
          <cell r="N168">
            <v>26660</v>
          </cell>
          <cell r="O168">
            <v>19355.89</v>
          </cell>
          <cell r="R168">
            <v>7304.11</v>
          </cell>
        </row>
        <row r="169">
          <cell r="H169" t="str">
            <v>Subtotal Group 11S</v>
          </cell>
          <cell r="M169">
            <v>40178.759999999995</v>
          </cell>
          <cell r="N169">
            <v>96000</v>
          </cell>
          <cell r="O169">
            <v>55821.240000000005</v>
          </cell>
        </row>
        <row r="171">
          <cell r="A171" t="str">
            <v>12</v>
          </cell>
          <cell r="B171" t="str">
            <v>380</v>
          </cell>
          <cell r="G171" t="str">
            <v>Services - 1"</v>
          </cell>
        </row>
        <row r="173">
          <cell r="A173" t="str">
            <v>13</v>
          </cell>
          <cell r="B173" t="str">
            <v>380</v>
          </cell>
          <cell r="G173" t="str">
            <v>Services - 1 1/4"</v>
          </cell>
        </row>
        <row r="174">
          <cell r="A174" t="str">
            <v>13</v>
          </cell>
          <cell r="B174" t="str">
            <v>380</v>
          </cell>
          <cell r="C174">
            <v>36892</v>
          </cell>
          <cell r="E174" t="str">
            <v>DE-SVC</v>
          </cell>
          <cell r="F174" t="str">
            <v>1 1/4 INCH-DOV</v>
          </cell>
          <cell r="H174" t="str">
            <v>BLANKET</v>
          </cell>
          <cell r="M174">
            <v>0</v>
          </cell>
          <cell r="N174">
            <v>0</v>
          </cell>
          <cell r="O174">
            <v>0</v>
          </cell>
        </row>
        <row r="175">
          <cell r="A175" t="str">
            <v>13</v>
          </cell>
          <cell r="B175" t="str">
            <v>380</v>
          </cell>
          <cell r="C175">
            <v>36892</v>
          </cell>
          <cell r="E175" t="str">
            <v>DE-SVC INTERNAL</v>
          </cell>
          <cell r="F175" t="str">
            <v>1 1/4 INCH-DOV</v>
          </cell>
          <cell r="H175" t="str">
            <v>Services - Internal</v>
          </cell>
          <cell r="J175">
            <v>11211</v>
          </cell>
          <cell r="M175">
            <v>28436.959999999999</v>
          </cell>
          <cell r="N175">
            <v>34175</v>
          </cell>
          <cell r="O175">
            <v>5738.0400000000009</v>
          </cell>
          <cell r="P175">
            <v>4848.66</v>
          </cell>
          <cell r="R175">
            <v>187.85</v>
          </cell>
          <cell r="T175">
            <v>23400.45</v>
          </cell>
        </row>
        <row r="176">
          <cell r="A176" t="str">
            <v>13</v>
          </cell>
          <cell r="B176" t="str">
            <v>380</v>
          </cell>
          <cell r="C176">
            <v>36892</v>
          </cell>
          <cell r="E176" t="str">
            <v>DE-SVC CONTR</v>
          </cell>
          <cell r="F176" t="str">
            <v>1 1/4 INCH-DOV</v>
          </cell>
          <cell r="H176" t="str">
            <v>Services - Contractor</v>
          </cell>
          <cell r="J176">
            <v>1400</v>
          </cell>
          <cell r="M176">
            <v>11853.170000000002</v>
          </cell>
          <cell r="N176">
            <v>9744</v>
          </cell>
          <cell r="O176">
            <v>-2109.1700000000019</v>
          </cell>
          <cell r="P176">
            <v>702.84</v>
          </cell>
          <cell r="R176">
            <v>11150.330000000002</v>
          </cell>
        </row>
        <row r="177">
          <cell r="H177" t="str">
            <v>Subtotal Group 13</v>
          </cell>
          <cell r="M177">
            <v>40290.130000000005</v>
          </cell>
          <cell r="N177">
            <v>43919</v>
          </cell>
          <cell r="O177">
            <v>3628.869999999999</v>
          </cell>
        </row>
        <row r="179">
          <cell r="A179" t="str">
            <v>13S</v>
          </cell>
          <cell r="B179" t="str">
            <v>380</v>
          </cell>
          <cell r="G179" t="str">
            <v>Services - 1 1/4"</v>
          </cell>
        </row>
        <row r="182">
          <cell r="A182" t="str">
            <v>13S</v>
          </cell>
          <cell r="B182" t="str">
            <v>380</v>
          </cell>
          <cell r="G182" t="str">
            <v>Services - 1 1/4"</v>
          </cell>
        </row>
        <row r="183">
          <cell r="A183" t="str">
            <v>13S</v>
          </cell>
          <cell r="B183" t="str">
            <v>380</v>
          </cell>
          <cell r="C183">
            <v>36892</v>
          </cell>
          <cell r="E183" t="str">
            <v>DE-SVC</v>
          </cell>
          <cell r="F183" t="str">
            <v>1 1/4 INCH-SUS</v>
          </cell>
          <cell r="H183" t="str">
            <v>BLANKET</v>
          </cell>
          <cell r="M183">
            <v>0</v>
          </cell>
          <cell r="N183">
            <v>0</v>
          </cell>
          <cell r="O183">
            <v>0</v>
          </cell>
        </row>
        <row r="184">
          <cell r="A184" t="str">
            <v>13S</v>
          </cell>
          <cell r="B184" t="str">
            <v>380</v>
          </cell>
          <cell r="C184">
            <v>36892</v>
          </cell>
          <cell r="E184" t="str">
            <v>DE-SVC INTERNAL</v>
          </cell>
          <cell r="F184" t="str">
            <v>1 1/4 INCH-SUS</v>
          </cell>
          <cell r="H184" t="str">
            <v>Services Internal</v>
          </cell>
          <cell r="J184">
            <v>545</v>
          </cell>
          <cell r="M184">
            <v>5462.98</v>
          </cell>
          <cell r="N184">
            <v>5000</v>
          </cell>
          <cell r="O184">
            <v>-462.97999999999956</v>
          </cell>
          <cell r="P184">
            <v>595</v>
          </cell>
          <cell r="T184">
            <v>4867.9799999999996</v>
          </cell>
        </row>
        <row r="185">
          <cell r="A185" t="str">
            <v>13S</v>
          </cell>
          <cell r="B185" t="str">
            <v>380</v>
          </cell>
          <cell r="C185">
            <v>36892</v>
          </cell>
          <cell r="E185" t="str">
            <v>DE-SVC CONTR</v>
          </cell>
          <cell r="F185" t="str">
            <v>1 1/4 INCH-SUS</v>
          </cell>
          <cell r="H185" t="str">
            <v>Services Contractor</v>
          </cell>
          <cell r="M185">
            <v>0</v>
          </cell>
          <cell r="N185">
            <v>0</v>
          </cell>
          <cell r="O185">
            <v>0</v>
          </cell>
        </row>
        <row r="186">
          <cell r="H186" t="str">
            <v>Subtotal Group 13S</v>
          </cell>
          <cell r="M186">
            <v>5462.98</v>
          </cell>
          <cell r="N186">
            <v>5000</v>
          </cell>
          <cell r="O186">
            <v>-462.97999999999956</v>
          </cell>
        </row>
        <row r="188">
          <cell r="A188" t="str">
            <v>14</v>
          </cell>
          <cell r="B188" t="str">
            <v>380</v>
          </cell>
          <cell r="G188" t="str">
            <v>Services 2"</v>
          </cell>
        </row>
        <row r="189">
          <cell r="A189" t="str">
            <v>14</v>
          </cell>
          <cell r="B189" t="str">
            <v>380</v>
          </cell>
          <cell r="H189" t="str">
            <v>Milford Project</v>
          </cell>
          <cell r="M189">
            <v>0</v>
          </cell>
          <cell r="N189">
            <v>0</v>
          </cell>
          <cell r="O189">
            <v>0</v>
          </cell>
        </row>
        <row r="190">
          <cell r="A190" t="str">
            <v>14</v>
          </cell>
          <cell r="B190" t="str">
            <v>380</v>
          </cell>
          <cell r="H190" t="str">
            <v>BLANKET- working to determine actual project</v>
          </cell>
          <cell r="M190">
            <v>233.62</v>
          </cell>
          <cell r="N190">
            <v>0</v>
          </cell>
          <cell r="O190">
            <v>-233.62</v>
          </cell>
          <cell r="P190">
            <v>76.62</v>
          </cell>
          <cell r="R190">
            <v>157</v>
          </cell>
        </row>
        <row r="191">
          <cell r="A191">
            <v>14</v>
          </cell>
          <cell r="B191">
            <v>380</v>
          </cell>
          <cell r="C191">
            <v>37240</v>
          </cell>
          <cell r="E191" t="str">
            <v>DE-DEL STATE UNIV</v>
          </cell>
          <cell r="F191" t="str">
            <v>NEW 2 INCH SERV</v>
          </cell>
          <cell r="H191" t="str">
            <v>Install 210' of 2" pl to new Del State Admin/Student bldg @ Del State Univ on Rte 13 Dover</v>
          </cell>
          <cell r="I191">
            <v>60</v>
          </cell>
          <cell r="M191">
            <v>0</v>
          </cell>
          <cell r="N191">
            <v>3014</v>
          </cell>
          <cell r="O191">
            <v>3014</v>
          </cell>
        </row>
        <row r="192">
          <cell r="A192">
            <v>14</v>
          </cell>
          <cell r="B192">
            <v>380</v>
          </cell>
          <cell r="C192">
            <v>37213</v>
          </cell>
          <cell r="E192" t="str">
            <v>DE-LOWES</v>
          </cell>
          <cell r="F192" t="str">
            <v>NEW 2 INCH SERV</v>
          </cell>
          <cell r="H192" t="str">
            <v>ADD-Install 60' of 2" svc to Lowe's of Middletown</v>
          </cell>
          <cell r="I192">
            <v>60</v>
          </cell>
          <cell r="M192">
            <v>0</v>
          </cell>
          <cell r="N192">
            <v>636</v>
          </cell>
          <cell r="O192">
            <v>636</v>
          </cell>
        </row>
        <row r="193">
          <cell r="A193">
            <v>14</v>
          </cell>
          <cell r="B193">
            <v>380</v>
          </cell>
          <cell r="C193">
            <v>37237</v>
          </cell>
          <cell r="E193" t="str">
            <v>DE-MIDDLETOWN SCHOOL</v>
          </cell>
          <cell r="F193" t="str">
            <v>NEW 2 INCH SERV</v>
          </cell>
          <cell r="H193" t="str">
            <v>ADD-Install 725' of 2" svc to Middletown H.S. - for new addition school on Rte 299</v>
          </cell>
          <cell r="I193">
            <v>725</v>
          </cell>
          <cell r="J193">
            <v>750</v>
          </cell>
          <cell r="M193">
            <v>0</v>
          </cell>
          <cell r="N193">
            <v>7029</v>
          </cell>
          <cell r="O193">
            <v>7029</v>
          </cell>
        </row>
        <row r="194">
          <cell r="A194">
            <v>14</v>
          </cell>
          <cell r="B194">
            <v>380</v>
          </cell>
          <cell r="C194">
            <v>36777</v>
          </cell>
          <cell r="D194">
            <v>37134</v>
          </cell>
          <cell r="E194" t="str">
            <v>DE-MILFORD H.S.</v>
          </cell>
          <cell r="F194" t="str">
            <v>NEW 2 INCH SERVICE</v>
          </cell>
          <cell r="H194" t="str">
            <v>Install 2 inch pl svc to serve Milford HS</v>
          </cell>
          <cell r="J194">
            <v>1400</v>
          </cell>
          <cell r="M194">
            <v>8194.83</v>
          </cell>
          <cell r="N194">
            <v>0</v>
          </cell>
          <cell r="O194">
            <v>-8194.83</v>
          </cell>
          <cell r="P194">
            <v>1712.83</v>
          </cell>
          <cell r="R194">
            <v>6482</v>
          </cell>
        </row>
        <row r="195">
          <cell r="A195" t="str">
            <v>14</v>
          </cell>
          <cell r="B195" t="str">
            <v>380</v>
          </cell>
          <cell r="C195">
            <v>36776</v>
          </cell>
          <cell r="D195">
            <v>36891</v>
          </cell>
          <cell r="E195" t="str">
            <v>DE-MILFORD WAL-MART</v>
          </cell>
          <cell r="F195" t="str">
            <v>NEW 2 INCH SERV</v>
          </cell>
          <cell r="H195" t="str">
            <v>2000 MILFORD WAL-MART</v>
          </cell>
          <cell r="K195">
            <v>40</v>
          </cell>
          <cell r="M195">
            <v>251.02</v>
          </cell>
          <cell r="N195">
            <v>251</v>
          </cell>
          <cell r="O195">
            <v>-2.0000000000010232E-2</v>
          </cell>
          <cell r="P195">
            <v>251.02</v>
          </cell>
        </row>
        <row r="196">
          <cell r="A196" t="str">
            <v>14</v>
          </cell>
          <cell r="B196" t="str">
            <v>380</v>
          </cell>
          <cell r="C196">
            <v>37040</v>
          </cell>
          <cell r="D196">
            <v>37195</v>
          </cell>
          <cell r="E196" t="str">
            <v>DE-MOOSE LODGE</v>
          </cell>
          <cell r="F196" t="str">
            <v>NEW 2 INCH SERV</v>
          </cell>
          <cell r="H196" t="str">
            <v>Install 2 inch pl svc to the Camden-Wyoming Moose Lodge</v>
          </cell>
          <cell r="I196">
            <v>1000</v>
          </cell>
          <cell r="J196">
            <v>1000</v>
          </cell>
          <cell r="L196">
            <v>64</v>
          </cell>
          <cell r="M196">
            <v>5032.62</v>
          </cell>
          <cell r="N196">
            <v>7225</v>
          </cell>
          <cell r="O196">
            <v>2192.38</v>
          </cell>
          <cell r="P196">
            <v>353.61</v>
          </cell>
          <cell r="R196">
            <v>4679.01</v>
          </cell>
        </row>
        <row r="197">
          <cell r="A197" t="str">
            <v>14</v>
          </cell>
          <cell r="B197" t="str">
            <v>380</v>
          </cell>
          <cell r="C197">
            <v>37230</v>
          </cell>
          <cell r="E197" t="str">
            <v>DE-NEW SMYRNA M.S.</v>
          </cell>
          <cell r="F197" t="str">
            <v>NEW 2 INCH SERV</v>
          </cell>
          <cell r="H197" t="str">
            <v xml:space="preserve">ADD-Install1000' of 2" svc to New Smyrna Middle School on Duck Creek Pkwy </v>
          </cell>
          <cell r="I197">
            <v>1000</v>
          </cell>
          <cell r="L197">
            <v>54</v>
          </cell>
          <cell r="M197">
            <v>0</v>
          </cell>
          <cell r="N197">
            <v>7842</v>
          </cell>
          <cell r="O197">
            <v>7842</v>
          </cell>
        </row>
        <row r="198">
          <cell r="A198" t="str">
            <v>14</v>
          </cell>
          <cell r="B198" t="str">
            <v>380</v>
          </cell>
          <cell r="C198">
            <v>37161</v>
          </cell>
          <cell r="D198">
            <v>37225</v>
          </cell>
          <cell r="E198" t="str">
            <v>DE-ST ANN EPISCOPAL</v>
          </cell>
          <cell r="F198" t="str">
            <v>NEW 2 INCH SERV</v>
          </cell>
          <cell r="H198" t="str">
            <v>Install 2" from Silverlake to St. Ann's Episcopal School</v>
          </cell>
          <cell r="I198">
            <v>1720</v>
          </cell>
          <cell r="J198">
            <v>1720</v>
          </cell>
          <cell r="L198">
            <v>45</v>
          </cell>
          <cell r="M198">
            <v>7936.8099999999995</v>
          </cell>
          <cell r="N198">
            <v>10789</v>
          </cell>
          <cell r="O198">
            <v>2852.1900000000005</v>
          </cell>
          <cell r="P198">
            <v>726.81</v>
          </cell>
          <cell r="R198">
            <v>7210</v>
          </cell>
        </row>
        <row r="199">
          <cell r="A199" t="str">
            <v>14</v>
          </cell>
          <cell r="B199" t="str">
            <v>380</v>
          </cell>
          <cell r="C199">
            <v>36621</v>
          </cell>
          <cell r="D199">
            <v>36739</v>
          </cell>
          <cell r="E199" t="str">
            <v>DE-VIOLATION CTR</v>
          </cell>
          <cell r="F199" t="str">
            <v>NEW 2 INCH SERV</v>
          </cell>
          <cell r="H199" t="str">
            <v>2000 Violation Center</v>
          </cell>
          <cell r="J199">
            <v>800</v>
          </cell>
          <cell r="M199">
            <v>336.45</v>
          </cell>
          <cell r="N199">
            <v>336</v>
          </cell>
          <cell r="O199">
            <v>-0.44999999999998863</v>
          </cell>
          <cell r="P199">
            <v>336.45</v>
          </cell>
        </row>
        <row r="200">
          <cell r="H200" t="str">
            <v>Subtotal Group 14</v>
          </cell>
          <cell r="M200">
            <v>21985.350000000002</v>
          </cell>
          <cell r="N200">
            <v>37122</v>
          </cell>
          <cell r="O200">
            <v>15136.650000000001</v>
          </cell>
        </row>
        <row r="202">
          <cell r="A202" t="str">
            <v>14S</v>
          </cell>
          <cell r="B202" t="str">
            <v>380</v>
          </cell>
          <cell r="G202" t="str">
            <v>Services 2"</v>
          </cell>
        </row>
        <row r="204">
          <cell r="H204" t="str">
            <v>Subtotal Group 14S</v>
          </cell>
        </row>
        <row r="205">
          <cell r="A205" t="str">
            <v>15</v>
          </cell>
          <cell r="B205" t="str">
            <v>380</v>
          </cell>
          <cell r="G205" t="str">
            <v>Services Over 2"</v>
          </cell>
        </row>
        <row r="206">
          <cell r="A206" t="str">
            <v>15</v>
          </cell>
          <cell r="B206" t="str">
            <v>380</v>
          </cell>
          <cell r="H206" t="str">
            <v>Milford</v>
          </cell>
          <cell r="M206">
            <v>0</v>
          </cell>
          <cell r="N206">
            <v>708</v>
          </cell>
          <cell r="O206">
            <v>708</v>
          </cell>
        </row>
        <row r="207">
          <cell r="A207" t="str">
            <v>15</v>
          </cell>
          <cell r="B207" t="str">
            <v>380</v>
          </cell>
          <cell r="C207">
            <v>37161</v>
          </cell>
          <cell r="D207">
            <v>37225</v>
          </cell>
          <cell r="E207" t="str">
            <v>DE-SEA WATCH</v>
          </cell>
          <cell r="F207" t="str">
            <v>NEW 4 INCH SERV</v>
          </cell>
          <cell r="H207" t="str">
            <v xml:space="preserve">625' 4" Service to Sea Watch </v>
          </cell>
          <cell r="K207">
            <v>880</v>
          </cell>
          <cell r="M207">
            <v>8203.84</v>
          </cell>
          <cell r="N207">
            <v>11474</v>
          </cell>
          <cell r="O207">
            <v>3270.16</v>
          </cell>
          <cell r="P207">
            <v>1428.8400000000001</v>
          </cell>
          <cell r="R207">
            <v>6775</v>
          </cell>
        </row>
        <row r="208">
          <cell r="H208" t="str">
            <v>Subtotal Group 15</v>
          </cell>
          <cell r="M208">
            <v>8203.84</v>
          </cell>
          <cell r="N208">
            <v>12182</v>
          </cell>
          <cell r="O208">
            <v>3978.16</v>
          </cell>
        </row>
        <row r="210">
          <cell r="A210" t="str">
            <v>16</v>
          </cell>
          <cell r="B210" t="str">
            <v>381</v>
          </cell>
          <cell r="G210" t="str">
            <v>Meters 275 and Under</v>
          </cell>
        </row>
        <row r="211">
          <cell r="A211" t="str">
            <v>16</v>
          </cell>
          <cell r="B211" t="str">
            <v>381</v>
          </cell>
          <cell r="C211">
            <v>36892</v>
          </cell>
          <cell r="E211" t="str">
            <v>DE-MTR</v>
          </cell>
          <cell r="F211" t="str">
            <v>UNDER 275</v>
          </cell>
          <cell r="H211" t="str">
            <v>BLANKET - ADD- Purchase 400 Rockwell 275s</v>
          </cell>
          <cell r="M211">
            <v>86590.98000000001</v>
          </cell>
          <cell r="N211">
            <v>93000</v>
          </cell>
          <cell r="O211">
            <v>6409.0199999999895</v>
          </cell>
          <cell r="P211">
            <v>86590.98000000001</v>
          </cell>
        </row>
        <row r="212">
          <cell r="H212" t="str">
            <v>Subtotal Group 16</v>
          </cell>
          <cell r="M212">
            <v>86590.98000000001</v>
          </cell>
          <cell r="N212">
            <v>93000</v>
          </cell>
          <cell r="O212">
            <v>6409.0199999999895</v>
          </cell>
        </row>
        <row r="214">
          <cell r="A214" t="str">
            <v>16S</v>
          </cell>
          <cell r="B214" t="str">
            <v>381</v>
          </cell>
          <cell r="G214" t="str">
            <v>Meters 275 and Under</v>
          </cell>
        </row>
        <row r="215">
          <cell r="A215" t="str">
            <v>16S</v>
          </cell>
          <cell r="B215" t="str">
            <v>381</v>
          </cell>
          <cell r="C215">
            <v>37064</v>
          </cell>
          <cell r="D215">
            <v>37225</v>
          </cell>
          <cell r="E215" t="str">
            <v>DE-MTR</v>
          </cell>
          <cell r="F215" t="str">
            <v>UNDER 275 SUS</v>
          </cell>
          <cell r="H215" t="str">
            <v>Purchase (125) 275 Meters</v>
          </cell>
          <cell r="M215">
            <v>5254.37</v>
          </cell>
          <cell r="N215">
            <v>6250</v>
          </cell>
          <cell r="O215">
            <v>995.63000000000011</v>
          </cell>
          <cell r="P215">
            <v>5254.37</v>
          </cell>
        </row>
        <row r="216">
          <cell r="A216" t="str">
            <v>16S</v>
          </cell>
          <cell r="B216" t="str">
            <v>381</v>
          </cell>
          <cell r="E216" t="str">
            <v>DE-MTR</v>
          </cell>
          <cell r="H216" t="str">
            <v>BLANKET</v>
          </cell>
          <cell r="M216">
            <v>5245.89</v>
          </cell>
          <cell r="N216">
            <v>15000</v>
          </cell>
          <cell r="O216">
            <v>9754.11</v>
          </cell>
          <cell r="P216">
            <v>5245.89</v>
          </cell>
        </row>
        <row r="217">
          <cell r="H217" t="str">
            <v>Subtotal Group 16S</v>
          </cell>
          <cell r="M217">
            <v>10500.26</v>
          </cell>
          <cell r="N217">
            <v>21250</v>
          </cell>
          <cell r="O217">
            <v>10749.740000000002</v>
          </cell>
        </row>
        <row r="220">
          <cell r="A220" t="str">
            <v>17</v>
          </cell>
          <cell r="B220" t="str">
            <v>381</v>
          </cell>
          <cell r="G220" t="str">
            <v>Meters - Over 275</v>
          </cell>
        </row>
        <row r="221">
          <cell r="A221" t="str">
            <v>17</v>
          </cell>
          <cell r="B221" t="str">
            <v>381</v>
          </cell>
          <cell r="H221" t="str">
            <v>Milford Project</v>
          </cell>
          <cell r="M221">
            <v>0</v>
          </cell>
          <cell r="N221">
            <v>17950</v>
          </cell>
          <cell r="O221">
            <v>17950</v>
          </cell>
        </row>
        <row r="222">
          <cell r="A222">
            <v>17</v>
          </cell>
          <cell r="B222">
            <v>381</v>
          </cell>
          <cell r="C222">
            <v>37130</v>
          </cell>
          <cell r="D222">
            <v>37195</v>
          </cell>
          <cell r="E222" t="str">
            <v>DE-MTR</v>
          </cell>
          <cell r="F222" t="str">
            <v>ROTARY MTRS -DOV</v>
          </cell>
          <cell r="H222" t="str">
            <v>ADD - Purchase 13 Rotary Meters</v>
          </cell>
          <cell r="M222">
            <v>11900.619999999999</v>
          </cell>
          <cell r="N222">
            <v>18000</v>
          </cell>
          <cell r="O222">
            <v>6099.380000000001</v>
          </cell>
          <cell r="P222">
            <v>11900.619999999999</v>
          </cell>
        </row>
        <row r="223">
          <cell r="A223" t="str">
            <v>17</v>
          </cell>
          <cell r="B223" t="str">
            <v>381</v>
          </cell>
          <cell r="H223" t="str">
            <v>BLANKET</v>
          </cell>
          <cell r="M223">
            <v>55853.75</v>
          </cell>
          <cell r="N223">
            <v>33200</v>
          </cell>
          <cell r="O223">
            <v>-22653.75</v>
          </cell>
          <cell r="P223">
            <v>55853.75</v>
          </cell>
        </row>
        <row r="224">
          <cell r="H224" t="str">
            <v>Subtotal Group 17</v>
          </cell>
          <cell r="M224">
            <v>67754.37</v>
          </cell>
          <cell r="N224">
            <v>69150</v>
          </cell>
          <cell r="O224">
            <v>1395.630000000001</v>
          </cell>
        </row>
        <row r="226">
          <cell r="A226" t="str">
            <v>17S</v>
          </cell>
          <cell r="B226" t="str">
            <v>381</v>
          </cell>
          <cell r="G226" t="str">
            <v>Meters - Over 275</v>
          </cell>
        </row>
        <row r="227">
          <cell r="A227" t="str">
            <v>17S</v>
          </cell>
          <cell r="B227" t="str">
            <v>381</v>
          </cell>
          <cell r="C227">
            <v>37202</v>
          </cell>
          <cell r="E227" t="str">
            <v>DE-MTR</v>
          </cell>
          <cell r="F227" t="str">
            <v>425 MTRS-SUS</v>
          </cell>
          <cell r="H227" t="str">
            <v>Purchase 425 Meters (10)</v>
          </cell>
          <cell r="M227">
            <v>0</v>
          </cell>
          <cell r="N227">
            <v>2000</v>
          </cell>
          <cell r="O227">
            <v>2000</v>
          </cell>
        </row>
        <row r="228">
          <cell r="A228" t="str">
            <v>17S</v>
          </cell>
          <cell r="B228" t="str">
            <v>381</v>
          </cell>
          <cell r="C228">
            <v>37202</v>
          </cell>
          <cell r="E228" t="str">
            <v>DE-MTR</v>
          </cell>
          <cell r="F228" t="str">
            <v>750 MTRS-SUS</v>
          </cell>
          <cell r="H228" t="str">
            <v>Purchase 750 Meters (5)</v>
          </cell>
          <cell r="M228">
            <v>0</v>
          </cell>
          <cell r="N228">
            <v>2875</v>
          </cell>
          <cell r="O228">
            <v>2875</v>
          </cell>
        </row>
        <row r="229">
          <cell r="A229" t="str">
            <v>17S</v>
          </cell>
          <cell r="B229" t="str">
            <v>381</v>
          </cell>
          <cell r="C229">
            <v>36976</v>
          </cell>
          <cell r="D229">
            <v>37195</v>
          </cell>
          <cell r="E229" t="str">
            <v>DE-MTR</v>
          </cell>
          <cell r="F229" t="str">
            <v>ROTARY MTRS-SUS</v>
          </cell>
          <cell r="H229" t="str">
            <v>Purchase - (5) 15c Dresser Roots, (1) 5m Dresser Roots</v>
          </cell>
          <cell r="L229">
            <v>22</v>
          </cell>
          <cell r="M229">
            <v>5024</v>
          </cell>
          <cell r="N229">
            <v>5024</v>
          </cell>
          <cell r="O229">
            <v>0</v>
          </cell>
          <cell r="P229">
            <v>5024</v>
          </cell>
        </row>
        <row r="230">
          <cell r="A230" t="str">
            <v>17S</v>
          </cell>
          <cell r="B230" t="str">
            <v>381</v>
          </cell>
          <cell r="C230">
            <v>37202</v>
          </cell>
          <cell r="E230" t="str">
            <v>DE-MTR</v>
          </cell>
          <cell r="F230" t="str">
            <v>ROTARY MTRS-SUS</v>
          </cell>
          <cell r="H230" t="str">
            <v>Purchase - (1)15C,(1)3M,(1)5M,(1)7M</v>
          </cell>
          <cell r="M230">
            <v>0</v>
          </cell>
          <cell r="N230">
            <v>4476</v>
          </cell>
          <cell r="O230">
            <v>4476</v>
          </cell>
        </row>
        <row r="231">
          <cell r="A231" t="str">
            <v>17S</v>
          </cell>
          <cell r="B231" t="str">
            <v>381</v>
          </cell>
          <cell r="H231" t="str">
            <v>BLANKET (Rotary)</v>
          </cell>
          <cell r="M231">
            <v>0</v>
          </cell>
          <cell r="N231">
            <v>0</v>
          </cell>
          <cell r="O231">
            <v>0</v>
          </cell>
        </row>
        <row r="232">
          <cell r="H232" t="str">
            <v>Subtotal Group 17S</v>
          </cell>
          <cell r="M232">
            <v>5024</v>
          </cell>
          <cell r="N232">
            <v>14375</v>
          </cell>
          <cell r="O232">
            <v>9351</v>
          </cell>
        </row>
        <row r="234">
          <cell r="A234" t="str">
            <v>18</v>
          </cell>
          <cell r="B234" t="str">
            <v>381</v>
          </cell>
          <cell r="G234" t="str">
            <v>Other Meter Devices</v>
          </cell>
        </row>
        <row r="235">
          <cell r="A235" t="str">
            <v>18</v>
          </cell>
          <cell r="B235" t="str">
            <v>381</v>
          </cell>
          <cell r="H235" t="str">
            <v>Milford Project</v>
          </cell>
          <cell r="M235">
            <v>0</v>
          </cell>
          <cell r="N235">
            <v>26000</v>
          </cell>
          <cell r="O235">
            <v>26000</v>
          </cell>
        </row>
        <row r="236">
          <cell r="A236" t="str">
            <v>18</v>
          </cell>
          <cell r="B236" t="str">
            <v>381</v>
          </cell>
          <cell r="H236" t="str">
            <v>Purchase Itron Interrogation software</v>
          </cell>
          <cell r="M236">
            <v>0</v>
          </cell>
          <cell r="N236">
            <v>0</v>
          </cell>
          <cell r="O236">
            <v>0</v>
          </cell>
        </row>
        <row r="237">
          <cell r="A237" t="str">
            <v>18</v>
          </cell>
          <cell r="B237" t="str">
            <v>381</v>
          </cell>
          <cell r="H237" t="str">
            <v>Install low pressure alarm system(cell phones and paging system)</v>
          </cell>
          <cell r="M237">
            <v>0</v>
          </cell>
          <cell r="N237">
            <v>18100</v>
          </cell>
          <cell r="O237">
            <v>18100</v>
          </cell>
        </row>
        <row r="238">
          <cell r="A238" t="str">
            <v>18</v>
          </cell>
          <cell r="B238" t="str">
            <v>381</v>
          </cell>
          <cell r="C238">
            <v>37033</v>
          </cell>
          <cell r="D238">
            <v>37225</v>
          </cell>
          <cell r="E238" t="str">
            <v>DE-OTH MTR DEV</v>
          </cell>
          <cell r="F238" t="str">
            <v>ERTS</v>
          </cell>
          <cell r="H238" t="str">
            <v>Purchase 120 ERT'S</v>
          </cell>
          <cell r="M238">
            <v>4063.56</v>
          </cell>
          <cell r="N238">
            <v>6960</v>
          </cell>
          <cell r="O238">
            <v>2896.44</v>
          </cell>
          <cell r="P238">
            <v>483.07</v>
          </cell>
          <cell r="Q238">
            <v>84.11</v>
          </cell>
          <cell r="R238">
            <v>3496.38</v>
          </cell>
        </row>
        <row r="239">
          <cell r="A239" t="str">
            <v>18</v>
          </cell>
          <cell r="B239" t="str">
            <v>381</v>
          </cell>
          <cell r="C239">
            <v>36994</v>
          </cell>
          <cell r="D239">
            <v>37164</v>
          </cell>
          <cell r="E239" t="str">
            <v>DE-OTH MTR DEV</v>
          </cell>
          <cell r="F239" t="str">
            <v>MINI AT</v>
          </cell>
          <cell r="H239" t="str">
            <v>Purchase (5) Mercury Mini AT'S-(Needed for new mtr ins and replacements</v>
          </cell>
          <cell r="M239">
            <v>7723.65</v>
          </cell>
          <cell r="N239">
            <v>8720</v>
          </cell>
          <cell r="O239">
            <v>996.35000000000036</v>
          </cell>
          <cell r="P239">
            <v>7723.65</v>
          </cell>
        </row>
        <row r="240">
          <cell r="A240" t="str">
            <v>18</v>
          </cell>
          <cell r="B240" t="str">
            <v>381</v>
          </cell>
          <cell r="C240">
            <v>36994</v>
          </cell>
          <cell r="D240">
            <v>37164</v>
          </cell>
          <cell r="E240" t="str">
            <v>DE-OTH MTR DEV</v>
          </cell>
          <cell r="F240" t="str">
            <v>MINI MAX</v>
          </cell>
          <cell r="H240" t="str">
            <v>Purchase (5) Mercury Mini Max-(Needed for new mtr ins and replacements</v>
          </cell>
          <cell r="M240">
            <v>4528.0200000000004</v>
          </cell>
          <cell r="N240">
            <v>5370</v>
          </cell>
          <cell r="O240">
            <v>841.97999999999956</v>
          </cell>
          <cell r="P240">
            <v>4528.0200000000004</v>
          </cell>
        </row>
        <row r="241">
          <cell r="A241" t="str">
            <v>18</v>
          </cell>
          <cell r="B241" t="str">
            <v>381</v>
          </cell>
          <cell r="H241" t="str">
            <v>BLANKET</v>
          </cell>
          <cell r="M241">
            <v>0</v>
          </cell>
          <cell r="N241">
            <v>400</v>
          </cell>
          <cell r="O241">
            <v>400</v>
          </cell>
        </row>
        <row r="242">
          <cell r="H242" t="str">
            <v>Subtotal Group 18</v>
          </cell>
          <cell r="M242">
            <v>16315.23</v>
          </cell>
          <cell r="N242">
            <v>65550</v>
          </cell>
          <cell r="O242">
            <v>49234.770000000004</v>
          </cell>
        </row>
        <row r="244">
          <cell r="A244" t="str">
            <v>18S</v>
          </cell>
          <cell r="B244" t="str">
            <v>381</v>
          </cell>
          <cell r="G244" t="str">
            <v>Other Meter Devices</v>
          </cell>
        </row>
        <row r="245">
          <cell r="A245" t="str">
            <v>18S</v>
          </cell>
          <cell r="B245" t="str">
            <v>381</v>
          </cell>
          <cell r="C245">
            <v>37202</v>
          </cell>
          <cell r="E245" t="str">
            <v>DE-OTH MTR DEV</v>
          </cell>
          <cell r="F245" t="str">
            <v>MERC ER-SUS</v>
          </cell>
          <cell r="H245" t="str">
            <v>Purchase Mercury ER's (3)</v>
          </cell>
          <cell r="M245">
            <v>0</v>
          </cell>
          <cell r="N245">
            <v>5601</v>
          </cell>
          <cell r="O245">
            <v>5601</v>
          </cell>
        </row>
        <row r="246">
          <cell r="A246" t="str">
            <v>18S</v>
          </cell>
          <cell r="B246" t="str">
            <v>381</v>
          </cell>
          <cell r="C246">
            <v>37202</v>
          </cell>
          <cell r="E246" t="str">
            <v>DE-OTH MTR DEV</v>
          </cell>
          <cell r="F246" t="str">
            <v>MINI AT-SUS</v>
          </cell>
          <cell r="H246" t="str">
            <v>Purchase Mercury Mini-AT's (2)</v>
          </cell>
          <cell r="M246">
            <v>0</v>
          </cell>
          <cell r="N246">
            <v>3120</v>
          </cell>
          <cell r="O246">
            <v>3120</v>
          </cell>
        </row>
        <row r="247">
          <cell r="A247" t="str">
            <v>18S</v>
          </cell>
          <cell r="B247" t="str">
            <v>381</v>
          </cell>
          <cell r="C247">
            <v>37202</v>
          </cell>
          <cell r="E247" t="str">
            <v>DE-OTH MTR DEV</v>
          </cell>
          <cell r="F247" t="str">
            <v>MINI MAX-SUS</v>
          </cell>
          <cell r="H247" t="str">
            <v>Purchase Mercury Mini-Max (3)</v>
          </cell>
          <cell r="M247">
            <v>0</v>
          </cell>
          <cell r="N247">
            <v>3000</v>
          </cell>
          <cell r="O247">
            <v>3000</v>
          </cell>
        </row>
        <row r="248">
          <cell r="A248" t="str">
            <v>18S</v>
          </cell>
          <cell r="B248" t="str">
            <v>381</v>
          </cell>
          <cell r="H248" t="str">
            <v>Install Modem Telephone service (3)</v>
          </cell>
          <cell r="M248">
            <v>0</v>
          </cell>
          <cell r="N248">
            <v>0</v>
          </cell>
          <cell r="O248">
            <v>0</v>
          </cell>
        </row>
        <row r="249">
          <cell r="H249" t="str">
            <v>Subtotal Group 18S</v>
          </cell>
          <cell r="M249">
            <v>0</v>
          </cell>
          <cell r="N249">
            <v>11721</v>
          </cell>
          <cell r="O249">
            <v>11721</v>
          </cell>
        </row>
        <row r="251">
          <cell r="A251" t="str">
            <v>19</v>
          </cell>
          <cell r="B251" t="str">
            <v>382</v>
          </cell>
          <cell r="G251" t="str">
            <v>Meter Installations</v>
          </cell>
        </row>
        <row r="252">
          <cell r="A252" t="str">
            <v>19</v>
          </cell>
          <cell r="B252" t="str">
            <v>382</v>
          </cell>
          <cell r="C252">
            <v>36892</v>
          </cell>
          <cell r="E252" t="str">
            <v>DE-MTR INS</v>
          </cell>
          <cell r="F252" t="str">
            <v>MTR INS-DOV</v>
          </cell>
          <cell r="H252" t="str">
            <v>BLANKET-Meter Installs</v>
          </cell>
          <cell r="M252">
            <v>125668.52</v>
          </cell>
          <cell r="N252">
            <v>147880</v>
          </cell>
          <cell r="O252">
            <v>22211.479999999996</v>
          </cell>
          <cell r="P252">
            <v>14027.130000000001</v>
          </cell>
          <cell r="Q252">
            <v>38469.210000000006</v>
          </cell>
          <cell r="R252">
            <v>-2984.03</v>
          </cell>
          <cell r="T252">
            <v>76156.209999999992</v>
          </cell>
        </row>
        <row r="253">
          <cell r="H253" t="str">
            <v>Subtotal Group 19</v>
          </cell>
          <cell r="M253">
            <v>125668.52</v>
          </cell>
          <cell r="N253">
            <v>147880</v>
          </cell>
          <cell r="O253">
            <v>22211.479999999996</v>
          </cell>
        </row>
        <row r="255">
          <cell r="A255" t="str">
            <v>19S</v>
          </cell>
          <cell r="B255" t="str">
            <v>382</v>
          </cell>
          <cell r="G255" t="str">
            <v>Meter Installations</v>
          </cell>
        </row>
        <row r="256">
          <cell r="A256" t="str">
            <v>19S</v>
          </cell>
          <cell r="B256" t="str">
            <v>382</v>
          </cell>
          <cell r="C256">
            <v>36892</v>
          </cell>
          <cell r="E256" t="str">
            <v>DE-MTR INS</v>
          </cell>
          <cell r="F256" t="str">
            <v>MTR INS SUS</v>
          </cell>
          <cell r="H256" t="str">
            <v>BLANKET-Meter Installs</v>
          </cell>
          <cell r="M256">
            <v>49051.25</v>
          </cell>
          <cell r="N256">
            <v>42000</v>
          </cell>
          <cell r="O256">
            <v>-7051.25</v>
          </cell>
          <cell r="P256">
            <v>3127.87</v>
          </cell>
          <cell r="Q256">
            <v>3166.5</v>
          </cell>
          <cell r="R256">
            <v>1478.75</v>
          </cell>
          <cell r="T256">
            <v>41278.129999999997</v>
          </cell>
        </row>
        <row r="257">
          <cell r="H257" t="str">
            <v>Subtotal Group 19S</v>
          </cell>
          <cell r="M257">
            <v>49051.25</v>
          </cell>
          <cell r="N257">
            <v>42000</v>
          </cell>
          <cell r="O257">
            <v>-7051.25</v>
          </cell>
        </row>
        <row r="259">
          <cell r="A259" t="str">
            <v>20</v>
          </cell>
          <cell r="B259" t="str">
            <v>383</v>
          </cell>
          <cell r="G259" t="str">
            <v>Regulators - 1" &amp; Smaller</v>
          </cell>
        </row>
        <row r="260">
          <cell r="A260" t="str">
            <v>20</v>
          </cell>
          <cell r="B260" t="str">
            <v>383</v>
          </cell>
          <cell r="E260" t="str">
            <v>DE-REG</v>
          </cell>
          <cell r="F260" t="str">
            <v>UNDER 1 INCH</v>
          </cell>
          <cell r="H260" t="str">
            <v>Natural Gas Regulators (1200)</v>
          </cell>
          <cell r="M260">
            <v>14786.85</v>
          </cell>
          <cell r="N260">
            <v>18000</v>
          </cell>
          <cell r="O260">
            <v>3213.1499999999996</v>
          </cell>
          <cell r="P260">
            <v>14786.85</v>
          </cell>
        </row>
        <row r="261">
          <cell r="H261" t="str">
            <v>Subtotal Group 20</v>
          </cell>
          <cell r="M261">
            <v>14786.85</v>
          </cell>
          <cell r="N261">
            <v>18000</v>
          </cell>
          <cell r="O261">
            <v>3213.1499999999996</v>
          </cell>
        </row>
        <row r="263">
          <cell r="A263" t="str">
            <v>20S</v>
          </cell>
          <cell r="B263" t="str">
            <v>383</v>
          </cell>
          <cell r="G263" t="str">
            <v>Regulators - 1" &amp; Smaller</v>
          </cell>
        </row>
        <row r="264">
          <cell r="A264" t="str">
            <v>20S</v>
          </cell>
          <cell r="B264" t="str">
            <v>383</v>
          </cell>
          <cell r="E264" t="str">
            <v>DE-REG</v>
          </cell>
          <cell r="F264" t="str">
            <v>FISHER S402-SUS</v>
          </cell>
          <cell r="H264" t="str">
            <v>Purchase 402 Regulators (150)</v>
          </cell>
          <cell r="M264">
            <v>0</v>
          </cell>
          <cell r="N264">
            <v>5250</v>
          </cell>
          <cell r="O264">
            <v>5250</v>
          </cell>
        </row>
        <row r="265">
          <cell r="A265" t="str">
            <v>20S</v>
          </cell>
          <cell r="B265" t="str">
            <v>383</v>
          </cell>
          <cell r="H265" t="str">
            <v>BLANKET</v>
          </cell>
          <cell r="M265">
            <v>0</v>
          </cell>
          <cell r="N265">
            <v>400</v>
          </cell>
          <cell r="O265">
            <v>400</v>
          </cell>
        </row>
        <row r="266">
          <cell r="H266" t="str">
            <v>Subtotal Group 20S</v>
          </cell>
          <cell r="M266">
            <v>0</v>
          </cell>
          <cell r="N266">
            <v>5650</v>
          </cell>
          <cell r="O266">
            <v>5650</v>
          </cell>
        </row>
        <row r="268">
          <cell r="A268" t="str">
            <v>21</v>
          </cell>
          <cell r="B268" t="str">
            <v>383</v>
          </cell>
          <cell r="G268" t="str">
            <v>Regulators - Over 1"</v>
          </cell>
        </row>
        <row r="269">
          <cell r="A269" t="str">
            <v>21</v>
          </cell>
          <cell r="B269" t="str">
            <v>383</v>
          </cell>
          <cell r="H269" t="str">
            <v xml:space="preserve">Milford Project </v>
          </cell>
          <cell r="M269">
            <v>0</v>
          </cell>
          <cell r="N269">
            <v>2750</v>
          </cell>
          <cell r="O269">
            <v>2750</v>
          </cell>
        </row>
        <row r="270">
          <cell r="A270" t="str">
            <v>21</v>
          </cell>
          <cell r="B270" t="str">
            <v>383</v>
          </cell>
          <cell r="H270" t="str">
            <v>BLANKET</v>
          </cell>
          <cell r="M270">
            <v>3614.25</v>
          </cell>
          <cell r="N270">
            <v>27500</v>
          </cell>
          <cell r="O270">
            <v>23885.75</v>
          </cell>
          <cell r="P270">
            <v>3614.25</v>
          </cell>
        </row>
        <row r="271">
          <cell r="A271" t="str">
            <v>21</v>
          </cell>
          <cell r="B271" t="str">
            <v>383</v>
          </cell>
          <cell r="C271">
            <v>37226</v>
          </cell>
          <cell r="E271" t="str">
            <v>DE-REG</v>
          </cell>
          <cell r="F271" t="str">
            <v>MOONEYS</v>
          </cell>
          <cell r="H271" t="str">
            <v>Purchase (2) Mooney Regulators - Over 1" - Milford Project</v>
          </cell>
          <cell r="M271">
            <v>0</v>
          </cell>
          <cell r="N271">
            <v>3450</v>
          </cell>
          <cell r="O271">
            <v>3450</v>
          </cell>
        </row>
        <row r="272">
          <cell r="H272" t="str">
            <v>Subtotal Group 21</v>
          </cell>
          <cell r="M272">
            <v>3614.25</v>
          </cell>
          <cell r="N272">
            <v>33700</v>
          </cell>
          <cell r="O272">
            <v>30085.75</v>
          </cell>
        </row>
        <row r="274">
          <cell r="A274" t="str">
            <v>21S</v>
          </cell>
          <cell r="B274" t="str">
            <v>383</v>
          </cell>
          <cell r="G274" t="str">
            <v>Regulators - Over 1"</v>
          </cell>
        </row>
        <row r="275">
          <cell r="A275" t="str">
            <v>21S</v>
          </cell>
          <cell r="B275" t="str">
            <v>383</v>
          </cell>
          <cell r="C275">
            <v>36892</v>
          </cell>
          <cell r="E275" t="str">
            <v>DE-REG</v>
          </cell>
          <cell r="F275" t="str">
            <v>AMER 1813C SUS</v>
          </cell>
          <cell r="H275" t="str">
            <v>Purchase 1813C Regulators (25)</v>
          </cell>
          <cell r="M275">
            <v>38.47</v>
          </cell>
          <cell r="N275">
            <v>1000</v>
          </cell>
          <cell r="O275">
            <v>961.53</v>
          </cell>
          <cell r="P275">
            <v>38.47</v>
          </cell>
        </row>
        <row r="276">
          <cell r="A276" t="str">
            <v>21S</v>
          </cell>
          <cell r="B276" t="str">
            <v>383</v>
          </cell>
          <cell r="H276" t="str">
            <v>BLANKET</v>
          </cell>
          <cell r="M276">
            <v>0</v>
          </cell>
          <cell r="N276">
            <v>3800</v>
          </cell>
          <cell r="O276">
            <v>3800</v>
          </cell>
        </row>
        <row r="277">
          <cell r="H277" t="str">
            <v>Subtotal Group 21S</v>
          </cell>
          <cell r="M277">
            <v>38.47</v>
          </cell>
          <cell r="N277">
            <v>4800</v>
          </cell>
          <cell r="O277">
            <v>4761.53</v>
          </cell>
        </row>
        <row r="279">
          <cell r="A279" t="str">
            <v>22</v>
          </cell>
          <cell r="B279" t="str">
            <v>385</v>
          </cell>
          <cell r="G279" t="str">
            <v>M &amp; R Stations - Industrial</v>
          </cell>
        </row>
        <row r="280">
          <cell r="A280" t="str">
            <v>22</v>
          </cell>
          <cell r="B280" t="str">
            <v>385</v>
          </cell>
          <cell r="H280" t="str">
            <v>BLANKET</v>
          </cell>
          <cell r="M280">
            <v>0</v>
          </cell>
          <cell r="N280">
            <v>1031</v>
          </cell>
          <cell r="O280">
            <v>1031</v>
          </cell>
        </row>
        <row r="281">
          <cell r="A281" t="str">
            <v>22</v>
          </cell>
          <cell r="B281" t="str">
            <v>385</v>
          </cell>
          <cell r="H281" t="str">
            <v>Carryover-Schiff Grain</v>
          </cell>
          <cell r="M281">
            <v>0</v>
          </cell>
          <cell r="N281">
            <v>0</v>
          </cell>
          <cell r="O281">
            <v>0</v>
          </cell>
        </row>
        <row r="282">
          <cell r="A282" t="str">
            <v>22</v>
          </cell>
          <cell r="B282" t="str">
            <v>385</v>
          </cell>
          <cell r="H282" t="str">
            <v>Milford Project</v>
          </cell>
          <cell r="M282">
            <v>0</v>
          </cell>
          <cell r="N282">
            <v>0</v>
          </cell>
          <cell r="O282">
            <v>0</v>
          </cell>
        </row>
        <row r="283">
          <cell r="A283">
            <v>22</v>
          </cell>
          <cell r="B283">
            <v>385</v>
          </cell>
          <cell r="C283">
            <v>37202</v>
          </cell>
          <cell r="D283">
            <v>37225</v>
          </cell>
          <cell r="E283" t="str">
            <v>DE-ACME</v>
          </cell>
          <cell r="F283" t="str">
            <v>MR IND</v>
          </cell>
          <cell r="H283" t="str">
            <v>Install Meter Set @ ACME Market in Smyrna</v>
          </cell>
          <cell r="L283">
            <v>54</v>
          </cell>
          <cell r="M283">
            <v>1497.26</v>
          </cell>
          <cell r="N283">
            <v>1925</v>
          </cell>
          <cell r="O283">
            <v>427.74</v>
          </cell>
          <cell r="P283">
            <v>122.26</v>
          </cell>
          <cell r="R283">
            <v>1375</v>
          </cell>
        </row>
        <row r="284">
          <cell r="A284">
            <v>22</v>
          </cell>
          <cell r="B284">
            <v>385</v>
          </cell>
          <cell r="C284">
            <v>37202</v>
          </cell>
          <cell r="D284">
            <v>37225</v>
          </cell>
          <cell r="E284" t="str">
            <v>DE-DELDOT DASH</v>
          </cell>
          <cell r="F284" t="str">
            <v>MR IND</v>
          </cell>
          <cell r="H284" t="str">
            <v xml:space="preserve">Install Meter Set @ DELDOT DASH facilities </v>
          </cell>
          <cell r="L284">
            <v>60</v>
          </cell>
          <cell r="M284">
            <v>975</v>
          </cell>
          <cell r="N284">
            <v>1200</v>
          </cell>
          <cell r="O284">
            <v>225</v>
          </cell>
          <cell r="R284">
            <v>975</v>
          </cell>
        </row>
        <row r="285">
          <cell r="A285">
            <v>22</v>
          </cell>
          <cell r="B285">
            <v>385</v>
          </cell>
          <cell r="C285">
            <v>37202</v>
          </cell>
          <cell r="D285">
            <v>37225</v>
          </cell>
          <cell r="E285" t="str">
            <v>DE-DELDOT LAB</v>
          </cell>
          <cell r="F285" t="str">
            <v>MR IND</v>
          </cell>
          <cell r="H285" t="str">
            <v>Install Meter Set @ DELDOT Materials Lab</v>
          </cell>
          <cell r="L285">
            <v>60</v>
          </cell>
          <cell r="M285">
            <v>1282.75</v>
          </cell>
          <cell r="N285">
            <v>1835</v>
          </cell>
          <cell r="O285">
            <v>552.25</v>
          </cell>
          <cell r="R285">
            <v>1282.75</v>
          </cell>
        </row>
        <row r="286">
          <cell r="A286">
            <v>22</v>
          </cell>
          <cell r="B286">
            <v>385</v>
          </cell>
          <cell r="C286">
            <v>36678</v>
          </cell>
          <cell r="D286">
            <v>36769</v>
          </cell>
          <cell r="E286" t="str">
            <v>DE-HOLY CROSS SCHOOL</v>
          </cell>
          <cell r="F286" t="str">
            <v>MR IND</v>
          </cell>
          <cell r="H286" t="str">
            <v>2000 Holy Cross School</v>
          </cell>
          <cell r="L286">
            <v>60</v>
          </cell>
          <cell r="M286">
            <v>135.59</v>
          </cell>
          <cell r="N286">
            <v>136</v>
          </cell>
          <cell r="O286">
            <v>0.40999999999999659</v>
          </cell>
          <cell r="P286">
            <v>135.59</v>
          </cell>
        </row>
        <row r="287">
          <cell r="A287">
            <v>22</v>
          </cell>
          <cell r="B287">
            <v>385</v>
          </cell>
          <cell r="C287">
            <v>37202</v>
          </cell>
          <cell r="D287">
            <v>37198</v>
          </cell>
          <cell r="E287" t="str">
            <v>DE-KFC</v>
          </cell>
          <cell r="F287" t="str">
            <v>MR IND</v>
          </cell>
          <cell r="H287" t="str">
            <v>Install Meter Set @ KFC and A&amp;W, Dover</v>
          </cell>
          <cell r="L287">
            <v>60</v>
          </cell>
          <cell r="M287">
            <v>1100.1100000000001</v>
          </cell>
          <cell r="N287">
            <v>1165</v>
          </cell>
          <cell r="O287">
            <v>64.889999999999873</v>
          </cell>
          <cell r="P287">
            <v>158.11000000000001</v>
          </cell>
          <cell r="R287">
            <v>942</v>
          </cell>
        </row>
        <row r="288">
          <cell r="A288" t="str">
            <v>22</v>
          </cell>
          <cell r="B288" t="str">
            <v>385</v>
          </cell>
          <cell r="C288">
            <v>37202</v>
          </cell>
          <cell r="E288" t="str">
            <v>DE-LAKE FOREST ELEM</v>
          </cell>
          <cell r="F288" t="str">
            <v>MR IND</v>
          </cell>
          <cell r="H288" t="str">
            <v>Install Meter Set @ Lake Forest Central Elem School</v>
          </cell>
          <cell r="L288">
            <v>69</v>
          </cell>
          <cell r="M288">
            <v>0</v>
          </cell>
          <cell r="N288">
            <v>1565</v>
          </cell>
          <cell r="O288">
            <v>1565</v>
          </cell>
        </row>
        <row r="289">
          <cell r="A289" t="str">
            <v>22</v>
          </cell>
          <cell r="B289" t="str">
            <v>385</v>
          </cell>
          <cell r="C289">
            <v>37237</v>
          </cell>
          <cell r="E289" t="str">
            <v>DE-LOWES</v>
          </cell>
          <cell r="F289" t="str">
            <v>MR IND</v>
          </cell>
          <cell r="H289" t="str">
            <v>ADD-Install Meter Set @ Lowes in the Middletown Commons</v>
          </cell>
          <cell r="L289">
            <v>45</v>
          </cell>
          <cell r="M289">
            <v>0</v>
          </cell>
          <cell r="N289">
            <v>1750</v>
          </cell>
          <cell r="O289">
            <v>1750</v>
          </cell>
        </row>
        <row r="290">
          <cell r="A290" t="str">
            <v>22</v>
          </cell>
          <cell r="B290" t="str">
            <v>385</v>
          </cell>
          <cell r="C290">
            <v>37236</v>
          </cell>
          <cell r="E290" t="str">
            <v>DE-MIDDLETOWN H.S.</v>
          </cell>
          <cell r="F290" t="str">
            <v>MR IND</v>
          </cell>
          <cell r="H290" t="str">
            <v>Install Meter Set @ Middletown H.S.</v>
          </cell>
          <cell r="L290">
            <v>45</v>
          </cell>
          <cell r="M290">
            <v>0</v>
          </cell>
          <cell r="N290">
            <v>1800</v>
          </cell>
          <cell r="O290">
            <v>1800</v>
          </cell>
        </row>
        <row r="291">
          <cell r="A291" t="str">
            <v>22</v>
          </cell>
          <cell r="B291" t="str">
            <v>385</v>
          </cell>
          <cell r="C291">
            <v>37202</v>
          </cell>
          <cell r="D291">
            <v>37225</v>
          </cell>
          <cell r="E291" t="str">
            <v>DE-MIDDLETOWN SCHOOL</v>
          </cell>
          <cell r="F291" t="str">
            <v>MR IND</v>
          </cell>
          <cell r="H291" t="str">
            <v>Install Meter Set @ Middletown Middle School Gym</v>
          </cell>
          <cell r="L291">
            <v>45</v>
          </cell>
          <cell r="M291">
            <v>1236.8899999999999</v>
          </cell>
          <cell r="N291">
            <v>1248</v>
          </cell>
          <cell r="O291">
            <v>11.110000000000127</v>
          </cell>
          <cell r="P291">
            <v>229.39</v>
          </cell>
          <cell r="R291">
            <v>1007.5</v>
          </cell>
        </row>
        <row r="292">
          <cell r="A292" t="str">
            <v>22</v>
          </cell>
          <cell r="B292" t="str">
            <v>385</v>
          </cell>
          <cell r="C292">
            <v>37202</v>
          </cell>
          <cell r="E292" t="str">
            <v>DE-MILFORD H.S.</v>
          </cell>
          <cell r="F292" t="str">
            <v>MR IND</v>
          </cell>
          <cell r="H292" t="str">
            <v>Install Meter Set @ Milford HS</v>
          </cell>
          <cell r="L292">
            <v>75</v>
          </cell>
          <cell r="M292">
            <v>1038.25</v>
          </cell>
          <cell r="N292">
            <v>2785</v>
          </cell>
          <cell r="O292">
            <v>1746.75</v>
          </cell>
          <cell r="R292">
            <v>1038.25</v>
          </cell>
        </row>
        <row r="293">
          <cell r="A293" t="str">
            <v>22</v>
          </cell>
          <cell r="B293" t="str">
            <v>385</v>
          </cell>
          <cell r="C293">
            <v>37202</v>
          </cell>
          <cell r="D293">
            <v>37225</v>
          </cell>
          <cell r="E293" t="str">
            <v>DE-MOOSE LODGE</v>
          </cell>
          <cell r="F293" t="str">
            <v>MR IND</v>
          </cell>
          <cell r="H293" t="str">
            <v>Install Meter Set @ Moose Lodge in Dover</v>
          </cell>
          <cell r="L293">
            <v>64</v>
          </cell>
          <cell r="M293">
            <v>235.5</v>
          </cell>
          <cell r="N293">
            <v>725</v>
          </cell>
          <cell r="O293">
            <v>489.5</v>
          </cell>
          <cell r="R293">
            <v>235.5</v>
          </cell>
        </row>
        <row r="294">
          <cell r="A294" t="str">
            <v>22</v>
          </cell>
          <cell r="B294" t="str">
            <v>385</v>
          </cell>
          <cell r="C294">
            <v>37202</v>
          </cell>
          <cell r="D294">
            <v>37225</v>
          </cell>
          <cell r="E294" t="str">
            <v>DE-SAFEWAY MAIN</v>
          </cell>
          <cell r="F294" t="str">
            <v>MR IND</v>
          </cell>
          <cell r="H294" t="str">
            <v>Install Meter Set @ Safeway in Dover</v>
          </cell>
          <cell r="L294">
            <v>60</v>
          </cell>
          <cell r="M294">
            <v>1102</v>
          </cell>
          <cell r="N294">
            <v>1327</v>
          </cell>
          <cell r="O294">
            <v>225</v>
          </cell>
          <cell r="R294">
            <v>1102</v>
          </cell>
        </row>
        <row r="295">
          <cell r="A295">
            <v>22</v>
          </cell>
          <cell r="B295">
            <v>385</v>
          </cell>
          <cell r="C295">
            <v>37214</v>
          </cell>
          <cell r="E295" t="str">
            <v>DE-SEA WATCH</v>
          </cell>
          <cell r="F295" t="str">
            <v>MR IND</v>
          </cell>
          <cell r="H295" t="str">
            <v>Install Meter Set @ Sea Watch</v>
          </cell>
          <cell r="M295">
            <v>0</v>
          </cell>
          <cell r="N295">
            <v>6040</v>
          </cell>
          <cell r="O295">
            <v>6040</v>
          </cell>
        </row>
        <row r="296">
          <cell r="A296">
            <v>22</v>
          </cell>
          <cell r="B296">
            <v>385</v>
          </cell>
          <cell r="C296">
            <v>36678</v>
          </cell>
          <cell r="D296">
            <v>36891</v>
          </cell>
          <cell r="E296" t="str">
            <v>DE-VIOLATION CTR</v>
          </cell>
          <cell r="F296" t="str">
            <v>MR IND</v>
          </cell>
          <cell r="H296" t="str">
            <v>2000 Violation Center-Smyrna</v>
          </cell>
          <cell r="M296">
            <v>328.62</v>
          </cell>
          <cell r="N296">
            <v>329</v>
          </cell>
          <cell r="O296">
            <v>0.37999999999999545</v>
          </cell>
          <cell r="P296">
            <v>328.62</v>
          </cell>
        </row>
        <row r="297">
          <cell r="H297" t="str">
            <v>Subtotal Group 22</v>
          </cell>
          <cell r="M297">
            <v>8931.9700000000012</v>
          </cell>
          <cell r="N297">
            <v>24861</v>
          </cell>
          <cell r="O297">
            <v>15929.029999999999</v>
          </cell>
        </row>
        <row r="299">
          <cell r="A299" t="str">
            <v>22S</v>
          </cell>
          <cell r="B299">
            <v>385</v>
          </cell>
          <cell r="G299" t="str">
            <v>M &amp; R Stations - Industrial</v>
          </cell>
        </row>
        <row r="300">
          <cell r="A300" t="str">
            <v>22S</v>
          </cell>
          <cell r="B300">
            <v>385</v>
          </cell>
          <cell r="H300" t="str">
            <v>BLANKET</v>
          </cell>
          <cell r="M300">
            <v>0</v>
          </cell>
          <cell r="N300">
            <v>8650</v>
          </cell>
          <cell r="O300">
            <v>8650</v>
          </cell>
        </row>
        <row r="301">
          <cell r="H301" t="str">
            <v>Subtotal Group 22S</v>
          </cell>
          <cell r="M301">
            <v>0</v>
          </cell>
          <cell r="N301">
            <v>8650</v>
          </cell>
          <cell r="O301">
            <v>8650</v>
          </cell>
        </row>
        <row r="303">
          <cell r="A303" t="str">
            <v>23</v>
          </cell>
          <cell r="B303" t="str">
            <v>387</v>
          </cell>
          <cell r="G303" t="str">
            <v>Other Equipment</v>
          </cell>
        </row>
        <row r="304">
          <cell r="A304" t="str">
            <v>23</v>
          </cell>
          <cell r="B304" t="str">
            <v>387</v>
          </cell>
          <cell r="C304">
            <v>36990</v>
          </cell>
          <cell r="D304">
            <v>37026</v>
          </cell>
          <cell r="E304" t="str">
            <v>DE-OTH EQUIP</v>
          </cell>
          <cell r="F304" t="str">
            <v>CGI</v>
          </cell>
          <cell r="H304" t="str">
            <v>Purchase 2 CGI'S for Construction</v>
          </cell>
          <cell r="M304">
            <v>3073.86</v>
          </cell>
          <cell r="N304">
            <v>3000</v>
          </cell>
          <cell r="O304">
            <v>-73.860000000000127</v>
          </cell>
          <cell r="P304">
            <v>3073.86</v>
          </cell>
        </row>
        <row r="305">
          <cell r="A305" t="str">
            <v>23</v>
          </cell>
          <cell r="B305" t="str">
            <v>387</v>
          </cell>
          <cell r="C305">
            <v>36949</v>
          </cell>
          <cell r="D305">
            <v>37000</v>
          </cell>
          <cell r="E305" t="str">
            <v>DE-OTH EQUIP</v>
          </cell>
          <cell r="F305" t="str">
            <v>PIPE LOCATOR TRK 5</v>
          </cell>
          <cell r="H305" t="str">
            <v>Purchase Pipe locator for New Construction Truck #5 (Model 500 Pipe Horn)</v>
          </cell>
          <cell r="L305">
            <v>61</v>
          </cell>
          <cell r="M305">
            <v>1009.5</v>
          </cell>
          <cell r="N305">
            <v>1000</v>
          </cell>
          <cell r="O305">
            <v>-9.5</v>
          </cell>
          <cell r="P305">
            <v>1009.5</v>
          </cell>
        </row>
        <row r="306">
          <cell r="A306" t="str">
            <v>23</v>
          </cell>
          <cell r="B306" t="str">
            <v>387</v>
          </cell>
          <cell r="C306">
            <v>37033</v>
          </cell>
          <cell r="E306" t="str">
            <v>DE-OTH EQUIP</v>
          </cell>
          <cell r="F306" t="str">
            <v>HOT TAP MACH</v>
          </cell>
          <cell r="H306" t="str">
            <v>1 McElroy Hot Tapping Machine for putting branch saddles on Pl pipe, Trk #5</v>
          </cell>
          <cell r="L306">
            <v>60</v>
          </cell>
          <cell r="M306">
            <v>0</v>
          </cell>
          <cell r="N306">
            <v>2000</v>
          </cell>
          <cell r="O306">
            <v>2000</v>
          </cell>
        </row>
        <row r="307">
          <cell r="A307" t="str">
            <v>23</v>
          </cell>
          <cell r="B307" t="str">
            <v>387</v>
          </cell>
          <cell r="H307" t="str">
            <v>BLANKET</v>
          </cell>
          <cell r="M307">
            <v>0</v>
          </cell>
          <cell r="N307">
            <v>0</v>
          </cell>
          <cell r="O307">
            <v>0</v>
          </cell>
        </row>
        <row r="308">
          <cell r="H308" t="str">
            <v>Subtotal Group 23</v>
          </cell>
          <cell r="M308">
            <v>4083.36</v>
          </cell>
          <cell r="N308">
            <v>6000</v>
          </cell>
          <cell r="O308">
            <v>1916.6399999999999</v>
          </cell>
        </row>
        <row r="311">
          <cell r="A311" t="str">
            <v>23S</v>
          </cell>
          <cell r="B311" t="str">
            <v>387</v>
          </cell>
          <cell r="G311" t="str">
            <v>Other Equipment</v>
          </cell>
        </row>
        <row r="314">
          <cell r="A314" t="str">
            <v>30</v>
          </cell>
          <cell r="B314" t="str">
            <v>390</v>
          </cell>
          <cell r="G314" t="str">
            <v>Structures and Improvements</v>
          </cell>
        </row>
        <row r="315">
          <cell r="A315" t="str">
            <v>30</v>
          </cell>
          <cell r="B315" t="str">
            <v>390</v>
          </cell>
          <cell r="H315" t="str">
            <v>Maintenance / Building repair -QS</v>
          </cell>
          <cell r="M315">
            <v>0</v>
          </cell>
          <cell r="N315">
            <v>10000</v>
          </cell>
          <cell r="O315">
            <v>10000</v>
          </cell>
        </row>
        <row r="316">
          <cell r="H316" t="str">
            <v>Subtotal Group 30</v>
          </cell>
          <cell r="M316">
            <v>0</v>
          </cell>
          <cell r="N316">
            <v>10000</v>
          </cell>
          <cell r="O316">
            <v>10000</v>
          </cell>
        </row>
        <row r="318">
          <cell r="A318" t="str">
            <v>24</v>
          </cell>
          <cell r="B318" t="str">
            <v>391</v>
          </cell>
          <cell r="G318" t="str">
            <v>Office Equipment</v>
          </cell>
        </row>
        <row r="319">
          <cell r="A319" t="str">
            <v>24</v>
          </cell>
          <cell r="B319" t="str">
            <v>391</v>
          </cell>
          <cell r="H319" t="str">
            <v>Update system flow model  Middletown/Odessa and Harrington</v>
          </cell>
          <cell r="M319">
            <v>0</v>
          </cell>
          <cell r="N319">
            <v>20000</v>
          </cell>
          <cell r="O319">
            <v>20000</v>
          </cell>
        </row>
        <row r="321">
          <cell r="H321" t="str">
            <v>Subtotal Group 24</v>
          </cell>
          <cell r="M321">
            <v>0</v>
          </cell>
          <cell r="N321">
            <v>20000</v>
          </cell>
          <cell r="O321">
            <v>20000</v>
          </cell>
        </row>
        <row r="323">
          <cell r="A323" t="str">
            <v>24S</v>
          </cell>
          <cell r="B323" t="str">
            <v>391</v>
          </cell>
          <cell r="G323" t="str">
            <v>Office Equipment</v>
          </cell>
        </row>
        <row r="325">
          <cell r="A325" t="str">
            <v>25</v>
          </cell>
          <cell r="B325" t="str">
            <v>392</v>
          </cell>
          <cell r="G325" t="str">
            <v>Transportation Equipment</v>
          </cell>
        </row>
        <row r="326">
          <cell r="A326" t="str">
            <v>25</v>
          </cell>
          <cell r="B326" t="str">
            <v>392</v>
          </cell>
          <cell r="H326" t="str">
            <v>Boom Truck Chassis -Cab</v>
          </cell>
          <cell r="M326">
            <v>0</v>
          </cell>
          <cell r="N326">
            <v>0</v>
          </cell>
          <cell r="O326">
            <v>0</v>
          </cell>
        </row>
        <row r="327">
          <cell r="A327" t="str">
            <v>25</v>
          </cell>
          <cell r="B327" t="str">
            <v>392</v>
          </cell>
          <cell r="C327">
            <v>37207</v>
          </cell>
          <cell r="D327">
            <v>37225</v>
          </cell>
          <cell r="E327" t="str">
            <v>DE-TRANS</v>
          </cell>
          <cell r="F327" t="str">
            <v>TR-0105</v>
          </cell>
          <cell r="H327" t="str">
            <v>Emergency Trailer</v>
          </cell>
          <cell r="L327">
            <v>60</v>
          </cell>
          <cell r="M327">
            <v>4509.57</v>
          </cell>
          <cell r="N327">
            <v>3500</v>
          </cell>
          <cell r="O327">
            <v>-1009.5699999999997</v>
          </cell>
          <cell r="P327">
            <v>4509.57</v>
          </cell>
        </row>
        <row r="328">
          <cell r="A328" t="str">
            <v>25</v>
          </cell>
          <cell r="B328" t="str">
            <v>392</v>
          </cell>
          <cell r="C328">
            <v>36892</v>
          </cell>
          <cell r="D328">
            <v>37225</v>
          </cell>
          <cell r="E328" t="str">
            <v>DE-TRANS</v>
          </cell>
          <cell r="F328" t="str">
            <v>OT-0103</v>
          </cell>
          <cell r="H328" t="str">
            <v>Replace Unit 43</v>
          </cell>
          <cell r="L328">
            <v>60</v>
          </cell>
          <cell r="M328">
            <v>22667.55</v>
          </cell>
          <cell r="N328">
            <v>23500</v>
          </cell>
          <cell r="O328">
            <v>832.45000000000073</v>
          </cell>
          <cell r="P328">
            <v>22667.55</v>
          </cell>
        </row>
        <row r="329">
          <cell r="A329" t="str">
            <v>25</v>
          </cell>
          <cell r="B329" t="str">
            <v>392</v>
          </cell>
          <cell r="C329">
            <v>36935</v>
          </cell>
          <cell r="D329">
            <v>37195</v>
          </cell>
          <cell r="E329" t="str">
            <v>DE-TRANS</v>
          </cell>
          <cell r="F329" t="str">
            <v>OT-0104</v>
          </cell>
          <cell r="H329" t="str">
            <v>Replace Unit 58</v>
          </cell>
          <cell r="L329">
            <v>60</v>
          </cell>
          <cell r="M329">
            <v>17599</v>
          </cell>
          <cell r="N329">
            <v>17000</v>
          </cell>
          <cell r="O329">
            <v>-599</v>
          </cell>
          <cell r="Q329">
            <v>17599</v>
          </cell>
        </row>
        <row r="330">
          <cell r="H330" t="str">
            <v>Subtotal Group 25</v>
          </cell>
          <cell r="M330">
            <v>44776.119999999995</v>
          </cell>
          <cell r="N330">
            <v>44000</v>
          </cell>
          <cell r="O330">
            <v>-776.11999999999898</v>
          </cell>
        </row>
        <row r="332">
          <cell r="A332" t="str">
            <v>26</v>
          </cell>
          <cell r="B332" t="str">
            <v>394</v>
          </cell>
          <cell r="G332" t="str">
            <v>Tools, Shop and Garage Equip</v>
          </cell>
        </row>
        <row r="333">
          <cell r="A333" t="str">
            <v>26</v>
          </cell>
          <cell r="B333" t="str">
            <v>394</v>
          </cell>
          <cell r="C333">
            <v>36949</v>
          </cell>
          <cell r="D333">
            <v>37035</v>
          </cell>
          <cell r="E333" t="str">
            <v xml:space="preserve">DE-TOOLS </v>
          </cell>
          <cell r="F333" t="str">
            <v>FORK EXPANDER</v>
          </cell>
          <cell r="H333" t="str">
            <v>Purchase of Fork Expanders for Forklift truck</v>
          </cell>
          <cell r="L333">
            <v>60</v>
          </cell>
          <cell r="M333">
            <v>1400</v>
          </cell>
          <cell r="N333">
            <v>1400</v>
          </cell>
          <cell r="O333">
            <v>0</v>
          </cell>
          <cell r="P333">
            <v>1400</v>
          </cell>
        </row>
        <row r="334">
          <cell r="A334" t="str">
            <v>26</v>
          </cell>
          <cell r="B334" t="str">
            <v>394</v>
          </cell>
          <cell r="C334">
            <v>37033</v>
          </cell>
          <cell r="D334">
            <v>37225</v>
          </cell>
          <cell r="E334" t="str">
            <v xml:space="preserve">DE-TOOLS </v>
          </cell>
          <cell r="F334" t="str">
            <v>TOOLS TRUCK 5</v>
          </cell>
          <cell r="H334" t="str">
            <v>Purchase tools for new construction truck (Truck #5)</v>
          </cell>
          <cell r="L334">
            <v>60</v>
          </cell>
          <cell r="M334">
            <v>4934.6499999999996</v>
          </cell>
          <cell r="N334">
            <v>5182</v>
          </cell>
          <cell r="O334">
            <v>247.35000000000036</v>
          </cell>
          <cell r="P334">
            <v>4934.6499999999996</v>
          </cell>
        </row>
        <row r="335">
          <cell r="A335" t="str">
            <v>26</v>
          </cell>
          <cell r="B335" t="str">
            <v>394</v>
          </cell>
          <cell r="C335">
            <v>37033</v>
          </cell>
          <cell r="E335" t="str">
            <v xml:space="preserve">DE-TOOLS </v>
          </cell>
          <cell r="F335" t="str">
            <v>ROTARY HAMMER</v>
          </cell>
          <cell r="H335" t="str">
            <v>Purchase 1 hammer drill and drill bit, Truck #5</v>
          </cell>
          <cell r="L335">
            <v>60</v>
          </cell>
          <cell r="M335">
            <v>0</v>
          </cell>
          <cell r="N335">
            <v>670</v>
          </cell>
          <cell r="O335">
            <v>670</v>
          </cell>
        </row>
        <row r="336">
          <cell r="A336" t="str">
            <v>26</v>
          </cell>
          <cell r="B336" t="str">
            <v>394</v>
          </cell>
          <cell r="H336" t="str">
            <v>BLANKET</v>
          </cell>
          <cell r="M336">
            <v>0</v>
          </cell>
          <cell r="N336">
            <v>448</v>
          </cell>
          <cell r="O336">
            <v>448</v>
          </cell>
        </row>
        <row r="337">
          <cell r="H337" t="str">
            <v>Subtotal Group 26</v>
          </cell>
          <cell r="M337">
            <v>6334.65</v>
          </cell>
          <cell r="N337">
            <v>7700</v>
          </cell>
          <cell r="O337">
            <v>1365.3500000000004</v>
          </cell>
        </row>
        <row r="339">
          <cell r="A339" t="str">
            <v>26S</v>
          </cell>
          <cell r="B339" t="str">
            <v>394</v>
          </cell>
          <cell r="G339" t="str">
            <v>Tools, Shop and Garage Equip</v>
          </cell>
        </row>
        <row r="340">
          <cell r="A340" t="str">
            <v>26S</v>
          </cell>
          <cell r="B340" t="str">
            <v>394</v>
          </cell>
          <cell r="C340">
            <v>37144</v>
          </cell>
          <cell r="D340">
            <v>37164</v>
          </cell>
          <cell r="E340" t="str">
            <v>DE-TOOLS</v>
          </cell>
          <cell r="F340" t="str">
            <v>ELECTROFUSION-SUS</v>
          </cell>
          <cell r="H340" t="str">
            <v>Purchase Electrofusion Equip</v>
          </cell>
          <cell r="M340">
            <v>3462.5</v>
          </cell>
          <cell r="N340">
            <v>4000</v>
          </cell>
          <cell r="O340">
            <v>537.5</v>
          </cell>
          <cell r="P340">
            <v>3462.5</v>
          </cell>
        </row>
        <row r="341">
          <cell r="A341" t="str">
            <v>26S</v>
          </cell>
          <cell r="B341" t="str">
            <v>394</v>
          </cell>
          <cell r="C341">
            <v>37202</v>
          </cell>
          <cell r="E341" t="str">
            <v>DE-TOOLS</v>
          </cell>
          <cell r="F341" t="str">
            <v>TRAFFIC SIGNS-SUS</v>
          </cell>
          <cell r="H341" t="str">
            <v>Purchase Road Signs</v>
          </cell>
          <cell r="M341">
            <v>0</v>
          </cell>
          <cell r="N341">
            <v>2000</v>
          </cell>
          <cell r="O341">
            <v>2000</v>
          </cell>
        </row>
        <row r="342">
          <cell r="A342" t="str">
            <v>26S</v>
          </cell>
          <cell r="B342" t="str">
            <v>394</v>
          </cell>
          <cell r="H342" t="str">
            <v>Purchase Air Tool</v>
          </cell>
          <cell r="M342">
            <v>0</v>
          </cell>
          <cell r="N342">
            <v>0</v>
          </cell>
          <cell r="O342">
            <v>0</v>
          </cell>
        </row>
        <row r="343">
          <cell r="A343" t="str">
            <v>26S</v>
          </cell>
          <cell r="B343" t="str">
            <v>394</v>
          </cell>
          <cell r="H343" t="str">
            <v>BLANKET</v>
          </cell>
          <cell r="M343">
            <v>0</v>
          </cell>
          <cell r="N343">
            <v>0</v>
          </cell>
          <cell r="O343">
            <v>0</v>
          </cell>
        </row>
        <row r="344">
          <cell r="H344" t="str">
            <v>Subtotal Group 26S</v>
          </cell>
          <cell r="M344">
            <v>3462.5</v>
          </cell>
          <cell r="N344">
            <v>6000</v>
          </cell>
          <cell r="O344">
            <v>2537.5</v>
          </cell>
        </row>
        <row r="346">
          <cell r="A346" t="str">
            <v>27</v>
          </cell>
          <cell r="B346" t="str">
            <v>396</v>
          </cell>
          <cell r="G346" t="str">
            <v>Power Operated Equipment</v>
          </cell>
        </row>
        <row r="347">
          <cell r="A347" t="str">
            <v>27</v>
          </cell>
          <cell r="B347" t="str">
            <v>396</v>
          </cell>
          <cell r="C347">
            <v>36935</v>
          </cell>
          <cell r="D347">
            <v>37035</v>
          </cell>
          <cell r="E347" t="str">
            <v>DE-POWER OP EQUIP</v>
          </cell>
          <cell r="F347" t="str">
            <v>FORKLIFT</v>
          </cell>
          <cell r="H347" t="str">
            <v>Purchase Forklift</v>
          </cell>
          <cell r="L347">
            <v>60</v>
          </cell>
          <cell r="M347">
            <v>10000</v>
          </cell>
          <cell r="N347">
            <v>9500</v>
          </cell>
          <cell r="O347">
            <v>-500</v>
          </cell>
          <cell r="P347">
            <v>10000</v>
          </cell>
        </row>
        <row r="348">
          <cell r="A348" t="str">
            <v>27</v>
          </cell>
          <cell r="B348" t="str">
            <v>396</v>
          </cell>
          <cell r="C348">
            <v>37119</v>
          </cell>
          <cell r="D348">
            <v>37164</v>
          </cell>
          <cell r="E348" t="str">
            <v>DE-POWER OP EQUIP</v>
          </cell>
          <cell r="F348" t="str">
            <v>GAS TAMP</v>
          </cell>
          <cell r="H348" t="str">
            <v>Purchase Gasolinge Tamp</v>
          </cell>
          <cell r="L348">
            <v>60</v>
          </cell>
          <cell r="M348">
            <v>2350</v>
          </cell>
          <cell r="N348">
            <v>2600</v>
          </cell>
          <cell r="O348">
            <v>250</v>
          </cell>
          <cell r="R348">
            <v>2350</v>
          </cell>
        </row>
        <row r="349">
          <cell r="A349" t="str">
            <v>27</v>
          </cell>
          <cell r="B349" t="str">
            <v>396</v>
          </cell>
          <cell r="C349">
            <v>36949</v>
          </cell>
          <cell r="D349">
            <v>36966</v>
          </cell>
          <cell r="E349" t="str">
            <v xml:space="preserve">DE-POWER OP EQUIP </v>
          </cell>
          <cell r="F349" t="str">
            <v>GENERATOR</v>
          </cell>
          <cell r="H349" t="str">
            <v>Purchase Generator</v>
          </cell>
          <cell r="L349">
            <v>60</v>
          </cell>
          <cell r="M349">
            <v>1999</v>
          </cell>
          <cell r="N349">
            <v>2500</v>
          </cell>
          <cell r="O349">
            <v>501</v>
          </cell>
          <cell r="P349">
            <v>1999</v>
          </cell>
        </row>
        <row r="350">
          <cell r="A350" t="str">
            <v>27</v>
          </cell>
          <cell r="B350" t="str">
            <v>396</v>
          </cell>
          <cell r="C350">
            <v>37165</v>
          </cell>
          <cell r="D350">
            <v>37225</v>
          </cell>
          <cell r="E350" t="str">
            <v xml:space="preserve">DE-POWER OP EQUIP </v>
          </cell>
          <cell r="F350" t="str">
            <v>GENERATOR 01</v>
          </cell>
          <cell r="H350" t="str">
            <v>ADD - Purchase Generator</v>
          </cell>
          <cell r="L350">
            <v>60</v>
          </cell>
          <cell r="M350">
            <v>1995</v>
          </cell>
          <cell r="N350">
            <v>2000</v>
          </cell>
          <cell r="O350">
            <v>5</v>
          </cell>
          <cell r="R350">
            <v>1995</v>
          </cell>
        </row>
        <row r="351">
          <cell r="H351" t="str">
            <v>Subtotal Group 27</v>
          </cell>
          <cell r="M351">
            <v>16344</v>
          </cell>
          <cell r="N351">
            <v>16600</v>
          </cell>
          <cell r="O351">
            <v>256</v>
          </cell>
        </row>
        <row r="352">
          <cell r="B352" t="str">
            <v xml:space="preserve"> </v>
          </cell>
        </row>
        <row r="353">
          <cell r="A353" t="str">
            <v>28</v>
          </cell>
          <cell r="B353" t="str">
            <v>397</v>
          </cell>
          <cell r="G353" t="str">
            <v>Communication Equipment</v>
          </cell>
        </row>
        <row r="356">
          <cell r="A356" t="str">
            <v>28S</v>
          </cell>
          <cell r="B356" t="str">
            <v>397</v>
          </cell>
          <cell r="G356" t="str">
            <v>Communication Equipment</v>
          </cell>
        </row>
        <row r="360">
          <cell r="A360" t="str">
            <v>29</v>
          </cell>
          <cell r="B360" t="str">
            <v>398</v>
          </cell>
          <cell r="G360" t="str">
            <v>Miscellaneous Equipment</v>
          </cell>
        </row>
        <row r="361">
          <cell r="H361" t="str">
            <v>Subtotal Group 29</v>
          </cell>
          <cell r="N361">
            <v>0</v>
          </cell>
        </row>
        <row r="363">
          <cell r="B363">
            <v>108</v>
          </cell>
          <cell r="G363" t="str">
            <v>Cost of Removal</v>
          </cell>
          <cell r="M363">
            <v>11514.64</v>
          </cell>
          <cell r="O363">
            <v>-11514.64</v>
          </cell>
          <cell r="P363">
            <v>540.24</v>
          </cell>
          <cell r="R363">
            <v>3785.23</v>
          </cell>
          <cell r="S363">
            <v>10344.17</v>
          </cell>
          <cell r="T363">
            <v>-3155</v>
          </cell>
        </row>
        <row r="364">
          <cell r="H364" t="str">
            <v>Blanket</v>
          </cell>
          <cell r="M364">
            <v>0</v>
          </cell>
          <cell r="N364">
            <v>20000</v>
          </cell>
          <cell r="O364">
            <v>20000</v>
          </cell>
        </row>
        <row r="365">
          <cell r="H365" t="str">
            <v>Subtotal</v>
          </cell>
          <cell r="M365">
            <v>11514.64</v>
          </cell>
          <cell r="N365">
            <v>20000</v>
          </cell>
          <cell r="O365">
            <v>8485.36</v>
          </cell>
        </row>
        <row r="367">
          <cell r="H367" t="str">
            <v>OVERHEAD</v>
          </cell>
          <cell r="M367">
            <v>170707.45</v>
          </cell>
          <cell r="N367">
            <v>-24256</v>
          </cell>
          <cell r="O367">
            <v>-194963.45</v>
          </cell>
        </row>
        <row r="368">
          <cell r="H368" t="str">
            <v>PRELIMINARY WORK</v>
          </cell>
          <cell r="M368">
            <v>8683.6</v>
          </cell>
          <cell r="O368">
            <v>-8683.6</v>
          </cell>
          <cell r="R368">
            <v>4448.2800000000007</v>
          </cell>
          <cell r="S368">
            <v>4235.32</v>
          </cell>
        </row>
        <row r="369">
          <cell r="H369" t="str">
            <v>TOTAL</v>
          </cell>
          <cell r="M369">
            <v>2197549.87</v>
          </cell>
          <cell r="N369">
            <v>2862667.9299999997</v>
          </cell>
          <cell r="O369">
            <v>665118.05999999947</v>
          </cell>
        </row>
        <row r="371">
          <cell r="M371">
            <v>0</v>
          </cell>
          <cell r="O371">
            <v>665118.05999999959</v>
          </cell>
        </row>
        <row r="372">
          <cell r="L372" t="str">
            <v>Begin</v>
          </cell>
          <cell r="M372">
            <v>1744465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pivotCache/_rels/pivotCacheDefinition1.xml.rels>&#65279;<?xml version="1.0" encoding="UTF-8" standalone="yes"?>
<Relationships xmlns="http://schemas.openxmlformats.org/package/2006/relationships">
  <Relationship Id="rId1" Type="http://schemas.openxmlformats.org/officeDocument/2006/relationships/pivotCacheRecords" Target="pivotCacheRecords1.xml" />
</Relationships>
</file>

<file path=xl/pivotCache/pivotCacheDefinition1.xml><?xml version="1.0" encoding="utf-8"?>
<pivotCacheDefinition xmlns="http://schemas.openxmlformats.org/spreadsheetml/2006/main" xmlns:r="http://schemas.openxmlformats.org/officeDocument/2006/relationships" r:id="rId1" refreshedBy="Welch, Kathy" refreshedDate="43735.359936689812" createdVersion="5" refreshedVersion="5" minRefreshableVersion="3" recordCount="165">
  <cacheSource type="worksheet">
    <worksheetSource ref="A1:H166" sheet="Date Customer Activated"/>
  </cacheSource>
  <cacheFields count="8">
    <cacheField name="Premise Number" numFmtId="0">
      <sharedItems containsSemiMixedTypes="0" containsString="0" containsNumber="1" containsInteger="1" minValue="5629" maxValue="180221"/>
    </cacheField>
    <cacheField name="Premise Status Code" numFmtId="0">
      <sharedItems containsBlank="1"/>
    </cacheField>
    <cacheField name="Type/Class" numFmtId="0">
      <sharedItems containsBlank="1" count="6">
        <s v="RS"/>
        <s v="CS"/>
        <s v="C"/>
        <s v="CL"/>
        <m u="1"/>
        <s v="PA" u="1"/>
      </sharedItems>
    </cacheField>
    <cacheField name="Premise Service Address" numFmtId="0">
      <sharedItems containsBlank="1"/>
    </cacheField>
    <cacheField name="ECIS Reason?" numFmtId="0">
      <sharedItems containsBlank="1"/>
    </cacheField>
    <cacheField name="Still Inactive?" numFmtId="0">
      <sharedItems/>
    </cacheField>
    <cacheField name="Active As Of" numFmtId="0">
      <sharedItems containsDate="1" containsMixedTypes="1" minDate="2019-01-03T00:00:00" maxDate="2019-08-17T00:00:00"/>
    </cacheField>
    <cacheField name="Month" numFmtId="0">
      <sharedItems containsBlank="1" count="9">
        <s v="January"/>
        <s v="February"/>
        <s v="August"/>
        <s v="March"/>
        <s v="April"/>
        <s v="July"/>
        <s v="May"/>
        <s v="June"/>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5">
  <r>
    <n v="56881"/>
    <s v="SO"/>
    <x v="0"/>
    <s v="2430 HAROLD DR  "/>
    <s v="Storm"/>
    <s v="N"/>
    <d v="2019-01-03T00:00:00"/>
    <x v="0"/>
  </r>
  <r>
    <n v="73711"/>
    <s v="SO"/>
    <x v="0"/>
    <s v="2496 FIRST AV  "/>
    <s v="Storm"/>
    <s v="N"/>
    <d v="2019-01-03T00:00:00"/>
    <x v="0"/>
  </r>
  <r>
    <n v="78759"/>
    <s v="SO"/>
    <x v="0"/>
    <s v="25742 N MAIN ST  "/>
    <s v="Storm"/>
    <s v="N"/>
    <d v="2019-01-03T00:00:00"/>
    <x v="0"/>
  </r>
  <r>
    <n v="52700"/>
    <s v="SO"/>
    <x v="0"/>
    <s v="4235 OLD COTTONDALE RD  "/>
    <s v="Storm"/>
    <s v="N"/>
    <d v="2019-01-04T00:00:00"/>
    <x v="0"/>
  </r>
  <r>
    <n v="137241"/>
    <s v="SO"/>
    <x v="0"/>
    <s v="2783 BRIGHTWELL AVE #76  "/>
    <s v="Storm"/>
    <s v="N"/>
    <d v="2019-01-07T00:00:00"/>
    <x v="0"/>
  </r>
  <r>
    <n v="133050"/>
    <s v="SO"/>
    <x v="1"/>
    <s v="2200 HIGHWAY 73  "/>
    <s v="Storm"/>
    <s v="N"/>
    <d v="2019-01-10T00:00:00"/>
    <x v="0"/>
  </r>
  <r>
    <n v="56952"/>
    <s v="SO"/>
    <x v="0"/>
    <s v="4488 RIVERBEND RD  "/>
    <s v="Storm"/>
    <s v="N"/>
    <d v="2019-01-16T00:00:00"/>
    <x v="0"/>
  </r>
  <r>
    <n v="56830"/>
    <s v="SO"/>
    <x v="0"/>
    <s v="2465 FILLMORE DR  "/>
    <s v="Storm"/>
    <s v="N"/>
    <d v="2019-01-23T00:00:00"/>
    <x v="0"/>
  </r>
  <r>
    <n v="56851"/>
    <s v="SO"/>
    <x v="0"/>
    <s v="2333 FILLMORE DR  "/>
    <s v="Storm"/>
    <s v="N"/>
    <d v="2019-01-28T00:00:00"/>
    <x v="0"/>
  </r>
  <r>
    <n v="86986"/>
    <s v="SO"/>
    <x v="0"/>
    <s v="5234 10TH AVE  "/>
    <s v="Storm"/>
    <s v="N"/>
    <d v="2019-01-29T00:00:00"/>
    <x v="0"/>
  </r>
  <r>
    <n v="6052"/>
    <s v="IA"/>
    <x v="0"/>
    <s v="2966 DOGWOOD ST  "/>
    <s v="Storm"/>
    <s v="N"/>
    <d v="2019-02-04T00:00:00"/>
    <x v="1"/>
  </r>
  <r>
    <n v="70082"/>
    <m/>
    <x v="2"/>
    <m/>
    <m/>
    <s v="N"/>
    <d v="2019-08-02T00:00:00"/>
    <x v="2"/>
  </r>
  <r>
    <n v="89984"/>
    <s v="SO"/>
    <x v="0"/>
    <s v="16539 N W JOHN F BAILEY RD  "/>
    <s v="Storm"/>
    <s v="N"/>
    <d v="2019-02-11T00:00:00"/>
    <x v="1"/>
  </r>
  <r>
    <n v="25875"/>
    <s v="SO"/>
    <x v="0"/>
    <s v="2842 SAINT JOHN ST  "/>
    <s v="Storm"/>
    <s v="N"/>
    <d v="2019-02-13T00:00:00"/>
    <x v="1"/>
  </r>
  <r>
    <n v="56615"/>
    <s v="SO"/>
    <x v="0"/>
    <s v="4568 PANDORA RD  "/>
    <s v="Storm"/>
    <s v="N"/>
    <d v="2019-02-14T00:00:00"/>
    <x v="1"/>
  </r>
  <r>
    <n v="70045"/>
    <s v="SO"/>
    <x v="0"/>
    <s v="3184 WILLOW ST  "/>
    <s v="Storm"/>
    <s v="N"/>
    <d v="2019-02-15T00:00:00"/>
    <x v="1"/>
  </r>
  <r>
    <n v="73856"/>
    <s v="SO"/>
    <x v="0"/>
    <s v="2688 DOCK RD  "/>
    <s v="Storm"/>
    <s v="N"/>
    <d v="2019-02-15T00:00:00"/>
    <x v="1"/>
  </r>
  <r>
    <n v="93317"/>
    <s v="SO"/>
    <x v="0"/>
    <s v="4271 MERCEDES LN  "/>
    <s v="Storm"/>
    <s v="N"/>
    <d v="2019-02-15T00:00:00"/>
    <x v="1"/>
  </r>
  <r>
    <n v="52359"/>
    <s v="SO"/>
    <x v="0"/>
    <s v="4242 LARAMORE RD  "/>
    <s v="Storm"/>
    <s v="N"/>
    <d v="2019-02-22T00:00:00"/>
    <x v="1"/>
  </r>
  <r>
    <n v="43678"/>
    <s v="SO"/>
    <x v="1"/>
    <s v="3022 CLEARMONT RD #SHOP  "/>
    <s v="Storm"/>
    <s v="N"/>
    <d v="2019-02-25T00:00:00"/>
    <x v="1"/>
  </r>
  <r>
    <n v="21419"/>
    <s v="SO"/>
    <x v="0"/>
    <s v="12881 HWY 12 S BHND #HOUSE  "/>
    <s v="Storm"/>
    <s v="N"/>
    <d v="2019-02-27T00:00:00"/>
    <x v="1"/>
  </r>
  <r>
    <n v="43540"/>
    <s v="IA"/>
    <x v="0"/>
    <s v="3161 WESTWOOD DR #7  "/>
    <s v="Additional research required"/>
    <s v="N"/>
    <d v="2019-02-27T00:00:00"/>
    <x v="1"/>
  </r>
  <r>
    <n v="56947"/>
    <s v="IA"/>
    <x v="0"/>
    <s v="4525 CLEARWATER LN  "/>
    <s v="Additional research required"/>
    <s v="N"/>
    <d v="2019-02-27T00:00:00"/>
    <x v="1"/>
  </r>
  <r>
    <n v="78794"/>
    <s v="SO"/>
    <x v="1"/>
    <s v=" OGLESBY RD END  "/>
    <s v="Storm"/>
    <s v="N"/>
    <d v="2019-02-27T00:00:00"/>
    <x v="1"/>
  </r>
  <r>
    <n v="86675"/>
    <s v="SO"/>
    <x v="1"/>
    <s v=" JENNINGS FLD #GAS DPT  "/>
    <s v="Storm"/>
    <s v="N"/>
    <d v="2019-02-27T00:00:00"/>
    <x v="1"/>
  </r>
  <r>
    <n v="65731"/>
    <s v="SO"/>
    <x v="0"/>
    <s v="4275 ALLEN ST  "/>
    <s v="Storm"/>
    <s v="N"/>
    <d v="2019-03-04T00:00:00"/>
    <x v="3"/>
  </r>
  <r>
    <n v="137517"/>
    <s v="SO"/>
    <x v="0"/>
    <s v="2780 BRIGHTWELL AVE #9  "/>
    <s v="Storm"/>
    <s v="N"/>
    <d v="2019-03-05T00:00:00"/>
    <x v="3"/>
  </r>
  <r>
    <n v="5957"/>
    <s v="IA"/>
    <x v="0"/>
    <s v="2925 WESTMANOR DR  "/>
    <s v="Additional research required"/>
    <s v="N"/>
    <d v="2019-03-06T00:00:00"/>
    <x v="3"/>
  </r>
  <r>
    <n v="61735"/>
    <s v="SO"/>
    <x v="0"/>
    <s v="5162 7TH AVE  "/>
    <s v="Storm"/>
    <s v="N"/>
    <d v="2019-03-06T00:00:00"/>
    <x v="3"/>
  </r>
  <r>
    <n v="89752"/>
    <s v="IA"/>
    <x v="0"/>
    <s v="3275 MAGNOLIA ST #B  "/>
    <s v="Storm"/>
    <s v="N"/>
    <d v="2019-03-06T00:00:00"/>
    <x v="3"/>
  </r>
  <r>
    <n v="56574"/>
    <s v="SO"/>
    <x v="0"/>
    <s v="4107 WILLOW POND RD  "/>
    <s v="Storm"/>
    <s v="N"/>
    <d v="2019-03-08T00:00:00"/>
    <x v="3"/>
  </r>
  <r>
    <n v="78906"/>
    <s v="SO"/>
    <x v="0"/>
    <s v="6017 HANSFORD RD  "/>
    <s v="Storm"/>
    <s v="N"/>
    <d v="2019-03-08T00:00:00"/>
    <x v="3"/>
  </r>
  <r>
    <n v="79189"/>
    <s v="SO"/>
    <x v="0"/>
    <s v="1919 HIGHWAY 71  "/>
    <s v="Additional research required"/>
    <s v="N"/>
    <d v="2019-03-12T00:00:00"/>
    <x v="3"/>
  </r>
  <r>
    <n v="142422"/>
    <s v="SO"/>
    <x v="0"/>
    <s v="4820 HIGHWAY 90 #RV #4  "/>
    <s v="Storm"/>
    <s v="N"/>
    <d v="2019-03-13T00:00:00"/>
    <x v="3"/>
  </r>
  <r>
    <n v="142423"/>
    <s v="SO"/>
    <x v="0"/>
    <s v="4820 HIGHWAY 90 #RV #5  "/>
    <s v="Storm"/>
    <s v="N"/>
    <d v="2019-03-13T00:00:00"/>
    <x v="3"/>
  </r>
  <r>
    <n v="78819"/>
    <s v="SO"/>
    <x v="0"/>
    <s v="27513 SR 71 N  "/>
    <s v="Storm"/>
    <s v="N"/>
    <d v="2019-03-14T00:00:00"/>
    <x v="3"/>
  </r>
  <r>
    <n v="122987"/>
    <s v="IA"/>
    <x v="3"/>
    <s v="4747 HIGHWAY 90 #A  "/>
    <s v="Storm"/>
    <s v="N"/>
    <d v="2019-03-14T00:00:00"/>
    <x v="3"/>
  </r>
  <r>
    <n v="14029"/>
    <s v="IA"/>
    <x v="0"/>
    <s v="2971 KYNES ST #A  "/>
    <s v="Additional research required"/>
    <s v="N"/>
    <d v="2019-03-20T00:00:00"/>
    <x v="3"/>
  </r>
  <r>
    <n v="48218"/>
    <s v="SO"/>
    <x v="0"/>
    <s v="4089 EDGEWOOD DR  "/>
    <s v="Storm"/>
    <s v="N"/>
    <d v="2019-03-20T00:00:00"/>
    <x v="3"/>
  </r>
  <r>
    <n v="94379"/>
    <s v="IA"/>
    <x v="0"/>
    <s v="3367 OLD U S RD  "/>
    <s v="Storm"/>
    <s v="N"/>
    <d v="2019-03-20T00:00:00"/>
    <x v="3"/>
  </r>
  <r>
    <n v="35263"/>
    <s v="SO"/>
    <x v="0"/>
    <s v="5129 BLUE SPRINGS RD  "/>
    <s v="Storm"/>
    <s v="N"/>
    <d v="2019-03-21T00:00:00"/>
    <x v="3"/>
  </r>
  <r>
    <n v="78664"/>
    <s v="SO"/>
    <x v="0"/>
    <s v="15417 N W CHIPOLA ST  "/>
    <s v="Storm"/>
    <s v="N"/>
    <d v="2019-03-21T00:00:00"/>
    <x v="3"/>
  </r>
  <r>
    <n v="14291"/>
    <s v="IA"/>
    <x v="0"/>
    <s v="4292 SECOND AV #A  "/>
    <s v="Additional research required"/>
    <s v="N"/>
    <d v="2019-03-22T00:00:00"/>
    <x v="3"/>
  </r>
  <r>
    <n v="56759"/>
    <s v="IA"/>
    <x v="0"/>
    <s v="4294 NORTON STILL RD  "/>
    <s v="Storm"/>
    <s v="N"/>
    <d v="2019-03-26T00:00:00"/>
    <x v="3"/>
  </r>
  <r>
    <n v="86737"/>
    <m/>
    <x v="1"/>
    <m/>
    <m/>
    <s v="N"/>
    <d v="2019-04-24T00:00:00"/>
    <x v="4"/>
  </r>
  <r>
    <n v="91330"/>
    <s v="SO"/>
    <x v="1"/>
    <s v=" MALONE B'BALL  "/>
    <s v="Storm"/>
    <s v="N"/>
    <d v="2019-07-24T00:00:00"/>
    <x v="5"/>
  </r>
  <r>
    <n v="52483"/>
    <s v="IA"/>
    <x v="0"/>
    <s v="4285 CEDAR LN  "/>
    <s v="Storm"/>
    <s v="N"/>
    <d v="2019-03-27T00:00:00"/>
    <x v="3"/>
  </r>
  <r>
    <n v="137242"/>
    <s v="IA"/>
    <x v="0"/>
    <s v="2781 BRIGHTWELL AVE #75  "/>
    <s v="Storm"/>
    <s v="N"/>
    <d v="2019-03-27T00:00:00"/>
    <x v="3"/>
  </r>
  <r>
    <n v="5934"/>
    <s v="SO"/>
    <x v="0"/>
    <s v="2974 PARK ST  "/>
    <s v="Storm"/>
    <s v="N"/>
    <d v="2019-03-28T00:00:00"/>
    <x v="3"/>
  </r>
  <r>
    <n v="40029"/>
    <s v="SO"/>
    <x v="0"/>
    <s v="5021 SPRUCE LN  "/>
    <s v="Storm"/>
    <s v="N"/>
    <d v="2019-03-28T00:00:00"/>
    <x v="3"/>
  </r>
  <r>
    <n v="65942"/>
    <m/>
    <x v="0"/>
    <m/>
    <m/>
    <s v="N"/>
    <d v="2019-03-29T00:00:00"/>
    <x v="3"/>
  </r>
  <r>
    <n v="93478"/>
    <m/>
    <x v="0"/>
    <m/>
    <m/>
    <s v="N"/>
    <d v="2019-03-29T00:00:00"/>
    <x v="3"/>
  </r>
  <r>
    <n v="95074"/>
    <m/>
    <x v="0"/>
    <m/>
    <m/>
    <s v="N"/>
    <d v="2019-03-29T00:00:00"/>
    <x v="3"/>
  </r>
  <r>
    <n v="134985"/>
    <m/>
    <x v="1"/>
    <m/>
    <m/>
    <s v="N"/>
    <d v="2019-03-29T00:00:00"/>
    <x v="3"/>
  </r>
  <r>
    <n v="17676"/>
    <s v="SO"/>
    <x v="0"/>
    <s v="12533 NW CONNER LANE  "/>
    <s v="Storm"/>
    <s v="N"/>
    <d v="2019-04-01T00:00:00"/>
    <x v="4"/>
  </r>
  <r>
    <n v="78787"/>
    <s v="SO"/>
    <x v="0"/>
    <s v="26571 71 STATE ROAD N  "/>
    <s v="Storm"/>
    <s v="N"/>
    <d v="2019-04-01T00:00:00"/>
    <x v="4"/>
  </r>
  <r>
    <n v="93261"/>
    <m/>
    <x v="1"/>
    <m/>
    <m/>
    <s v="N"/>
    <d v="2019-04-09T00:00:00"/>
    <x v="4"/>
  </r>
  <r>
    <n v="35607"/>
    <s v="SO"/>
    <x v="1"/>
    <s v="4792 HWY 90 E #BLD H  "/>
    <s v="Storm"/>
    <s v="N"/>
    <d v="2019-04-02T00:00:00"/>
    <x v="4"/>
  </r>
  <r>
    <n v="35608"/>
    <s v="SO"/>
    <x v="1"/>
    <s v="4792 HWY 90 E #BLDG G  "/>
    <s v="Storm"/>
    <s v="N"/>
    <d v="2019-04-02T00:00:00"/>
    <x v="4"/>
  </r>
  <r>
    <n v="70198"/>
    <s v="SO"/>
    <x v="0"/>
    <s v="2871 HWY 90  "/>
    <s v="Storm"/>
    <s v="N"/>
    <d v="2019-04-02T00:00:00"/>
    <x v="4"/>
  </r>
  <r>
    <n v="40034"/>
    <s v="IA"/>
    <x v="0"/>
    <s v="5009 SPRUCE LN  "/>
    <s v="Storm"/>
    <s v="N"/>
    <d v="2019-04-03T00:00:00"/>
    <x v="4"/>
  </r>
  <r>
    <n v="48021"/>
    <s v="SO"/>
    <x v="0"/>
    <s v="2968 HILLCREST ST  "/>
    <s v="Storm"/>
    <s v="N"/>
    <d v="2019-04-03T00:00:00"/>
    <x v="4"/>
  </r>
  <r>
    <n v="10128"/>
    <m/>
    <x v="0"/>
    <m/>
    <m/>
    <s v="N"/>
    <d v="2019-04-04T00:00:00"/>
    <x v="4"/>
  </r>
  <r>
    <n v="14316"/>
    <m/>
    <x v="0"/>
    <m/>
    <m/>
    <s v="N"/>
    <d v="2019-04-04T00:00:00"/>
    <x v="4"/>
  </r>
  <r>
    <n v="56545"/>
    <m/>
    <x v="0"/>
    <m/>
    <m/>
    <s v="N"/>
    <d v="2019-04-04T00:00:00"/>
    <x v="4"/>
  </r>
  <r>
    <n v="9758"/>
    <m/>
    <x v="1"/>
    <m/>
    <m/>
    <s v="N"/>
    <d v="2019-04-08T00:00:00"/>
    <x v="4"/>
  </r>
  <r>
    <n v="10109"/>
    <m/>
    <x v="0"/>
    <m/>
    <m/>
    <s v="N"/>
    <d v="2019-04-08T00:00:00"/>
    <x v="4"/>
  </r>
  <r>
    <n v="29929"/>
    <s v="SO"/>
    <x v="0"/>
    <s v="3270 BOXWOOD RD  "/>
    <s v="Additional research required"/>
    <s v="N"/>
    <d v="2019-04-08T00:00:00"/>
    <x v="4"/>
  </r>
  <r>
    <n v="21465"/>
    <m/>
    <x v="0"/>
    <m/>
    <m/>
    <s v="N"/>
    <d v="2019-04-09T00:00:00"/>
    <x v="4"/>
  </r>
  <r>
    <n v="79119"/>
    <m/>
    <x v="0"/>
    <m/>
    <m/>
    <s v="N"/>
    <d v="2019-04-09T00:00:00"/>
    <x v="4"/>
  </r>
  <r>
    <n v="101865"/>
    <s v="SO"/>
    <x v="1"/>
    <s v="CANE MILL  "/>
    <s v="Storm"/>
    <s v="N"/>
    <d v="2019-07-25T00:00:00"/>
    <x v="5"/>
  </r>
  <r>
    <n v="48445"/>
    <s v="SO"/>
    <x v="0"/>
    <s v="4127 CLAY ST  "/>
    <s v="Storm"/>
    <s v="N"/>
    <d v="2019-04-10T00:00:00"/>
    <x v="4"/>
  </r>
  <r>
    <n v="48455"/>
    <m/>
    <x v="0"/>
    <m/>
    <m/>
    <s v="N"/>
    <d v="2019-04-10T00:00:00"/>
    <x v="4"/>
  </r>
  <r>
    <n v="78783"/>
    <m/>
    <x v="0"/>
    <m/>
    <m/>
    <s v="N"/>
    <d v="2019-04-11T00:00:00"/>
    <x v="4"/>
  </r>
  <r>
    <n v="134325"/>
    <s v="SO"/>
    <x v="0"/>
    <s v="5309 PEACOCK BRIDGE RD #NEW HSE  "/>
    <s v="Storm"/>
    <s v="N"/>
    <d v="2019-04-11T00:00:00"/>
    <x v="4"/>
  </r>
  <r>
    <n v="78927"/>
    <s v="SO"/>
    <x v="0"/>
    <s v="1095 CHURCH ST  "/>
    <s v="Storm"/>
    <s v="N"/>
    <d v="2019-04-15T00:00:00"/>
    <x v="4"/>
  </r>
  <r>
    <n v="52243"/>
    <m/>
    <x v="0"/>
    <m/>
    <m/>
    <s v="N"/>
    <d v="2019-04-16T00:00:00"/>
    <x v="4"/>
  </r>
  <r>
    <n v="52433"/>
    <s v="SO"/>
    <x v="0"/>
    <s v="4271 FIELDSTONE CT  "/>
    <s v="Storm"/>
    <s v="N"/>
    <d v="2019-04-16T00:00:00"/>
    <x v="4"/>
  </r>
  <r>
    <n v="73473"/>
    <s v="SO"/>
    <x v="0"/>
    <s v="1754 VIRGINIA ST  "/>
    <s v="Storm"/>
    <s v="N"/>
    <d v="2019-04-16T00:00:00"/>
    <x v="4"/>
  </r>
  <r>
    <n v="13939"/>
    <m/>
    <x v="0"/>
    <m/>
    <m/>
    <s v="N"/>
    <d v="2019-04-17T00:00:00"/>
    <x v="4"/>
  </r>
  <r>
    <n v="25933"/>
    <s v="SO"/>
    <x v="1"/>
    <s v="2872 MADISON ST  "/>
    <s v="Storm"/>
    <s v="N"/>
    <d v="2019-04-17T00:00:00"/>
    <x v="4"/>
  </r>
  <r>
    <n v="70127"/>
    <m/>
    <x v="0"/>
    <m/>
    <m/>
    <s v="N"/>
    <d v="2019-04-17T00:00:00"/>
    <x v="4"/>
  </r>
  <r>
    <n v="120774"/>
    <m/>
    <x v="0"/>
    <m/>
    <m/>
    <s v="N"/>
    <d v="2019-04-17T00:00:00"/>
    <x v="4"/>
  </r>
  <r>
    <n v="133283"/>
    <s v="SO"/>
    <x v="3"/>
    <s v="3519 CAVERNS RD #IRRPUMP  "/>
    <s v="Storm"/>
    <s v="N"/>
    <d v="2019-04-17T00:00:00"/>
    <x v="4"/>
  </r>
  <r>
    <n v="6347"/>
    <s v="IA"/>
    <x v="0"/>
    <s v="4399 FLORENCE DR  "/>
    <s v="Storm"/>
    <s v="N"/>
    <d v="2019-04-23T00:00:00"/>
    <x v="4"/>
  </r>
  <r>
    <n v="78611"/>
    <s v="SO"/>
    <x v="0"/>
    <s v="25675 N EVANS ST  "/>
    <s v="Storm"/>
    <s v="N"/>
    <d v="2019-04-23T00:00:00"/>
    <x v="4"/>
  </r>
  <r>
    <n v="105273"/>
    <m/>
    <x v="2"/>
    <m/>
    <m/>
    <s v="N"/>
    <d v="2019-03-26T00:00:00"/>
    <x v="3"/>
  </r>
  <r>
    <n v="14206"/>
    <s v="IA"/>
    <x v="0"/>
    <s v="3029 CARTERS MILL RD  "/>
    <s v="Storm"/>
    <s v="N"/>
    <d v="2019-04-26T00:00:00"/>
    <x v="4"/>
  </r>
  <r>
    <n v="35600"/>
    <s v="SO"/>
    <x v="1"/>
    <s v="4792 HWY 90 E #OPENAIR  "/>
    <s v="Storm"/>
    <s v="N"/>
    <d v="2019-04-29T00:00:00"/>
    <x v="4"/>
  </r>
  <r>
    <n v="94396"/>
    <m/>
    <x v="1"/>
    <m/>
    <m/>
    <s v="N"/>
    <d v="2019-04-29T00:00:00"/>
    <x v="4"/>
  </r>
  <r>
    <n v="25361"/>
    <s v="SO"/>
    <x v="0"/>
    <s v="2835 STUART AVE  "/>
    <s v="Storm"/>
    <s v="N"/>
    <d v="2019-04-30T00:00:00"/>
    <x v="4"/>
  </r>
  <r>
    <n v="29567"/>
    <s v="SO"/>
    <x v="0"/>
    <s v="4844 GLENDALE CIR  "/>
    <s v="Storm"/>
    <s v="N"/>
    <d v="2019-04-30T00:00:00"/>
    <x v="4"/>
  </r>
  <r>
    <n v="137724"/>
    <s v="SO"/>
    <x v="1"/>
    <s v="4878 DOGWOOD DR #POOL  "/>
    <s v="Storm"/>
    <s v="N"/>
    <d v="2019-05-01T00:00:00"/>
    <x v="6"/>
  </r>
  <r>
    <n v="47706"/>
    <s v="IA"/>
    <x v="0"/>
    <s v="3450 BUMPNOSE RD  "/>
    <s v="Additional research required"/>
    <s v="N"/>
    <d v="2019-05-03T00:00:00"/>
    <x v="6"/>
  </r>
  <r>
    <n v="35159"/>
    <s v="SO"/>
    <x v="0"/>
    <s v="4752 WATSON ST #TRAILER  "/>
    <s v="Storm"/>
    <s v="N"/>
    <d v="2019-05-07T00:00:00"/>
    <x v="6"/>
  </r>
  <r>
    <n v="95271"/>
    <s v="SO"/>
    <x v="0"/>
    <s v="2765 BRENDA ST  "/>
    <s v="Storm"/>
    <s v="N"/>
    <d v="2019-05-07T00:00:00"/>
    <x v="6"/>
  </r>
  <r>
    <n v="70122"/>
    <s v="IA"/>
    <x v="0"/>
    <s v="3111 WILLOW ST APT# 509 "/>
    <s v="Storm"/>
    <s v="N"/>
    <d v="2019-05-09T00:00:00"/>
    <x v="6"/>
  </r>
  <r>
    <n v="91152"/>
    <s v="SO"/>
    <x v="0"/>
    <s v="4883 DAVIS DR  "/>
    <s v="Storm"/>
    <s v="N"/>
    <d v="2019-05-09T00:00:00"/>
    <x v="6"/>
  </r>
  <r>
    <n v="14362"/>
    <m/>
    <x v="0"/>
    <m/>
    <m/>
    <s v="N"/>
    <d v="2019-05-10T00:00:00"/>
    <x v="6"/>
  </r>
  <r>
    <n v="29823"/>
    <s v="SO"/>
    <x v="0"/>
    <s v="4971 DOGWOOD DR  "/>
    <s v="Storm"/>
    <s v="N"/>
    <d v="2019-05-13T00:00:00"/>
    <x v="6"/>
  </r>
  <r>
    <n v="56909"/>
    <m/>
    <x v="0"/>
    <m/>
    <m/>
    <s v="N"/>
    <d v="2019-05-13T00:00:00"/>
    <x v="6"/>
  </r>
  <r>
    <n v="9932"/>
    <m/>
    <x v="0"/>
    <m/>
    <m/>
    <s v="N"/>
    <d v="2019-05-15T00:00:00"/>
    <x v="6"/>
  </r>
  <r>
    <n v="14042"/>
    <s v="IA"/>
    <x v="0"/>
    <s v="4345 DEERING ST  "/>
    <s v="Storm"/>
    <s v="N"/>
    <d v="2019-05-15T00:00:00"/>
    <x v="6"/>
  </r>
  <r>
    <n v="78908"/>
    <s v="SO"/>
    <x v="0"/>
    <s v="5991 HANSFORD RD  "/>
    <s v="Storm"/>
    <s v="N"/>
    <d v="2019-05-17T00:00:00"/>
    <x v="6"/>
  </r>
  <r>
    <n v="13818"/>
    <m/>
    <x v="0"/>
    <m/>
    <m/>
    <s v="N"/>
    <d v="2019-05-19T00:00:00"/>
    <x v="6"/>
  </r>
  <r>
    <n v="5629"/>
    <m/>
    <x v="0"/>
    <m/>
    <m/>
    <s v="N"/>
    <d v="2019-05-20T00:00:00"/>
    <x v="6"/>
  </r>
  <r>
    <n v="14041"/>
    <m/>
    <x v="0"/>
    <m/>
    <m/>
    <s v="N"/>
    <d v="2019-05-21T00:00:00"/>
    <x v="6"/>
  </r>
  <r>
    <n v="52891"/>
    <s v="IA"/>
    <x v="0"/>
    <s v="4224 CEDAR ST  "/>
    <s v="Storm"/>
    <s v="N"/>
    <d v="2019-05-21T00:00:00"/>
    <x v="6"/>
  </r>
  <r>
    <n v="56895"/>
    <s v="SO"/>
    <x v="0"/>
    <s v="2468 KIWI TRL  "/>
    <s v="Storm"/>
    <s v="N"/>
    <d v="2019-05-21T00:00:00"/>
    <x v="6"/>
  </r>
  <r>
    <n v="47712"/>
    <s v="SO"/>
    <x v="0"/>
    <s v="3383 BUMPNOSE RD #BARN  "/>
    <s v="Storm"/>
    <s v="N"/>
    <d v="2019-05-22T00:00:00"/>
    <x v="6"/>
  </r>
  <r>
    <n v="56673"/>
    <s v="SO"/>
    <x v="0"/>
    <s v="2215 MARK LN APT# 12 "/>
    <s v="Storm"/>
    <s v="N"/>
    <d v="2019-05-29T00:00:00"/>
    <x v="6"/>
  </r>
  <r>
    <n v="137215"/>
    <s v="SO"/>
    <x v="0"/>
    <s v="2760 BRIGHTWELL AVE #27  "/>
    <s v="Storm"/>
    <s v="N"/>
    <d v="2019-05-29T00:00:00"/>
    <x v="6"/>
  </r>
  <r>
    <n v="25409"/>
    <m/>
    <x v="0"/>
    <m/>
    <m/>
    <s v="N"/>
    <d v="2019-05-30T00:00:00"/>
    <x v="6"/>
  </r>
  <r>
    <n v="79007"/>
    <s v="SO"/>
    <x v="0"/>
    <s v="5309 PEACOCK BRIDGE RD  "/>
    <s v="Storm"/>
    <s v="N"/>
    <d v="2019-06-03T00:00:00"/>
    <x v="7"/>
  </r>
  <r>
    <n v="90903"/>
    <s v="SO"/>
    <x v="0"/>
    <s v="16678 N E TOM KIMBREL LN  "/>
    <s v="Storm"/>
    <s v="N"/>
    <d v="2019-06-03T00:00:00"/>
    <x v="7"/>
  </r>
  <r>
    <n v="52532"/>
    <s v="SO"/>
    <x v="0"/>
    <s v="2672 OLD AIRBASE RD #PUMP  "/>
    <s v="Additional research required"/>
    <s v="N"/>
    <d v="2019-06-06T00:00:00"/>
    <x v="7"/>
  </r>
  <r>
    <n v="56463"/>
    <m/>
    <x v="0"/>
    <m/>
    <m/>
    <s v="N"/>
    <d v="2019-06-06T00:00:00"/>
    <x v="7"/>
  </r>
  <r>
    <n v="103013"/>
    <s v="SO"/>
    <x v="0"/>
    <s v="2942 GREEN ST  "/>
    <s v="Storm"/>
    <s v="N"/>
    <d v="2019-06-06T00:00:00"/>
    <x v="7"/>
  </r>
  <r>
    <n v="29891"/>
    <m/>
    <x v="0"/>
    <m/>
    <m/>
    <s v="N"/>
    <d v="2019-06-13T00:00:00"/>
    <x v="7"/>
  </r>
  <r>
    <n v="13962"/>
    <s v="SO"/>
    <x v="0"/>
    <s v="4344 BURTON ST  "/>
    <s v="Storm"/>
    <s v="N"/>
    <d v="2019-06-17T00:00:00"/>
    <x v="7"/>
  </r>
  <r>
    <n v="14376"/>
    <s v="SO"/>
    <x v="0"/>
    <s v="4298 7TH AVE  "/>
    <s v="Storm"/>
    <s v="N"/>
    <d v="2019-06-17T00:00:00"/>
    <x v="7"/>
  </r>
  <r>
    <n v="66057"/>
    <s v="SO"/>
    <x v="0"/>
    <s v="4111 BRYAN ST  "/>
    <s v="Storm"/>
    <s v="N"/>
    <d v="2019-06-17T00:00:00"/>
    <x v="7"/>
  </r>
  <r>
    <n v="86923"/>
    <s v="SO"/>
    <x v="0"/>
    <s v="5292 CONNECTION RD #WELL  "/>
    <s v="Storm"/>
    <s v="N"/>
    <d v="2019-06-20T00:00:00"/>
    <x v="7"/>
  </r>
  <r>
    <n v="135822"/>
    <m/>
    <x v="1"/>
    <m/>
    <m/>
    <s v="N"/>
    <d v="2019-06-21T00:00:00"/>
    <x v="7"/>
  </r>
  <r>
    <n v="73962"/>
    <s v="SO"/>
    <x v="0"/>
    <s v="2619 DOGWOOD DR  "/>
    <s v="Storm"/>
    <s v="N"/>
    <d v="2019-06-26T00:00:00"/>
    <x v="7"/>
  </r>
  <r>
    <n v="65789"/>
    <s v="SO"/>
    <x v="1"/>
    <s v="5168 FORT RD  "/>
    <s v="Storm"/>
    <s v="N"/>
    <d v="2019-06-27T00:00:00"/>
    <x v="7"/>
  </r>
  <r>
    <n v="14463"/>
    <m/>
    <x v="0"/>
    <m/>
    <m/>
    <s v="N"/>
    <d v="2019-07-02T00:00:00"/>
    <x v="5"/>
  </r>
  <r>
    <n v="52465"/>
    <s v="SO"/>
    <x v="0"/>
    <s v="4294 FIELDSTONE CT  "/>
    <s v="Storm"/>
    <s v="N"/>
    <d v="2019-07-03T00:00:00"/>
    <x v="5"/>
  </r>
  <r>
    <n v="180221"/>
    <s v="SO"/>
    <x v="0"/>
    <s v="4591 COOK RD  "/>
    <s v="Storm"/>
    <s v="N"/>
    <d v="2019-07-03T00:00:00"/>
    <x v="5"/>
  </r>
  <r>
    <n v="40376"/>
    <m/>
    <x v="0"/>
    <m/>
    <m/>
    <s v="N"/>
    <d v="2019-07-05T00:00:00"/>
    <x v="5"/>
  </r>
  <r>
    <n v="176005"/>
    <s v="SO"/>
    <x v="1"/>
    <s v="2496 KIWI TRL #WELL  "/>
    <s v="Storm"/>
    <s v="N"/>
    <d v="2019-07-05T00:00:00"/>
    <x v="5"/>
  </r>
  <r>
    <n v="29895"/>
    <m/>
    <x v="0"/>
    <m/>
    <m/>
    <s v="N"/>
    <d v="2019-07-09T00:00:00"/>
    <x v="5"/>
  </r>
  <r>
    <n v="78577"/>
    <m/>
    <x v="0"/>
    <m/>
    <m/>
    <s v="N"/>
    <d v="2019-07-09T00:00:00"/>
    <x v="5"/>
  </r>
  <r>
    <n v="118864"/>
    <s v="SO"/>
    <x v="1"/>
    <s v="5344 10TH ST SCHOOL ZONE FLASH #LIGHT  "/>
    <s v="Storm"/>
    <s v="N"/>
    <d v="2019-02-07T00:00:00"/>
    <x v="1"/>
  </r>
  <r>
    <n v="48291"/>
    <s v="IA"/>
    <x v="0"/>
    <s v="4052 OLD COTTONDALE RD #404  "/>
    <s v="Storm"/>
    <s v="N"/>
    <d v="2019-07-11T00:00:00"/>
    <x v="5"/>
  </r>
  <r>
    <n v="73539"/>
    <s v="SO"/>
    <x v="0"/>
    <s v="1767 ARIZONA ST  "/>
    <s v="Storm"/>
    <s v="N"/>
    <d v="2019-07-11T00:00:00"/>
    <x v="5"/>
  </r>
  <r>
    <n v="78754"/>
    <m/>
    <x v="0"/>
    <m/>
    <m/>
    <s v="N"/>
    <d v="2019-07-18T00:00:00"/>
    <x v="5"/>
  </r>
  <r>
    <n v="35466"/>
    <m/>
    <x v="0"/>
    <m/>
    <m/>
    <s v="N"/>
    <d v="2019-07-19T00:00:00"/>
    <x v="5"/>
  </r>
  <r>
    <n v="56614"/>
    <m/>
    <x v="0"/>
    <m/>
    <m/>
    <s v="N"/>
    <d v="2019-07-19T00:00:00"/>
    <x v="5"/>
  </r>
  <r>
    <n v="78588"/>
    <s v="SO"/>
    <x v="0"/>
    <s v="15989 SPOONER LN #4  "/>
    <s v="Storm"/>
    <s v="N"/>
    <d v="2019-07-19T00:00:00"/>
    <x v="5"/>
  </r>
  <r>
    <n v="179547"/>
    <s v="SO"/>
    <x v="0"/>
    <s v="1718 TURTLE BEND LN  "/>
    <s v="Storm"/>
    <s v="N"/>
    <d v="2019-07-19T00:00:00"/>
    <x v="5"/>
  </r>
  <r>
    <n v="78501"/>
    <m/>
    <x v="0"/>
    <m/>
    <m/>
    <s v="N"/>
    <d v="2019-07-23T00:00:00"/>
    <x v="5"/>
  </r>
  <r>
    <n v="14027"/>
    <m/>
    <x v="0"/>
    <m/>
    <m/>
    <s v="N"/>
    <d v="2019-07-24T00:00:00"/>
    <x v="5"/>
  </r>
  <r>
    <n v="133014"/>
    <s v="SO"/>
    <x v="1"/>
    <s v="2737 PENNSYLVANIA AVE #STORAGE  "/>
    <s v="Storm"/>
    <s v="N"/>
    <d v="2019-07-10T00:00:00"/>
    <x v="5"/>
  </r>
  <r>
    <n v="142318"/>
    <m/>
    <x v="1"/>
    <m/>
    <m/>
    <s v="N"/>
    <d v="2019-04-01T00:00:00"/>
    <x v="4"/>
  </r>
  <r>
    <n v="57028"/>
    <m/>
    <x v="0"/>
    <m/>
    <m/>
    <s v="N"/>
    <d v="2019-07-30T00:00:00"/>
    <x v="5"/>
  </r>
  <r>
    <n v="14269"/>
    <s v="SO"/>
    <x v="0"/>
    <s v="4255 6TH AVE  "/>
    <s v="Storm"/>
    <s v="N"/>
    <d v="2019-07-31T00:00:00"/>
    <x v="5"/>
  </r>
  <r>
    <n v="29794"/>
    <s v="SO"/>
    <x v="1"/>
    <s v="4505 LAFAYETTE ST  "/>
    <s v="Storm"/>
    <s v="N"/>
    <d v="2019-07-31T00:00:00"/>
    <x v="5"/>
  </r>
  <r>
    <n v="105049"/>
    <s v="SO"/>
    <x v="0"/>
    <s v="25522 N E EVANS ST  "/>
    <s v="Storm"/>
    <s v="N"/>
    <d v="2019-07-31T00:00:00"/>
    <x v="5"/>
  </r>
  <r>
    <n v="121568"/>
    <s v="IA"/>
    <x v="0"/>
    <s v="2888 BARNES ST  "/>
    <s v="Storm"/>
    <s v="N"/>
    <d v="2019-07-31T00:00:00"/>
    <x v="5"/>
  </r>
  <r>
    <n v="6394"/>
    <s v="SO"/>
    <x v="3"/>
    <s v="2889 GREEN ST  "/>
    <s v="Storm"/>
    <s v="N"/>
    <d v="2019-08-02T00:00:00"/>
    <x v="2"/>
  </r>
  <r>
    <n v="61812"/>
    <s v="SO"/>
    <x v="0"/>
    <s v="5125 8TH AVE APT# A  "/>
    <s v="Storm"/>
    <s v="N"/>
    <d v="2019-08-02T00:00:00"/>
    <x v="2"/>
  </r>
  <r>
    <n v="142319"/>
    <m/>
    <x v="1"/>
    <m/>
    <m/>
    <s v="N"/>
    <d v="2019-03-26T00:00:00"/>
    <x v="3"/>
  </r>
  <r>
    <n v="78698"/>
    <s v="SO"/>
    <x v="0"/>
    <s v="14883 NW HWY 274  "/>
    <s v="Storm"/>
    <s v="N"/>
    <d v="2019-08-02T00:00:00"/>
    <x v="2"/>
  </r>
  <r>
    <n v="79245"/>
    <m/>
    <x v="0"/>
    <m/>
    <m/>
    <s v="N"/>
    <d v="2019-08-06T00:00:00"/>
    <x v="2"/>
  </r>
  <r>
    <n v="52954"/>
    <s v="SO"/>
    <x v="0"/>
    <s v="2831 WASHINGTON ST  "/>
    <s v="Storm"/>
    <s v="N"/>
    <d v="2019-08-08T00:00:00"/>
    <x v="2"/>
  </r>
  <r>
    <n v="78602"/>
    <s v="SO"/>
    <x v="0"/>
    <s v="15918 NE NORTH ST #1  "/>
    <s v="Storm"/>
    <s v="N"/>
    <d v="2019-08-08T00:00:00"/>
    <x v="2"/>
  </r>
  <r>
    <n v="5977"/>
    <m/>
    <x v="0"/>
    <m/>
    <m/>
    <s v="N"/>
    <d v="2019-08-12T00:00:00"/>
    <x v="2"/>
  </r>
  <r>
    <n v="5995"/>
    <m/>
    <x v="0"/>
    <m/>
    <m/>
    <s v="N"/>
    <d v="2019-08-12T00:00:00"/>
    <x v="2"/>
  </r>
  <r>
    <n v="10166"/>
    <m/>
    <x v="0"/>
    <m/>
    <m/>
    <s v="N"/>
    <d v="2019-08-14T00:00:00"/>
    <x v="2"/>
  </r>
  <r>
    <n v="29718"/>
    <m/>
    <x v="1"/>
    <m/>
    <m/>
    <s v="N"/>
    <d v="2019-08-14T00:00:00"/>
    <x v="2"/>
  </r>
  <r>
    <n v="29913"/>
    <m/>
    <x v="0"/>
    <m/>
    <m/>
    <s v="N"/>
    <d v="2019-08-16T00:00:00"/>
    <x v="2"/>
  </r>
  <r>
    <n v="83108"/>
    <m/>
    <x v="0"/>
    <m/>
    <m/>
    <s v="N"/>
    <d v="2019-08-16T00:00:00"/>
    <x v="2"/>
  </r>
  <r>
    <n v="175716"/>
    <m/>
    <x v="0"/>
    <m/>
    <m/>
    <s v="N"/>
    <d v="2019-08-16T00:00:00"/>
    <x v="2"/>
  </r>
  <r>
    <n v="82883"/>
    <s v="SO"/>
    <x v="0"/>
    <s v="16115 SW CHARLIE WOOD RD  "/>
    <s v="Storm"/>
    <s v="N"/>
    <s v="Not Active"/>
    <x v="8"/>
  </r>
</pivotCacheRecords>
</file>

<file path=xl/pivotTables/_rels/pivotTable1.xml.rels>&#65279;<?xml version="1.0" encoding="UTF-8" standalone="yes"?>
<Relationships xmlns="http://schemas.openxmlformats.org/package/2006/relationships">
  <Relationship Id="rId1" Type="http://schemas.openxmlformats.org/officeDocument/2006/relationships/pivotCacheDefinition" Target="../pivotCache/pivotCacheDefinition1.xml" />
</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K9" firstHeaderRow="1" firstDataRow="2" firstDataCol="1"/>
  <pivotFields count="8">
    <pivotField dataField="1" showAll="0"/>
    <pivotField showAll="0"/>
    <pivotField axis="axisRow" showAll="0">
      <items count="7">
        <item x="3"/>
        <item x="1"/>
        <item m="1" x="5"/>
        <item x="0"/>
        <item m="1" x="4"/>
        <item x="2"/>
        <item t="default"/>
      </items>
    </pivotField>
    <pivotField showAll="0"/>
    <pivotField showAll="0"/>
    <pivotField showAll="0"/>
    <pivotField showAll="0"/>
    <pivotField axis="axisCol" showAll="0">
      <items count="10">
        <item x="0"/>
        <item x="1"/>
        <item x="3"/>
        <item x="4"/>
        <item x="6"/>
        <item x="7"/>
        <item x="5"/>
        <item x="2"/>
        <item x="8"/>
        <item t="default"/>
      </items>
    </pivotField>
  </pivotFields>
  <rowFields count="1">
    <field x="2"/>
  </rowFields>
  <rowItems count="5">
    <i>
      <x/>
    </i>
    <i>
      <x v="1"/>
    </i>
    <i>
      <x v="3"/>
    </i>
    <i>
      <x v="5"/>
    </i>
    <i t="grand">
      <x/>
    </i>
  </rowItems>
  <colFields count="1">
    <field x="7"/>
  </colFields>
  <colItems count="10">
    <i>
      <x/>
    </i>
    <i>
      <x v="1"/>
    </i>
    <i>
      <x v="2"/>
    </i>
    <i>
      <x v="3"/>
    </i>
    <i>
      <x v="4"/>
    </i>
    <i>
      <x v="5"/>
    </i>
    <i>
      <x v="6"/>
    </i>
    <i>
      <x v="7"/>
    </i>
    <i>
      <x v="8"/>
    </i>
    <i t="grand">
      <x/>
    </i>
  </colItems>
  <dataFields count="1">
    <dataField name="Count of Premise Number" fld="0" subtotal="count" baseField="7"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printerSettings" Target="../printerSettings/printerSettings5.bin" />
  <Relationship Id="rId1" Type="http://schemas.openxmlformats.org/officeDocument/2006/relationships/pivotTable" Target="../pivotTables/pivotTable1.xml"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zoomScale="80" zoomScaleNormal="80" workbookViewId="0">
      <selection activeCell="E5" sqref="E5"/>
    </sheetView>
  </sheetViews>
  <sheetFormatPr defaultRowHeight="15" x14ac:dyDescent="0.25"/>
  <cols>
    <col min="1" max="1" width="51.28515625" customWidth="1"/>
    <col min="2" max="2" width="3.5703125" customWidth="1"/>
    <col min="3" max="3" width="14.5703125" customWidth="1"/>
    <col min="4" max="4" width="14.7109375" bestFit="1" customWidth="1"/>
    <col min="5" max="5" width="13" customWidth="1"/>
    <col min="6" max="6" width="11.5703125" customWidth="1"/>
    <col min="7" max="7" width="13.5703125" customWidth="1"/>
    <col min="8" max="8" width="12.5703125" bestFit="1" customWidth="1"/>
    <col min="9" max="9" width="11.28515625" bestFit="1" customWidth="1"/>
    <col min="10" max="10" width="13.42578125" bestFit="1" customWidth="1"/>
    <col min="11" max="11" width="11" bestFit="1" customWidth="1"/>
    <col min="12" max="12" width="13.5703125" customWidth="1"/>
    <col min="13" max="13" width="11.42578125" customWidth="1"/>
    <col min="14" max="14" width="14" customWidth="1"/>
    <col min="15" max="15" width="14.5703125" customWidth="1"/>
    <col min="16" max="16" width="13.5703125" customWidth="1"/>
    <col min="17" max="17" width="10.28515625" bestFit="1" customWidth="1"/>
  </cols>
  <sheetData>
    <row r="1" spans="1:15" ht="18" x14ac:dyDescent="0.25">
      <c r="A1" s="24" t="s">
        <v>163</v>
      </c>
      <c r="M1" s="25" t="s">
        <v>164</v>
      </c>
    </row>
    <row r="2" spans="1:15" ht="18" x14ac:dyDescent="0.25">
      <c r="A2" s="24" t="s">
        <v>165</v>
      </c>
      <c r="M2" s="26" t="s">
        <v>166</v>
      </c>
    </row>
    <row r="3" spans="1:15" ht="18" x14ac:dyDescent="0.25">
      <c r="A3" s="24" t="s">
        <v>167</v>
      </c>
    </row>
    <row r="4" spans="1:15" ht="60" x14ac:dyDescent="0.25">
      <c r="C4" s="27" t="s">
        <v>168</v>
      </c>
      <c r="D4" s="27" t="s">
        <v>169</v>
      </c>
      <c r="E4" s="27" t="s">
        <v>170</v>
      </c>
      <c r="F4" s="27" t="s">
        <v>171</v>
      </c>
      <c r="G4" s="27" t="s">
        <v>172</v>
      </c>
      <c r="H4" s="27" t="s">
        <v>173</v>
      </c>
      <c r="I4" s="27" t="s">
        <v>174</v>
      </c>
    </row>
    <row r="5" spans="1:15" x14ac:dyDescent="0.25">
      <c r="A5" t="s">
        <v>149</v>
      </c>
      <c r="C5">
        <f>347+216+2</f>
        <v>565</v>
      </c>
      <c r="D5">
        <v>14.69</v>
      </c>
      <c r="E5" s="28">
        <v>8730</v>
      </c>
      <c r="F5" s="28">
        <v>7991</v>
      </c>
      <c r="H5" s="19">
        <f>((D5*12)+(E5*0.02117)+(F5*0.42*0.03369))*C5</f>
        <v>267903.31076700002</v>
      </c>
      <c r="I5" s="20">
        <f>H5/C5</f>
        <v>474.16515180000005</v>
      </c>
      <c r="J5" s="65">
        <f>H5+(H5/12*2)</f>
        <v>312553.86256150005</v>
      </c>
      <c r="L5" s="29"/>
      <c r="N5" s="29"/>
      <c r="O5" s="30"/>
    </row>
    <row r="6" spans="1:15" x14ac:dyDescent="0.25">
      <c r="A6" t="s">
        <v>151</v>
      </c>
      <c r="C6">
        <f>98+67+36</f>
        <v>201</v>
      </c>
      <c r="D6">
        <v>24.14</v>
      </c>
      <c r="E6" s="28">
        <v>16589</v>
      </c>
      <c r="H6" s="19">
        <f>((D6*12)+(E6*0.02516))*C6</f>
        <v>142118.90724</v>
      </c>
      <c r="I6" s="20">
        <f>H6/C6</f>
        <v>707.05924000000005</v>
      </c>
      <c r="J6" s="65">
        <f t="shared" ref="J6:J7" si="0">H6+(H6/12*2)</f>
        <v>165805.39178000001</v>
      </c>
    </row>
    <row r="7" spans="1:15" x14ac:dyDescent="0.25">
      <c r="A7" t="s">
        <v>175</v>
      </c>
      <c r="C7">
        <v>13</v>
      </c>
      <c r="D7">
        <v>71.38</v>
      </c>
      <c r="E7" s="28">
        <v>269095</v>
      </c>
      <c r="G7">
        <v>891</v>
      </c>
      <c r="H7" s="19">
        <f>((D7*12)+(E7*0.00474)+(G7*3.88))*C7</f>
        <v>72658.953900000008</v>
      </c>
      <c r="I7" s="65">
        <f>H7/C7</f>
        <v>5589.1503000000002</v>
      </c>
      <c r="J7" s="65">
        <f t="shared" si="0"/>
        <v>84768.779550000007</v>
      </c>
    </row>
    <row r="8" spans="1:15" x14ac:dyDescent="0.25">
      <c r="A8" t="s">
        <v>176</v>
      </c>
      <c r="C8" s="31">
        <f>SUM(C5:C7)</f>
        <v>779</v>
      </c>
      <c r="D8" s="31"/>
      <c r="E8" s="31"/>
      <c r="F8" s="31"/>
      <c r="G8" s="31"/>
      <c r="H8" s="32">
        <f>SUM(H5:H7)</f>
        <v>482681.17190700007</v>
      </c>
      <c r="I8" s="20" t="s">
        <v>177</v>
      </c>
    </row>
    <row r="9" spans="1:15" x14ac:dyDescent="0.25">
      <c r="A9" t="s">
        <v>178</v>
      </c>
      <c r="H9" s="20">
        <f>H8/12*2</f>
        <v>80446.861984500007</v>
      </c>
      <c r="I9" s="20"/>
    </row>
    <row r="10" spans="1:15" x14ac:dyDescent="0.25">
      <c r="A10" s="33" t="s">
        <v>179</v>
      </c>
      <c r="H10" s="20">
        <v>41940</v>
      </c>
      <c r="I10" s="20"/>
    </row>
    <row r="11" spans="1:15" ht="15.75" thickBot="1" x14ac:dyDescent="0.3">
      <c r="H11" s="34">
        <f>H8+H9+H10</f>
        <v>605068.03389150009</v>
      </c>
      <c r="I11" s="20"/>
    </row>
    <row r="12" spans="1:15" ht="15.75" thickTop="1" x14ac:dyDescent="0.25">
      <c r="A12" t="s">
        <v>180</v>
      </c>
      <c r="F12" s="30"/>
      <c r="H12" s="20">
        <f>Q26</f>
        <v>14118.254124135005</v>
      </c>
      <c r="I12" s="20"/>
    </row>
    <row r="13" spans="1:15" ht="15.75" thickBot="1" x14ac:dyDescent="0.3">
      <c r="A13" t="s">
        <v>181</v>
      </c>
      <c r="H13" s="34">
        <f>H11+H12</f>
        <v>619186.2880156351</v>
      </c>
      <c r="I13" s="20"/>
    </row>
    <row r="14" spans="1:15" ht="15.75" thickTop="1" x14ac:dyDescent="0.25">
      <c r="H14" s="35"/>
      <c r="I14" s="20"/>
    </row>
    <row r="15" spans="1:15" x14ac:dyDescent="0.25">
      <c r="A15" t="s">
        <v>182</v>
      </c>
      <c r="H15" s="36">
        <f>H13/5</f>
        <v>123837.25760312701</v>
      </c>
      <c r="I15" s="20"/>
    </row>
    <row r="16" spans="1:15" x14ac:dyDescent="0.25">
      <c r="H16" s="36"/>
      <c r="I16" s="20"/>
    </row>
    <row r="17" spans="1:17" ht="15.75" thickBot="1" x14ac:dyDescent="0.3">
      <c r="A17" t="s">
        <v>183</v>
      </c>
    </row>
    <row r="18" spans="1:17" x14ac:dyDescent="0.25">
      <c r="A18" s="37" t="s">
        <v>184</v>
      </c>
      <c r="B18" s="38"/>
      <c r="C18" s="38"/>
      <c r="D18" s="38"/>
      <c r="E18" s="38"/>
      <c r="F18" s="38"/>
      <c r="G18" s="38"/>
      <c r="H18" s="38"/>
      <c r="I18" s="38"/>
      <c r="J18" s="38"/>
      <c r="K18" s="38"/>
      <c r="L18" s="38"/>
      <c r="M18" s="38"/>
      <c r="N18" s="38"/>
      <c r="O18" s="38"/>
      <c r="P18" s="38"/>
      <c r="Q18" s="39"/>
    </row>
    <row r="19" spans="1:17" x14ac:dyDescent="0.25">
      <c r="A19" s="40"/>
      <c r="B19" s="41"/>
      <c r="C19" s="42"/>
      <c r="D19" s="42" t="s">
        <v>142</v>
      </c>
      <c r="E19" s="42" t="s">
        <v>143</v>
      </c>
      <c r="F19" s="42" t="s">
        <v>131</v>
      </c>
      <c r="G19" s="42" t="s">
        <v>133</v>
      </c>
      <c r="H19" s="42" t="s">
        <v>134</v>
      </c>
      <c r="I19" s="42" t="s">
        <v>135</v>
      </c>
      <c r="J19" s="42" t="s">
        <v>136</v>
      </c>
      <c r="K19" s="42" t="s">
        <v>137</v>
      </c>
      <c r="L19" s="42" t="s">
        <v>138</v>
      </c>
      <c r="M19" s="42" t="s">
        <v>139</v>
      </c>
      <c r="N19" s="42" t="s">
        <v>140</v>
      </c>
      <c r="O19" s="42" t="s">
        <v>141</v>
      </c>
      <c r="P19" s="42" t="s">
        <v>142</v>
      </c>
      <c r="Q19" s="43" t="s">
        <v>143</v>
      </c>
    </row>
    <row r="20" spans="1:17" x14ac:dyDescent="0.25">
      <c r="A20" s="40"/>
      <c r="B20" s="41"/>
      <c r="C20" s="44"/>
      <c r="D20" s="44">
        <v>2018</v>
      </c>
      <c r="E20" s="44">
        <v>2018</v>
      </c>
      <c r="F20" s="44">
        <v>2019</v>
      </c>
      <c r="G20" s="44">
        <v>2019</v>
      </c>
      <c r="H20" s="44">
        <v>2019</v>
      </c>
      <c r="I20" s="44">
        <v>2019</v>
      </c>
      <c r="J20" s="44">
        <v>2019</v>
      </c>
      <c r="K20" s="44">
        <v>2019</v>
      </c>
      <c r="L20" s="44">
        <v>2019</v>
      </c>
      <c r="M20" s="44">
        <v>2019</v>
      </c>
      <c r="N20" s="44">
        <v>2019</v>
      </c>
      <c r="O20" s="44">
        <v>2019</v>
      </c>
      <c r="P20" s="44">
        <v>2019</v>
      </c>
      <c r="Q20" s="45">
        <v>2019</v>
      </c>
    </row>
    <row r="21" spans="1:17" x14ac:dyDescent="0.25">
      <c r="A21" s="46" t="s">
        <v>185</v>
      </c>
      <c r="B21" s="23"/>
      <c r="C21" s="47"/>
      <c r="D21" s="70">
        <f>$H11/14</f>
        <v>43219.145277964293</v>
      </c>
      <c r="E21" s="47">
        <f t="shared" ref="E21:Q21" si="1">$H11/14</f>
        <v>43219.145277964293</v>
      </c>
      <c r="F21" s="47">
        <f t="shared" si="1"/>
        <v>43219.145277964293</v>
      </c>
      <c r="G21" s="47">
        <f t="shared" si="1"/>
        <v>43219.145277964293</v>
      </c>
      <c r="H21" s="47">
        <f t="shared" si="1"/>
        <v>43219.145277964293</v>
      </c>
      <c r="I21" s="47">
        <f t="shared" si="1"/>
        <v>43219.145277964293</v>
      </c>
      <c r="J21" s="47">
        <f t="shared" si="1"/>
        <v>43219.145277964293</v>
      </c>
      <c r="K21" s="47">
        <f t="shared" si="1"/>
        <v>43219.145277964293</v>
      </c>
      <c r="L21" s="47">
        <f t="shared" si="1"/>
        <v>43219.145277964293</v>
      </c>
      <c r="M21" s="47">
        <f t="shared" si="1"/>
        <v>43219.145277964293</v>
      </c>
      <c r="N21" s="47">
        <f t="shared" si="1"/>
        <v>43219.145277964293</v>
      </c>
      <c r="O21" s="47">
        <f t="shared" si="1"/>
        <v>43219.145277964293</v>
      </c>
      <c r="P21" s="47">
        <f t="shared" si="1"/>
        <v>43219.145277964293</v>
      </c>
      <c r="Q21" s="48">
        <f t="shared" si="1"/>
        <v>43219.145277964293</v>
      </c>
    </row>
    <row r="22" spans="1:17" x14ac:dyDescent="0.25">
      <c r="A22" s="46" t="s">
        <v>186</v>
      </c>
      <c r="B22" s="23"/>
      <c r="C22" s="49"/>
      <c r="D22" s="49">
        <f>D21+C22</f>
        <v>43219.145277964293</v>
      </c>
      <c r="E22" s="49">
        <f t="shared" ref="E22:Q22" si="2">E21+D22</f>
        <v>86438.290555928586</v>
      </c>
      <c r="F22" s="49">
        <f t="shared" si="2"/>
        <v>129657.43583389287</v>
      </c>
      <c r="G22" s="49">
        <f t="shared" si="2"/>
        <v>172876.58111185717</v>
      </c>
      <c r="H22" s="49">
        <f t="shared" si="2"/>
        <v>216095.72638982147</v>
      </c>
      <c r="I22" s="49">
        <f t="shared" si="2"/>
        <v>259314.87166778577</v>
      </c>
      <c r="J22" s="49">
        <f t="shared" si="2"/>
        <v>302534.01694575005</v>
      </c>
      <c r="K22" s="49">
        <f t="shared" si="2"/>
        <v>345753.16222371435</v>
      </c>
      <c r="L22" s="49">
        <f t="shared" si="2"/>
        <v>388972.30750167865</v>
      </c>
      <c r="M22" s="49">
        <f t="shared" si="2"/>
        <v>432191.45277964295</v>
      </c>
      <c r="N22" s="49">
        <f t="shared" si="2"/>
        <v>475410.59805760725</v>
      </c>
      <c r="O22" s="49">
        <f t="shared" si="2"/>
        <v>518629.74333557155</v>
      </c>
      <c r="P22" s="49">
        <f t="shared" si="2"/>
        <v>561848.88861353579</v>
      </c>
      <c r="Q22" s="50">
        <f t="shared" si="2"/>
        <v>605068.03389150009</v>
      </c>
    </row>
    <row r="23" spans="1:17" x14ac:dyDescent="0.25">
      <c r="A23" s="46"/>
      <c r="B23" s="23"/>
      <c r="C23" s="23"/>
      <c r="D23" s="23"/>
      <c r="E23" s="23"/>
      <c r="F23" s="23"/>
      <c r="G23" s="23"/>
      <c r="H23" s="23"/>
      <c r="I23" s="23"/>
      <c r="J23" s="23"/>
      <c r="K23" s="23"/>
      <c r="L23" s="23"/>
      <c r="M23" s="23"/>
      <c r="N23" s="23"/>
      <c r="O23" s="23"/>
      <c r="P23" s="23"/>
      <c r="Q23" s="51"/>
    </row>
    <row r="24" spans="1:17" x14ac:dyDescent="0.25">
      <c r="A24" s="52" t="s">
        <v>187</v>
      </c>
      <c r="B24" s="53"/>
      <c r="C24" s="54"/>
      <c r="D24" s="54">
        <f>(D22+C22)/2</f>
        <v>21609.572638982147</v>
      </c>
      <c r="E24" s="54">
        <f t="shared" ref="E24:Q24" si="3">(E22+D22)/2</f>
        <v>64828.717916946436</v>
      </c>
      <c r="F24" s="54">
        <f t="shared" si="3"/>
        <v>108047.86319491072</v>
      </c>
      <c r="G24" s="54">
        <f t="shared" si="3"/>
        <v>151267.00847287502</v>
      </c>
      <c r="H24" s="54">
        <f t="shared" si="3"/>
        <v>194486.15375083932</v>
      </c>
      <c r="I24" s="54">
        <f t="shared" si="3"/>
        <v>237705.29902880362</v>
      </c>
      <c r="J24" s="54">
        <f t="shared" si="3"/>
        <v>280924.44430676789</v>
      </c>
      <c r="K24" s="54">
        <f t="shared" si="3"/>
        <v>324143.5895847322</v>
      </c>
      <c r="L24" s="54">
        <f t="shared" si="3"/>
        <v>367362.7348626965</v>
      </c>
      <c r="M24" s="54">
        <f t="shared" si="3"/>
        <v>410581.8801406608</v>
      </c>
      <c r="N24" s="54">
        <f t="shared" si="3"/>
        <v>453801.0254186251</v>
      </c>
      <c r="O24" s="54">
        <f t="shared" si="3"/>
        <v>497020.1706965894</v>
      </c>
      <c r="P24" s="54">
        <f t="shared" si="3"/>
        <v>540239.3159745537</v>
      </c>
      <c r="Q24" s="55">
        <f t="shared" si="3"/>
        <v>583458.461252518</v>
      </c>
    </row>
    <row r="25" spans="1:17" x14ac:dyDescent="0.25">
      <c r="A25" s="56" t="s">
        <v>188</v>
      </c>
      <c r="B25" s="57">
        <v>0.04</v>
      </c>
      <c r="C25" s="58"/>
      <c r="D25" s="58">
        <f>D24*($B$25/12)</f>
        <v>72.031908796607155</v>
      </c>
      <c r="E25" s="58">
        <f t="shared" ref="E25:Q25" si="4">E24*($B$25/12)</f>
        <v>216.09572638982146</v>
      </c>
      <c r="F25" s="58">
        <f t="shared" si="4"/>
        <v>360.15954398303575</v>
      </c>
      <c r="G25" s="58">
        <f t="shared" si="4"/>
        <v>504.22336157625011</v>
      </c>
      <c r="H25" s="58">
        <f t="shared" si="4"/>
        <v>648.28717916946448</v>
      </c>
      <c r="I25" s="58">
        <f t="shared" si="4"/>
        <v>792.35099676267885</v>
      </c>
      <c r="J25" s="58">
        <f t="shared" si="4"/>
        <v>936.4148143558931</v>
      </c>
      <c r="K25" s="58">
        <f t="shared" si="4"/>
        <v>1080.4786319491075</v>
      </c>
      <c r="L25" s="58">
        <f t="shared" si="4"/>
        <v>1224.5424495423217</v>
      </c>
      <c r="M25" s="58">
        <f t="shared" si="4"/>
        <v>1368.606267135536</v>
      </c>
      <c r="N25" s="58">
        <f t="shared" si="4"/>
        <v>1512.6700847287505</v>
      </c>
      <c r="O25" s="58">
        <f t="shared" si="4"/>
        <v>1656.7339023219647</v>
      </c>
      <c r="P25" s="58">
        <f t="shared" si="4"/>
        <v>1800.7977199151792</v>
      </c>
      <c r="Q25" s="59">
        <f t="shared" si="4"/>
        <v>1944.8615375083934</v>
      </c>
    </row>
    <row r="26" spans="1:17" ht="15.75" thickBot="1" x14ac:dyDescent="0.3">
      <c r="A26" s="60" t="s">
        <v>189</v>
      </c>
      <c r="B26" s="61"/>
      <c r="C26" s="62"/>
      <c r="D26" s="62">
        <f>D25</f>
        <v>72.031908796607155</v>
      </c>
      <c r="E26" s="62">
        <f>E25+D26</f>
        <v>288.12763518642862</v>
      </c>
      <c r="F26" s="62">
        <f t="shared" ref="F26:Q26" si="5">F25+E26</f>
        <v>648.28717916946437</v>
      </c>
      <c r="G26" s="62">
        <f t="shared" si="5"/>
        <v>1152.5105407457145</v>
      </c>
      <c r="H26" s="62">
        <f t="shared" si="5"/>
        <v>1800.797719915179</v>
      </c>
      <c r="I26" s="62">
        <f t="shared" si="5"/>
        <v>2593.1487166778579</v>
      </c>
      <c r="J26" s="62">
        <f t="shared" si="5"/>
        <v>3529.5635310337511</v>
      </c>
      <c r="K26" s="62">
        <f t="shared" si="5"/>
        <v>4610.0421629828588</v>
      </c>
      <c r="L26" s="62">
        <f t="shared" si="5"/>
        <v>5834.584612525181</v>
      </c>
      <c r="M26" s="62">
        <f t="shared" si="5"/>
        <v>7203.1908796607167</v>
      </c>
      <c r="N26" s="62">
        <f t="shared" si="5"/>
        <v>8715.860964389467</v>
      </c>
      <c r="O26" s="62">
        <f t="shared" si="5"/>
        <v>10372.594866711432</v>
      </c>
      <c r="P26" s="62">
        <f t="shared" si="5"/>
        <v>12173.392586626611</v>
      </c>
      <c r="Q26" s="63">
        <f t="shared" si="5"/>
        <v>14118.254124135005</v>
      </c>
    </row>
    <row r="28" spans="1:17" x14ac:dyDescent="0.25">
      <c r="A28" s="223" t="s">
        <v>190</v>
      </c>
      <c r="B28" s="223"/>
      <c r="C28" s="223"/>
      <c r="D28" s="223"/>
      <c r="E28" s="223"/>
      <c r="F28" s="223"/>
      <c r="G28" s="223"/>
      <c r="H28" s="223"/>
      <c r="I28" s="223"/>
      <c r="J28" s="223"/>
    </row>
    <row r="29" spans="1:17" x14ac:dyDescent="0.25">
      <c r="A29" s="223"/>
      <c r="B29" s="223"/>
      <c r="C29" s="223"/>
      <c r="D29" s="223"/>
      <c r="E29" s="223"/>
      <c r="F29" s="223"/>
      <c r="G29" s="223"/>
      <c r="H29" s="223"/>
      <c r="I29" s="223"/>
      <c r="J29" s="223"/>
    </row>
    <row r="30" spans="1:17" x14ac:dyDescent="0.25">
      <c r="A30" s="223"/>
      <c r="B30" s="223"/>
      <c r="C30" s="223"/>
      <c r="D30" s="223"/>
      <c r="E30" s="223"/>
      <c r="F30" s="223"/>
      <c r="G30" s="223"/>
      <c r="H30" s="223"/>
      <c r="I30" s="223"/>
      <c r="J30" s="223"/>
    </row>
    <row r="31" spans="1:17" hidden="1" x14ac:dyDescent="0.25">
      <c r="A31" s="223"/>
      <c r="B31" s="223"/>
      <c r="C31" s="223"/>
      <c r="D31" s="223"/>
      <c r="E31" s="223"/>
      <c r="F31" s="223"/>
      <c r="G31" s="223"/>
      <c r="H31" s="223"/>
      <c r="I31" s="223"/>
      <c r="J31" s="223"/>
    </row>
    <row r="32" spans="1:17" x14ac:dyDescent="0.25">
      <c r="A32" s="69"/>
      <c r="B32" s="69"/>
      <c r="C32" s="42" t="s">
        <v>191</v>
      </c>
      <c r="D32" s="42" t="s">
        <v>192</v>
      </c>
      <c r="E32" s="42" t="s">
        <v>193</v>
      </c>
      <c r="F32" s="42" t="s">
        <v>194</v>
      </c>
      <c r="G32" s="42" t="s">
        <v>195</v>
      </c>
      <c r="H32" s="42" t="s">
        <v>196</v>
      </c>
      <c r="I32" s="42" t="s">
        <v>197</v>
      </c>
      <c r="J32" s="42" t="s">
        <v>198</v>
      </c>
      <c r="K32" s="42" t="s">
        <v>199</v>
      </c>
      <c r="L32" s="42" t="s">
        <v>200</v>
      </c>
      <c r="M32" s="42" t="s">
        <v>201</v>
      </c>
      <c r="N32" s="42" t="s">
        <v>202</v>
      </c>
      <c r="O32" s="42" t="s">
        <v>203</v>
      </c>
      <c r="P32" s="42" t="s">
        <v>204</v>
      </c>
    </row>
    <row r="33" spans="1:16" s="19" customFormat="1" x14ac:dyDescent="0.25">
      <c r="A33" s="64" t="s">
        <v>205</v>
      </c>
      <c r="C33" s="19">
        <f>H13</f>
        <v>619186.2880156351</v>
      </c>
      <c r="D33" s="19">
        <f>C33-($H$15/12)</f>
        <v>608866.51654870785</v>
      </c>
      <c r="E33" s="19">
        <f t="shared" ref="E33:O33" si="6">D33-($H$15/12)</f>
        <v>598546.74508178059</v>
      </c>
      <c r="F33" s="19">
        <f t="shared" si="6"/>
        <v>588226.97361485334</v>
      </c>
      <c r="G33" s="19">
        <f t="shared" si="6"/>
        <v>577907.20214792609</v>
      </c>
      <c r="H33" s="19">
        <f t="shared" si="6"/>
        <v>567587.43068099883</v>
      </c>
      <c r="I33" s="19">
        <f t="shared" si="6"/>
        <v>557267.65921407158</v>
      </c>
      <c r="J33" s="19">
        <f t="shared" si="6"/>
        <v>546947.88774714433</v>
      </c>
      <c r="K33" s="19">
        <f t="shared" si="6"/>
        <v>536628.11628021707</v>
      </c>
      <c r="L33" s="19">
        <f t="shared" si="6"/>
        <v>526308.34481328982</v>
      </c>
      <c r="M33" s="19">
        <f t="shared" si="6"/>
        <v>515988.57334636257</v>
      </c>
      <c r="N33" s="19">
        <f t="shared" si="6"/>
        <v>505668.80187943531</v>
      </c>
      <c r="O33" s="19">
        <f t="shared" si="6"/>
        <v>495349.03041250806</v>
      </c>
      <c r="P33" s="19">
        <f>SUM(C33:O33)/13</f>
        <v>557267.6592140717</v>
      </c>
    </row>
  </sheetData>
  <mergeCells count="1">
    <mergeCell ref="A28:J3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E14" sqref="E14"/>
    </sheetView>
  </sheetViews>
  <sheetFormatPr defaultRowHeight="15" x14ac:dyDescent="0.25"/>
  <cols>
    <col min="1" max="1" width="51.5703125" bestFit="1" customWidth="1"/>
    <col min="2" max="2" width="3.5703125" bestFit="1" customWidth="1"/>
    <col min="3" max="3" width="12.85546875" bestFit="1" customWidth="1"/>
    <col min="4" max="4" width="10.85546875" bestFit="1" customWidth="1"/>
    <col min="5" max="5" width="11.7109375" bestFit="1" customWidth="1"/>
    <col min="6" max="11" width="10" bestFit="1" customWidth="1"/>
    <col min="12" max="12" width="13.7109375" bestFit="1" customWidth="1"/>
    <col min="13" max="13" width="21.42578125" bestFit="1" customWidth="1"/>
    <col min="14" max="14" width="12.85546875" bestFit="1" customWidth="1"/>
    <col min="15" max="15" width="14.5703125" bestFit="1" customWidth="1"/>
    <col min="16" max="16" width="13.85546875" bestFit="1" customWidth="1"/>
    <col min="17" max="17" width="10.28515625" bestFit="1" customWidth="1"/>
  </cols>
  <sheetData>
    <row r="1" spans="1:17" ht="18" x14ac:dyDescent="0.25">
      <c r="A1" s="190" t="s">
        <v>163</v>
      </c>
      <c r="B1" s="33"/>
      <c r="C1" s="33"/>
      <c r="D1" s="33"/>
      <c r="E1" s="33"/>
      <c r="F1" s="33"/>
      <c r="G1" s="33"/>
      <c r="H1" s="33"/>
      <c r="I1" s="33"/>
      <c r="J1" s="33"/>
      <c r="K1" s="33"/>
      <c r="L1" s="33"/>
      <c r="M1" s="191" t="s">
        <v>164</v>
      </c>
      <c r="N1" s="33"/>
      <c r="O1" s="33"/>
      <c r="P1" s="33"/>
      <c r="Q1" s="33"/>
    </row>
    <row r="2" spans="1:17" ht="18" x14ac:dyDescent="0.25">
      <c r="A2" s="190" t="s">
        <v>165</v>
      </c>
      <c r="B2" s="33"/>
      <c r="C2" s="33"/>
      <c r="D2" s="33"/>
      <c r="E2" s="33"/>
      <c r="F2" s="33"/>
      <c r="G2" s="33"/>
      <c r="H2" s="33"/>
      <c r="I2" s="33"/>
      <c r="J2" s="33"/>
      <c r="K2" s="33"/>
      <c r="L2" s="33"/>
      <c r="M2" s="192" t="s">
        <v>166</v>
      </c>
      <c r="N2" s="33"/>
      <c r="O2" s="192" t="s">
        <v>294</v>
      </c>
      <c r="P2" s="33"/>
      <c r="Q2" s="33"/>
    </row>
    <row r="3" spans="1:17" ht="18" x14ac:dyDescent="0.25">
      <c r="A3" s="190" t="s">
        <v>167</v>
      </c>
      <c r="B3" s="33"/>
      <c r="C3" s="33"/>
      <c r="D3" s="33"/>
      <c r="E3" s="33"/>
      <c r="F3" s="33"/>
      <c r="G3" s="33"/>
      <c r="H3" s="33"/>
      <c r="I3" s="33"/>
      <c r="J3" s="33"/>
      <c r="K3" s="33"/>
      <c r="L3" s="33"/>
      <c r="M3" s="33"/>
      <c r="N3" s="33"/>
      <c r="O3" s="33"/>
      <c r="P3" s="33"/>
      <c r="Q3" s="33"/>
    </row>
    <row r="4" spans="1:17" ht="75" x14ac:dyDescent="0.25">
      <c r="A4" s="33"/>
      <c r="B4" s="33"/>
      <c r="C4" s="193"/>
      <c r="D4" s="193" t="s">
        <v>169</v>
      </c>
      <c r="E4" s="193" t="s">
        <v>170</v>
      </c>
      <c r="F4" s="193" t="s">
        <v>171</v>
      </c>
      <c r="G4" s="193" t="s">
        <v>172</v>
      </c>
      <c r="H4" s="194"/>
      <c r="I4" s="194"/>
      <c r="J4" s="33"/>
      <c r="K4" s="33"/>
      <c r="L4" s="33"/>
      <c r="M4" s="33"/>
      <c r="N4" s="33"/>
      <c r="O4" s="33"/>
      <c r="P4" s="33"/>
      <c r="Q4" s="33"/>
    </row>
    <row r="5" spans="1:17" x14ac:dyDescent="0.25">
      <c r="A5" s="33" t="s">
        <v>149</v>
      </c>
      <c r="B5" s="33"/>
      <c r="C5" s="33"/>
      <c r="D5" s="33">
        <v>14.69</v>
      </c>
      <c r="E5" s="195">
        <v>8730</v>
      </c>
      <c r="F5" s="195">
        <v>7991</v>
      </c>
      <c r="G5" s="33"/>
      <c r="H5" s="58"/>
      <c r="I5" s="54"/>
      <c r="J5" s="33"/>
      <c r="K5" s="33"/>
      <c r="L5" s="196"/>
      <c r="M5" s="33"/>
      <c r="N5" s="196"/>
      <c r="O5" s="197"/>
      <c r="P5" s="33"/>
      <c r="Q5" s="33"/>
    </row>
    <row r="6" spans="1:17" x14ac:dyDescent="0.25">
      <c r="A6" s="33" t="s">
        <v>151</v>
      </c>
      <c r="B6" s="33"/>
      <c r="C6" s="33"/>
      <c r="D6" s="33">
        <v>24.14</v>
      </c>
      <c r="E6" s="195">
        <v>16589</v>
      </c>
      <c r="F6" s="33"/>
      <c r="G6" s="33"/>
      <c r="H6" s="58"/>
      <c r="I6" s="54"/>
      <c r="J6" s="33"/>
      <c r="K6" s="33"/>
      <c r="L6" s="33"/>
      <c r="M6" s="33"/>
      <c r="N6" s="33"/>
      <c r="O6" s="33"/>
      <c r="P6" s="33"/>
      <c r="Q6" s="33"/>
    </row>
    <row r="7" spans="1:17" x14ac:dyDescent="0.25">
      <c r="A7" s="33" t="s">
        <v>175</v>
      </c>
      <c r="B7" s="33"/>
      <c r="C7" s="33"/>
      <c r="D7" s="33">
        <v>71.38</v>
      </c>
      <c r="E7" s="195">
        <v>269095</v>
      </c>
      <c r="F7" s="33"/>
      <c r="G7" s="33">
        <v>891</v>
      </c>
      <c r="H7" s="58"/>
      <c r="I7" s="54"/>
      <c r="J7" s="33"/>
      <c r="K7" s="33"/>
      <c r="L7" s="33"/>
      <c r="M7" s="33"/>
      <c r="N7" s="33"/>
      <c r="O7" s="33"/>
      <c r="P7" s="33"/>
      <c r="Q7" s="33"/>
    </row>
    <row r="8" spans="1:17" x14ac:dyDescent="0.25">
      <c r="A8" s="33" t="s">
        <v>291</v>
      </c>
      <c r="B8" s="33"/>
      <c r="C8" s="33"/>
      <c r="D8" s="33"/>
      <c r="E8" s="195"/>
      <c r="F8" s="33"/>
      <c r="G8" s="33"/>
      <c r="H8" s="198">
        <f>Q20+Q24</f>
        <v>504448.08749286161</v>
      </c>
      <c r="I8" s="54"/>
      <c r="J8" s="33"/>
      <c r="K8" s="33"/>
      <c r="L8" s="33"/>
      <c r="M8" s="33"/>
      <c r="N8" s="33"/>
      <c r="O8" s="33"/>
      <c r="P8" s="33"/>
      <c r="Q8" s="33"/>
    </row>
    <row r="9" spans="1:17" x14ac:dyDescent="0.25">
      <c r="A9" s="33" t="s">
        <v>182</v>
      </c>
      <c r="B9" s="33"/>
      <c r="C9" s="33"/>
      <c r="D9" s="33"/>
      <c r="E9" s="33"/>
      <c r="F9" s="33"/>
      <c r="G9" s="33"/>
      <c r="H9" s="199">
        <f>H8/5</f>
        <v>100889.61749857232</v>
      </c>
      <c r="I9" s="200"/>
      <c r="J9" s="33"/>
      <c r="K9" s="33"/>
      <c r="L9" s="33"/>
      <c r="M9" s="33"/>
      <c r="N9" s="33"/>
      <c r="O9" s="33"/>
      <c r="P9" s="33"/>
      <c r="Q9" s="33"/>
    </row>
    <row r="10" spans="1:17" ht="15.75" thickBot="1" x14ac:dyDescent="0.3">
      <c r="A10" s="33"/>
      <c r="B10" s="33"/>
      <c r="C10" s="33"/>
      <c r="D10" s="33"/>
      <c r="E10" s="33"/>
      <c r="F10" s="33"/>
      <c r="G10" s="33"/>
      <c r="H10" s="199"/>
      <c r="I10" s="200"/>
      <c r="J10" s="33"/>
      <c r="K10" s="33"/>
      <c r="L10" s="33"/>
      <c r="M10" s="33"/>
      <c r="N10" s="33"/>
      <c r="O10" s="33"/>
      <c r="P10" s="33"/>
      <c r="Q10" s="33"/>
    </row>
    <row r="11" spans="1:17" x14ac:dyDescent="0.25">
      <c r="A11" s="201" t="s">
        <v>184</v>
      </c>
      <c r="B11" s="202"/>
      <c r="C11" s="202"/>
      <c r="D11" s="42" t="s">
        <v>142</v>
      </c>
      <c r="E11" s="42" t="s">
        <v>143</v>
      </c>
      <c r="F11" s="42" t="s">
        <v>131</v>
      </c>
      <c r="G11" s="42" t="s">
        <v>133</v>
      </c>
      <c r="H11" s="42" t="s">
        <v>134</v>
      </c>
      <c r="I11" s="42" t="s">
        <v>135</v>
      </c>
      <c r="J11" s="42" t="s">
        <v>136</v>
      </c>
      <c r="K11" s="42" t="s">
        <v>137</v>
      </c>
      <c r="L11" s="42" t="s">
        <v>138</v>
      </c>
      <c r="M11" s="42" t="s">
        <v>139</v>
      </c>
      <c r="N11" s="42" t="s">
        <v>140</v>
      </c>
      <c r="O11" s="42" t="s">
        <v>141</v>
      </c>
      <c r="P11" s="42" t="s">
        <v>142</v>
      </c>
      <c r="Q11" s="42" t="s">
        <v>143</v>
      </c>
    </row>
    <row r="12" spans="1:17" x14ac:dyDescent="0.25">
      <c r="A12" s="203" t="s">
        <v>292</v>
      </c>
      <c r="B12" s="204"/>
      <c r="C12" s="204"/>
      <c r="D12" s="44">
        <v>2018</v>
      </c>
      <c r="E12" s="44">
        <v>2018</v>
      </c>
      <c r="F12" s="44">
        <v>2019</v>
      </c>
      <c r="G12" s="44">
        <v>2019</v>
      </c>
      <c r="H12" s="44">
        <v>2019</v>
      </c>
      <c r="I12" s="44">
        <v>2019</v>
      </c>
      <c r="J12" s="44">
        <v>2019</v>
      </c>
      <c r="K12" s="44">
        <v>2019</v>
      </c>
      <c r="L12" s="44">
        <v>2019</v>
      </c>
      <c r="M12" s="44">
        <v>2019</v>
      </c>
      <c r="N12" s="44">
        <v>2019</v>
      </c>
      <c r="O12" s="44">
        <v>2019</v>
      </c>
      <c r="P12" s="44">
        <v>2019</v>
      </c>
      <c r="Q12" s="44">
        <v>2019</v>
      </c>
    </row>
    <row r="13" spans="1:17" x14ac:dyDescent="0.25">
      <c r="A13" s="33" t="s">
        <v>149</v>
      </c>
      <c r="B13" s="204"/>
      <c r="C13" s="204"/>
      <c r="D13" s="33">
        <v>552</v>
      </c>
      <c r="E13" s="33">
        <v>552</v>
      </c>
      <c r="F13" s="33">
        <v>552</v>
      </c>
      <c r="G13" s="33">
        <v>541</v>
      </c>
      <c r="H13" s="33">
        <v>516</v>
      </c>
      <c r="I13" s="33">
        <v>488</v>
      </c>
      <c r="J13" s="33">
        <v>468</v>
      </c>
      <c r="K13" s="33">
        <v>457</v>
      </c>
      <c r="L13" s="33">
        <v>438</v>
      </c>
      <c r="M13" s="33">
        <v>427</v>
      </c>
      <c r="N13" s="33">
        <v>405</v>
      </c>
      <c r="O13" s="33">
        <v>396</v>
      </c>
      <c r="P13" s="33">
        <v>388</v>
      </c>
      <c r="Q13" s="33">
        <v>380</v>
      </c>
    </row>
    <row r="14" spans="1:17" x14ac:dyDescent="0.25">
      <c r="A14" s="33" t="s">
        <v>151</v>
      </c>
      <c r="B14" s="204"/>
      <c r="C14" s="204"/>
      <c r="D14" s="33">
        <v>198</v>
      </c>
      <c r="E14" s="33">
        <v>198</v>
      </c>
      <c r="F14" s="33">
        <v>198</v>
      </c>
      <c r="G14" s="33">
        <v>194</v>
      </c>
      <c r="H14" s="33">
        <v>192</v>
      </c>
      <c r="I14" s="33">
        <v>183</v>
      </c>
      <c r="J14" s="33">
        <v>182</v>
      </c>
      <c r="K14" s="33">
        <v>180</v>
      </c>
      <c r="L14" s="33">
        <v>175</v>
      </c>
      <c r="M14" s="33">
        <v>174</v>
      </c>
      <c r="N14" s="33">
        <v>167</v>
      </c>
      <c r="O14" s="33">
        <v>165</v>
      </c>
      <c r="P14" s="33">
        <v>163</v>
      </c>
      <c r="Q14" s="33">
        <v>161</v>
      </c>
    </row>
    <row r="15" spans="1:17" x14ac:dyDescent="0.25">
      <c r="A15" s="33" t="s">
        <v>152</v>
      </c>
      <c r="B15" s="204"/>
      <c r="C15" s="204"/>
      <c r="D15" s="33">
        <v>12</v>
      </c>
      <c r="E15" s="33">
        <v>12</v>
      </c>
      <c r="F15" s="33">
        <v>12</v>
      </c>
      <c r="G15" s="33">
        <v>12</v>
      </c>
      <c r="H15" s="33">
        <v>10</v>
      </c>
      <c r="I15" s="33">
        <v>9</v>
      </c>
      <c r="J15" s="33">
        <v>9</v>
      </c>
      <c r="K15" s="33">
        <v>9</v>
      </c>
      <c r="L15" s="33">
        <v>9</v>
      </c>
      <c r="M15" s="33">
        <v>7</v>
      </c>
      <c r="N15" s="33">
        <v>5</v>
      </c>
      <c r="O15" s="33">
        <v>5</v>
      </c>
      <c r="P15" s="33">
        <v>5</v>
      </c>
      <c r="Q15" s="33">
        <v>5</v>
      </c>
    </row>
    <row r="16" spans="1:17" ht="15.75" thickBot="1" x14ac:dyDescent="0.3">
      <c r="A16" s="203"/>
      <c r="B16" s="204"/>
      <c r="C16" s="204"/>
      <c r="D16" s="205">
        <v>762</v>
      </c>
      <c r="E16" s="205">
        <v>762</v>
      </c>
      <c r="F16" s="205">
        <v>762</v>
      </c>
      <c r="G16" s="205">
        <v>747</v>
      </c>
      <c r="H16" s="205">
        <v>718</v>
      </c>
      <c r="I16" s="205">
        <v>680</v>
      </c>
      <c r="J16" s="205">
        <v>659</v>
      </c>
      <c r="K16" s="205">
        <v>646</v>
      </c>
      <c r="L16" s="205">
        <v>622</v>
      </c>
      <c r="M16" s="205">
        <v>608</v>
      </c>
      <c r="N16" s="205">
        <v>577</v>
      </c>
      <c r="O16" s="205">
        <v>566</v>
      </c>
      <c r="P16" s="205">
        <v>556</v>
      </c>
      <c r="Q16" s="205">
        <v>546</v>
      </c>
    </row>
    <row r="17" spans="1:17" ht="15.75" thickTop="1" x14ac:dyDescent="0.25">
      <c r="A17" s="206"/>
      <c r="B17" s="44"/>
      <c r="C17" s="42"/>
      <c r="D17" s="33"/>
      <c r="E17" s="33"/>
      <c r="F17" s="33"/>
      <c r="G17" s="33"/>
      <c r="H17" s="33"/>
      <c r="I17" s="33"/>
      <c r="J17" s="33"/>
      <c r="K17" s="33"/>
      <c r="L17" s="33"/>
      <c r="M17" s="33"/>
      <c r="N17" s="33"/>
      <c r="O17" s="33"/>
      <c r="P17" s="33"/>
      <c r="Q17" s="33"/>
    </row>
    <row r="18" spans="1:17" x14ac:dyDescent="0.25">
      <c r="A18" s="206"/>
      <c r="B18" s="44"/>
      <c r="C18" s="44"/>
      <c r="D18" s="33"/>
      <c r="E18" s="33"/>
      <c r="F18" s="33"/>
      <c r="G18" s="33"/>
      <c r="H18" s="33"/>
      <c r="I18" s="33"/>
      <c r="J18" s="33"/>
      <c r="K18" s="33"/>
      <c r="L18" s="33"/>
      <c r="M18" s="33"/>
      <c r="N18" s="33"/>
      <c r="O18" s="33"/>
      <c r="P18" s="33"/>
      <c r="Q18" s="33"/>
    </row>
    <row r="19" spans="1:17" ht="30.75" thickBot="1" x14ac:dyDescent="0.3">
      <c r="A19" s="207" t="s">
        <v>293</v>
      </c>
      <c r="B19" s="208"/>
      <c r="C19" s="209"/>
      <c r="D19" s="210">
        <v>39067.224742800005</v>
      </c>
      <c r="E19" s="210">
        <v>39067.224742800005</v>
      </c>
      <c r="F19" s="210">
        <v>39067.224742800005</v>
      </c>
      <c r="G19" s="210">
        <v>38396.886940316668</v>
      </c>
      <c r="H19" s="210">
        <v>36359.6746174</v>
      </c>
      <c r="I19" s="210">
        <v>35709.817820499993</v>
      </c>
      <c r="J19" s="210">
        <v>34827.578375083336</v>
      </c>
      <c r="K19" s="210">
        <v>34253.833441374998</v>
      </c>
      <c r="L19" s="210">
        <v>33168.479335916672</v>
      </c>
      <c r="M19" s="210">
        <v>31655.409494291664</v>
      </c>
      <c r="N19" s="210">
        <v>29324.420267291665</v>
      </c>
      <c r="O19" s="210">
        <v>28832.794916833333</v>
      </c>
      <c r="P19" s="210">
        <v>28382.229358000001</v>
      </c>
      <c r="Q19" s="210">
        <f>27931.6637991667+16519</f>
        <v>44450.663799166701</v>
      </c>
    </row>
    <row r="20" spans="1:17" ht="15.75" thickTop="1" x14ac:dyDescent="0.25">
      <c r="A20" s="56" t="s">
        <v>186</v>
      </c>
      <c r="B20" s="204"/>
      <c r="C20" s="54"/>
      <c r="D20" s="211">
        <f>D19+C20</f>
        <v>39067.224742800005</v>
      </c>
      <c r="E20" s="211">
        <f t="shared" ref="E20:Q20" si="0">E19+D20</f>
        <v>78134.449485600009</v>
      </c>
      <c r="F20" s="211">
        <f t="shared" si="0"/>
        <v>117201.67422840002</v>
      </c>
      <c r="G20" s="211">
        <f t="shared" si="0"/>
        <v>155598.5611687167</v>
      </c>
      <c r="H20" s="211">
        <f t="shared" si="0"/>
        <v>191958.23578611668</v>
      </c>
      <c r="I20" s="211">
        <f t="shared" si="0"/>
        <v>227668.05360661668</v>
      </c>
      <c r="J20" s="211">
        <f t="shared" si="0"/>
        <v>262495.63198170002</v>
      </c>
      <c r="K20" s="211">
        <f t="shared" si="0"/>
        <v>296749.46542307502</v>
      </c>
      <c r="L20" s="211">
        <f t="shared" si="0"/>
        <v>329917.94475899171</v>
      </c>
      <c r="M20" s="211">
        <f t="shared" si="0"/>
        <v>361573.35425328335</v>
      </c>
      <c r="N20" s="211">
        <f t="shared" si="0"/>
        <v>390897.77452057501</v>
      </c>
      <c r="O20" s="211">
        <f t="shared" si="0"/>
        <v>419730.56943740835</v>
      </c>
      <c r="P20" s="211">
        <f t="shared" si="0"/>
        <v>448112.79879540834</v>
      </c>
      <c r="Q20" s="212">
        <f t="shared" si="0"/>
        <v>492563.46259457502</v>
      </c>
    </row>
    <row r="21" spans="1:17" x14ac:dyDescent="0.25">
      <c r="A21" s="56"/>
      <c r="B21" s="204"/>
      <c r="C21" s="204"/>
      <c r="D21" s="204"/>
      <c r="E21" s="204"/>
      <c r="F21" s="204"/>
      <c r="G21" s="204"/>
      <c r="H21" s="204"/>
      <c r="I21" s="204"/>
      <c r="J21" s="204"/>
      <c r="K21" s="204"/>
      <c r="L21" s="204"/>
      <c r="M21" s="204"/>
      <c r="N21" s="204"/>
      <c r="O21" s="204"/>
      <c r="P21" s="204"/>
      <c r="Q21" s="213"/>
    </row>
    <row r="22" spans="1:17" x14ac:dyDescent="0.25">
      <c r="A22" s="52" t="s">
        <v>187</v>
      </c>
      <c r="B22" s="53"/>
      <c r="C22" s="54"/>
      <c r="D22" s="54">
        <f>(D20+C20)/2</f>
        <v>19533.612371400002</v>
      </c>
      <c r="E22" s="54">
        <f t="shared" ref="E22:Q22" si="1">(E20+D20)/2</f>
        <v>58600.837114200011</v>
      </c>
      <c r="F22" s="54">
        <f t="shared" si="1"/>
        <v>97668.061857000022</v>
      </c>
      <c r="G22" s="54">
        <f t="shared" si="1"/>
        <v>136400.11769855837</v>
      </c>
      <c r="H22" s="54">
        <f t="shared" si="1"/>
        <v>173778.39847741669</v>
      </c>
      <c r="I22" s="54">
        <f t="shared" si="1"/>
        <v>209813.14469636668</v>
      </c>
      <c r="J22" s="54">
        <f t="shared" si="1"/>
        <v>245081.84279415835</v>
      </c>
      <c r="K22" s="54">
        <f t="shared" si="1"/>
        <v>279622.54870238749</v>
      </c>
      <c r="L22" s="54">
        <f t="shared" si="1"/>
        <v>313333.70509103336</v>
      </c>
      <c r="M22" s="54">
        <f t="shared" si="1"/>
        <v>345745.64950613753</v>
      </c>
      <c r="N22" s="54">
        <f t="shared" si="1"/>
        <v>376235.56438692915</v>
      </c>
      <c r="O22" s="54">
        <f t="shared" si="1"/>
        <v>405314.17197899171</v>
      </c>
      <c r="P22" s="54">
        <f t="shared" si="1"/>
        <v>433921.68411640835</v>
      </c>
      <c r="Q22" s="55">
        <f t="shared" si="1"/>
        <v>470338.13069499168</v>
      </c>
    </row>
    <row r="23" spans="1:17" x14ac:dyDescent="0.25">
      <c r="A23" s="56" t="s">
        <v>188</v>
      </c>
      <c r="B23" s="57">
        <v>0.04</v>
      </c>
      <c r="C23" s="58"/>
      <c r="D23" s="58">
        <f t="shared" ref="D23:Q23" si="2">D22*($B$23/12)</f>
        <v>65.112041238000018</v>
      </c>
      <c r="E23" s="58">
        <f t="shared" si="2"/>
        <v>195.33612371400005</v>
      </c>
      <c r="F23" s="58">
        <f t="shared" si="2"/>
        <v>325.56020619000009</v>
      </c>
      <c r="G23" s="58">
        <f t="shared" si="2"/>
        <v>454.66705899519462</v>
      </c>
      <c r="H23" s="58">
        <f t="shared" si="2"/>
        <v>579.26132825805564</v>
      </c>
      <c r="I23" s="58">
        <f t="shared" si="2"/>
        <v>699.37714898788897</v>
      </c>
      <c r="J23" s="58">
        <f t="shared" si="2"/>
        <v>816.93947598052785</v>
      </c>
      <c r="K23" s="58">
        <f t="shared" si="2"/>
        <v>932.07516234129173</v>
      </c>
      <c r="L23" s="58">
        <f t="shared" si="2"/>
        <v>1044.4456836367779</v>
      </c>
      <c r="M23" s="58">
        <f t="shared" si="2"/>
        <v>1152.4854983537919</v>
      </c>
      <c r="N23" s="58">
        <f t="shared" si="2"/>
        <v>1254.1185479564306</v>
      </c>
      <c r="O23" s="58">
        <f t="shared" si="2"/>
        <v>1351.0472399299724</v>
      </c>
      <c r="P23" s="58">
        <f t="shared" si="2"/>
        <v>1446.4056137213613</v>
      </c>
      <c r="Q23" s="59">
        <f t="shared" si="2"/>
        <v>1567.7937689833057</v>
      </c>
    </row>
    <row r="24" spans="1:17" ht="15.75" thickBot="1" x14ac:dyDescent="0.3">
      <c r="A24" s="60" t="s">
        <v>189</v>
      </c>
      <c r="B24" s="61"/>
      <c r="C24" s="62"/>
      <c r="D24" s="62">
        <f>D23</f>
        <v>65.112041238000018</v>
      </c>
      <c r="E24" s="62">
        <f>E23+D24</f>
        <v>260.44816495200007</v>
      </c>
      <c r="F24" s="62">
        <f t="shared" ref="F24:Q24" si="3">F23+E24</f>
        <v>586.00837114200021</v>
      </c>
      <c r="G24" s="62">
        <f t="shared" si="3"/>
        <v>1040.6754301371948</v>
      </c>
      <c r="H24" s="62">
        <f t="shared" si="3"/>
        <v>1619.9367583952503</v>
      </c>
      <c r="I24" s="62">
        <f t="shared" si="3"/>
        <v>2319.3139073831394</v>
      </c>
      <c r="J24" s="62">
        <f t="shared" si="3"/>
        <v>3136.2533833636671</v>
      </c>
      <c r="K24" s="62">
        <f t="shared" si="3"/>
        <v>4068.3285457049587</v>
      </c>
      <c r="L24" s="62">
        <f t="shared" si="3"/>
        <v>5112.7742293417368</v>
      </c>
      <c r="M24" s="62">
        <f t="shared" si="3"/>
        <v>6265.2597276955285</v>
      </c>
      <c r="N24" s="62">
        <f t="shared" si="3"/>
        <v>7519.3782756519595</v>
      </c>
      <c r="O24" s="62">
        <f t="shared" si="3"/>
        <v>8870.4255155819319</v>
      </c>
      <c r="P24" s="62">
        <f t="shared" si="3"/>
        <v>10316.831129303293</v>
      </c>
      <c r="Q24" s="63">
        <f t="shared" si="3"/>
        <v>11884.624898286598</v>
      </c>
    </row>
    <row r="25" spans="1:17" x14ac:dyDescent="0.25">
      <c r="A25" s="33"/>
      <c r="B25" s="33"/>
      <c r="C25" s="33"/>
      <c r="D25" s="33"/>
      <c r="E25" s="33"/>
      <c r="F25" s="33"/>
      <c r="G25" s="33"/>
      <c r="H25" s="33"/>
      <c r="I25" s="33"/>
      <c r="J25" s="33"/>
      <c r="K25" s="33"/>
      <c r="L25" s="33"/>
      <c r="M25" s="33"/>
      <c r="N25" s="33"/>
      <c r="O25" s="33"/>
      <c r="P25" s="33"/>
      <c r="Q25" s="33"/>
    </row>
    <row r="26" spans="1:17" x14ac:dyDescent="0.25">
      <c r="A26" s="224" t="s">
        <v>190</v>
      </c>
      <c r="B26" s="224"/>
      <c r="C26" s="224"/>
      <c r="D26" s="224"/>
      <c r="E26" s="224"/>
      <c r="F26" s="224"/>
      <c r="G26" s="224"/>
      <c r="H26" s="224"/>
      <c r="I26" s="224"/>
      <c r="J26" s="224"/>
      <c r="K26" s="33"/>
      <c r="L26" s="33"/>
      <c r="M26" s="33"/>
      <c r="N26" s="33"/>
      <c r="O26" s="33"/>
      <c r="P26" s="33"/>
      <c r="Q26" s="33"/>
    </row>
    <row r="27" spans="1:17" x14ac:dyDescent="0.25">
      <c r="A27" s="224"/>
      <c r="B27" s="224"/>
      <c r="C27" s="224"/>
      <c r="D27" s="224"/>
      <c r="E27" s="224"/>
      <c r="F27" s="224"/>
      <c r="G27" s="224"/>
      <c r="H27" s="224"/>
      <c r="I27" s="224"/>
      <c r="J27" s="224"/>
      <c r="K27" s="33"/>
      <c r="L27" s="33"/>
      <c r="M27" s="33"/>
      <c r="N27" s="33"/>
      <c r="O27" s="33"/>
      <c r="P27" s="33"/>
      <c r="Q27" s="33"/>
    </row>
    <row r="28" spans="1:17" x14ac:dyDescent="0.25">
      <c r="A28" s="224"/>
      <c r="B28" s="224"/>
      <c r="C28" s="224"/>
      <c r="D28" s="224"/>
      <c r="E28" s="224"/>
      <c r="F28" s="224"/>
      <c r="G28" s="224"/>
      <c r="H28" s="224"/>
      <c r="I28" s="224"/>
      <c r="J28" s="224"/>
      <c r="K28" s="33"/>
      <c r="L28" s="33"/>
      <c r="M28" s="33"/>
      <c r="N28" s="33"/>
      <c r="O28" s="33"/>
      <c r="P28" s="33"/>
      <c r="Q28" s="33"/>
    </row>
    <row r="29" spans="1:17" x14ac:dyDescent="0.25">
      <c r="A29" s="224"/>
      <c r="B29" s="224"/>
      <c r="C29" s="224"/>
      <c r="D29" s="224"/>
      <c r="E29" s="224"/>
      <c r="F29" s="224"/>
      <c r="G29" s="224"/>
      <c r="H29" s="224"/>
      <c r="I29" s="224"/>
      <c r="J29" s="224"/>
      <c r="K29" s="33"/>
      <c r="L29" s="33"/>
      <c r="M29" s="33"/>
      <c r="N29" s="33"/>
      <c r="O29" s="33"/>
      <c r="P29" s="33"/>
      <c r="Q29" s="33"/>
    </row>
    <row r="30" spans="1:17" x14ac:dyDescent="0.25">
      <c r="A30" s="214"/>
      <c r="B30" s="214"/>
      <c r="C30" s="42" t="s">
        <v>191</v>
      </c>
      <c r="D30" s="42" t="s">
        <v>192</v>
      </c>
      <c r="E30" s="42" t="s">
        <v>193</v>
      </c>
      <c r="F30" s="42" t="s">
        <v>194</v>
      </c>
      <c r="G30" s="42" t="s">
        <v>195</v>
      </c>
      <c r="H30" s="42" t="s">
        <v>196</v>
      </c>
      <c r="I30" s="42" t="s">
        <v>197</v>
      </c>
      <c r="J30" s="42" t="s">
        <v>198</v>
      </c>
      <c r="K30" s="42" t="s">
        <v>199</v>
      </c>
      <c r="L30" s="42" t="s">
        <v>200</v>
      </c>
      <c r="M30" s="42" t="s">
        <v>201</v>
      </c>
      <c r="N30" s="42" t="s">
        <v>202</v>
      </c>
      <c r="O30" s="42" t="s">
        <v>203</v>
      </c>
      <c r="P30" s="42" t="s">
        <v>204</v>
      </c>
      <c r="Q30" s="33"/>
    </row>
    <row r="31" spans="1:17" x14ac:dyDescent="0.25">
      <c r="A31" s="215" t="s">
        <v>205</v>
      </c>
      <c r="B31" s="216"/>
      <c r="C31" s="216">
        <f>Q20+Q24</f>
        <v>504448.08749286161</v>
      </c>
      <c r="D31" s="216">
        <f>C31-($C$31/60)</f>
        <v>496040.61936798057</v>
      </c>
      <c r="E31" s="216">
        <f t="shared" ref="E31:O31" si="4">D31-($C$31/60)</f>
        <v>487633.15124309954</v>
      </c>
      <c r="F31" s="216">
        <f t="shared" si="4"/>
        <v>479225.6831182185</v>
      </c>
      <c r="G31" s="216">
        <f t="shared" si="4"/>
        <v>470818.21499333746</v>
      </c>
      <c r="H31" s="216">
        <f t="shared" si="4"/>
        <v>462410.74686845642</v>
      </c>
      <c r="I31" s="216">
        <f t="shared" si="4"/>
        <v>454003.27874357539</v>
      </c>
      <c r="J31" s="216">
        <f t="shared" si="4"/>
        <v>445595.81061869435</v>
      </c>
      <c r="K31" s="216">
        <f t="shared" si="4"/>
        <v>437188.34249381331</v>
      </c>
      <c r="L31" s="216">
        <f t="shared" si="4"/>
        <v>428780.87436893227</v>
      </c>
      <c r="M31" s="216">
        <f t="shared" si="4"/>
        <v>420373.40624405124</v>
      </c>
      <c r="N31" s="216">
        <f t="shared" si="4"/>
        <v>411965.9381191702</v>
      </c>
      <c r="O31" s="216">
        <f t="shared" si="4"/>
        <v>403558.46999428916</v>
      </c>
      <c r="P31" s="216">
        <f>SUM(C31:O31)/13</f>
        <v>454003.27874357539</v>
      </c>
      <c r="Q31" s="216"/>
    </row>
    <row r="32" spans="1:17" x14ac:dyDescent="0.25">
      <c r="A32" s="33"/>
      <c r="B32" s="33"/>
      <c r="C32" s="33"/>
      <c r="D32" s="33"/>
      <c r="E32" s="33"/>
      <c r="F32" s="33"/>
      <c r="G32" s="33"/>
      <c r="H32" s="33"/>
      <c r="I32" s="33"/>
      <c r="J32" s="33"/>
      <c r="K32" s="33"/>
      <c r="L32" s="33"/>
      <c r="M32" s="33"/>
      <c r="N32" s="33"/>
      <c r="O32" s="33"/>
      <c r="P32" s="33"/>
      <c r="Q32" s="33"/>
    </row>
    <row r="33" spans="1:17" x14ac:dyDescent="0.25">
      <c r="A33" s="33"/>
      <c r="B33" s="33"/>
      <c r="C33" s="33"/>
      <c r="D33" s="33"/>
      <c r="E33" s="33"/>
      <c r="F33" s="33"/>
      <c r="G33" s="33"/>
      <c r="H33" s="33"/>
      <c r="I33" s="33"/>
      <c r="J33" s="33"/>
      <c r="K33" s="33"/>
      <c r="L33" s="33"/>
      <c r="M33" s="33"/>
      <c r="N33" s="33"/>
      <c r="O33" s="33"/>
      <c r="P33" s="33"/>
      <c r="Q33" s="33"/>
    </row>
    <row r="34" spans="1:17" x14ac:dyDescent="0.25">
      <c r="A34" s="33"/>
      <c r="B34" s="33"/>
      <c r="C34" s="33"/>
      <c r="D34" s="33"/>
      <c r="E34" s="33"/>
      <c r="F34" s="33"/>
      <c r="G34" s="33"/>
      <c r="H34" s="33"/>
      <c r="I34" s="33"/>
      <c r="J34" s="33"/>
      <c r="K34" s="33"/>
      <c r="L34" s="33"/>
      <c r="M34" s="33"/>
      <c r="N34" s="33"/>
      <c r="O34" s="33"/>
      <c r="P34" s="33"/>
      <c r="Q34" s="33"/>
    </row>
  </sheetData>
  <mergeCells count="1">
    <mergeCell ref="A26:J2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5"/>
  <sheetViews>
    <sheetView topLeftCell="A19" workbookViewId="0">
      <selection activeCell="B35" sqref="B35"/>
    </sheetView>
  </sheetViews>
  <sheetFormatPr defaultRowHeight="15" x14ac:dyDescent="0.25"/>
  <cols>
    <col min="1" max="1" width="32.140625" bestFit="1" customWidth="1"/>
    <col min="2" max="2" width="11.5703125" bestFit="1" customWidth="1"/>
    <col min="3" max="3" width="10.42578125" bestFit="1" customWidth="1"/>
    <col min="4" max="11" width="10" bestFit="1" customWidth="1"/>
    <col min="12" max="12" width="10.85546875" bestFit="1" customWidth="1"/>
    <col min="13" max="13" width="11.140625" bestFit="1" customWidth="1"/>
    <col min="14" max="14" width="10.42578125" bestFit="1" customWidth="1"/>
    <col min="15" max="15" width="10.140625" bestFit="1" customWidth="1"/>
    <col min="16" max="24" width="10" bestFit="1" customWidth="1"/>
    <col min="25" max="25" width="10.85546875" bestFit="1" customWidth="1"/>
    <col min="26" max="26" width="10" bestFit="1" customWidth="1"/>
    <col min="27" max="27" width="10.42578125" bestFit="1" customWidth="1"/>
    <col min="28" max="28" width="10.140625" bestFit="1" customWidth="1"/>
    <col min="29" max="31" width="10" bestFit="1" customWidth="1"/>
    <col min="32" max="32" width="9" bestFit="1" customWidth="1"/>
    <col min="33" max="33" width="10" bestFit="1" customWidth="1"/>
  </cols>
  <sheetData>
    <row r="1" spans="1:15" x14ac:dyDescent="0.25">
      <c r="A1" t="s">
        <v>148</v>
      </c>
    </row>
    <row r="2" spans="1:15" x14ac:dyDescent="0.25">
      <c r="A2" t="s">
        <v>150</v>
      </c>
      <c r="B2" t="s">
        <v>142</v>
      </c>
      <c r="C2" t="s">
        <v>143</v>
      </c>
      <c r="D2" t="s">
        <v>131</v>
      </c>
      <c r="E2" t="s">
        <v>133</v>
      </c>
      <c r="F2" t="s">
        <v>134</v>
      </c>
      <c r="G2" t="s">
        <v>135</v>
      </c>
      <c r="H2" t="s">
        <v>136</v>
      </c>
      <c r="I2" t="s">
        <v>137</v>
      </c>
      <c r="J2" t="s">
        <v>138</v>
      </c>
      <c r="K2" t="s">
        <v>139</v>
      </c>
      <c r="L2" t="s">
        <v>140</v>
      </c>
      <c r="M2" t="s">
        <v>153</v>
      </c>
      <c r="N2" t="s">
        <v>142</v>
      </c>
      <c r="O2" t="s">
        <v>143</v>
      </c>
    </row>
    <row r="3" spans="1:15" x14ac:dyDescent="0.25">
      <c r="A3" t="s">
        <v>149</v>
      </c>
      <c r="B3">
        <v>565</v>
      </c>
      <c r="C3">
        <v>565</v>
      </c>
      <c r="D3">
        <v>565</v>
      </c>
      <c r="E3">
        <v>565</v>
      </c>
      <c r="F3">
        <v>565</v>
      </c>
      <c r="G3">
        <v>565</v>
      </c>
      <c r="H3">
        <v>565</v>
      </c>
      <c r="I3">
        <v>565</v>
      </c>
      <c r="J3">
        <v>565</v>
      </c>
      <c r="K3">
        <v>565</v>
      </c>
      <c r="L3">
        <v>565</v>
      </c>
      <c r="M3">
        <v>565</v>
      </c>
      <c r="N3">
        <v>565</v>
      </c>
      <c r="O3">
        <v>565</v>
      </c>
    </row>
    <row r="4" spans="1:15" x14ac:dyDescent="0.25">
      <c r="A4" t="s">
        <v>151</v>
      </c>
      <c r="B4">
        <v>201</v>
      </c>
      <c r="C4">
        <v>201</v>
      </c>
      <c r="D4">
        <v>201</v>
      </c>
      <c r="E4">
        <v>201</v>
      </c>
      <c r="F4">
        <v>201</v>
      </c>
      <c r="G4">
        <v>201</v>
      </c>
      <c r="H4">
        <v>201</v>
      </c>
      <c r="I4">
        <v>201</v>
      </c>
      <c r="J4">
        <v>201</v>
      </c>
      <c r="K4">
        <v>201</v>
      </c>
      <c r="L4">
        <v>201</v>
      </c>
      <c r="M4">
        <v>201</v>
      </c>
      <c r="N4">
        <v>201</v>
      </c>
      <c r="O4">
        <v>201</v>
      </c>
    </row>
    <row r="5" spans="1:15" x14ac:dyDescent="0.25">
      <c r="A5" t="s">
        <v>152</v>
      </c>
      <c r="B5">
        <v>13</v>
      </c>
      <c r="C5">
        <v>13</v>
      </c>
      <c r="D5">
        <v>13</v>
      </c>
      <c r="E5">
        <v>13</v>
      </c>
      <c r="F5">
        <v>13</v>
      </c>
      <c r="G5">
        <v>13</v>
      </c>
      <c r="H5">
        <v>13</v>
      </c>
      <c r="I5">
        <v>13</v>
      </c>
      <c r="J5">
        <v>13</v>
      </c>
      <c r="K5">
        <v>13</v>
      </c>
      <c r="L5">
        <v>13</v>
      </c>
      <c r="M5">
        <v>13</v>
      </c>
      <c r="N5">
        <v>13</v>
      </c>
      <c r="O5">
        <v>13</v>
      </c>
    </row>
    <row r="6" spans="1:15" ht="15.75" thickBot="1" x14ac:dyDescent="0.3">
      <c r="B6" s="17">
        <f t="shared" ref="B6:C6" si="0">SUM(B3:B5)</f>
        <v>779</v>
      </c>
      <c r="C6" s="17">
        <f t="shared" si="0"/>
        <v>779</v>
      </c>
      <c r="D6" s="17">
        <f>SUM(D3:D5)</f>
        <v>779</v>
      </c>
      <c r="E6" s="17">
        <f t="shared" ref="E6:O6" si="1">SUM(E3:E5)</f>
        <v>779</v>
      </c>
      <c r="F6" s="17">
        <f t="shared" si="1"/>
        <v>779</v>
      </c>
      <c r="G6" s="17">
        <f t="shared" si="1"/>
        <v>779</v>
      </c>
      <c r="H6" s="17">
        <f t="shared" si="1"/>
        <v>779</v>
      </c>
      <c r="I6" s="17">
        <f t="shared" si="1"/>
        <v>779</v>
      </c>
      <c r="J6" s="17">
        <f t="shared" si="1"/>
        <v>779</v>
      </c>
      <c r="K6" s="17">
        <f t="shared" si="1"/>
        <v>779</v>
      </c>
      <c r="L6" s="17">
        <f t="shared" si="1"/>
        <v>779</v>
      </c>
      <c r="M6" s="17">
        <f t="shared" si="1"/>
        <v>779</v>
      </c>
      <c r="N6" s="17">
        <f t="shared" si="1"/>
        <v>779</v>
      </c>
      <c r="O6" s="17">
        <f t="shared" si="1"/>
        <v>779</v>
      </c>
    </row>
    <row r="7" spans="1:15" ht="15.75" thickTop="1" x14ac:dyDescent="0.25">
      <c r="A7" t="s">
        <v>147</v>
      </c>
      <c r="L7" t="s">
        <v>208</v>
      </c>
      <c r="M7" t="s">
        <v>208</v>
      </c>
      <c r="N7" t="s">
        <v>208</v>
      </c>
      <c r="O7" t="s">
        <v>208</v>
      </c>
    </row>
    <row r="8" spans="1:15" x14ac:dyDescent="0.25">
      <c r="A8" t="s">
        <v>150</v>
      </c>
      <c r="B8" t="s">
        <v>142</v>
      </c>
      <c r="C8" t="s">
        <v>143</v>
      </c>
      <c r="D8" t="s">
        <v>131</v>
      </c>
      <c r="E8" t="s">
        <v>133</v>
      </c>
      <c r="F8" t="s">
        <v>134</v>
      </c>
      <c r="G8" t="s">
        <v>135</v>
      </c>
      <c r="H8" t="s">
        <v>136</v>
      </c>
      <c r="I8" t="s">
        <v>137</v>
      </c>
      <c r="J8" t="s">
        <v>138</v>
      </c>
      <c r="K8" t="s">
        <v>139</v>
      </c>
      <c r="L8" t="s">
        <v>140</v>
      </c>
      <c r="M8" t="s">
        <v>153</v>
      </c>
      <c r="N8" t="s">
        <v>142</v>
      </c>
      <c r="O8" t="s">
        <v>143</v>
      </c>
    </row>
    <row r="9" spans="1:15" x14ac:dyDescent="0.25">
      <c r="A9" s="9" t="s">
        <v>16</v>
      </c>
      <c r="B9" s="68">
        <v>1</v>
      </c>
      <c r="C9" s="9"/>
      <c r="D9" s="16"/>
      <c r="E9" s="16"/>
      <c r="F9" s="16">
        <v>1</v>
      </c>
      <c r="G9" s="16">
        <v>1</v>
      </c>
      <c r="H9" s="16"/>
      <c r="I9" s="16"/>
      <c r="J9" s="16"/>
      <c r="K9" s="16">
        <v>1</v>
      </c>
      <c r="L9" s="16">
        <v>1</v>
      </c>
      <c r="M9" s="16"/>
    </row>
    <row r="10" spans="1:15" x14ac:dyDescent="0.25">
      <c r="A10" s="9" t="s">
        <v>29</v>
      </c>
      <c r="B10" s="68">
        <f>1+2</f>
        <v>3</v>
      </c>
      <c r="C10" s="9"/>
      <c r="D10" s="16"/>
      <c r="E10" s="16">
        <v>4</v>
      </c>
      <c r="F10" s="16">
        <v>2</v>
      </c>
      <c r="G10" s="16">
        <v>9</v>
      </c>
      <c r="H10" s="16">
        <v>1</v>
      </c>
      <c r="I10" s="16">
        <v>2</v>
      </c>
      <c r="J10" s="16">
        <v>5</v>
      </c>
      <c r="K10" s="16">
        <v>1</v>
      </c>
      <c r="L10" s="16">
        <v>7</v>
      </c>
      <c r="M10" s="16">
        <v>2</v>
      </c>
      <c r="N10" s="16">
        <v>2</v>
      </c>
      <c r="O10" s="16">
        <v>2</v>
      </c>
    </row>
    <row r="11" spans="1:15" x14ac:dyDescent="0.25">
      <c r="A11" s="9" t="s">
        <v>7</v>
      </c>
      <c r="B11" s="68">
        <f>9+4</f>
        <v>13</v>
      </c>
      <c r="C11" s="9"/>
      <c r="D11" s="16"/>
      <c r="E11" s="16">
        <v>11</v>
      </c>
      <c r="F11" s="16">
        <v>25</v>
      </c>
      <c r="G11" s="16">
        <v>28</v>
      </c>
      <c r="H11" s="16">
        <v>20</v>
      </c>
      <c r="I11" s="16">
        <v>11</v>
      </c>
      <c r="J11" s="16">
        <v>19</v>
      </c>
      <c r="K11" s="16">
        <v>11</v>
      </c>
      <c r="L11" s="16">
        <v>22</v>
      </c>
      <c r="M11" s="16">
        <v>9</v>
      </c>
      <c r="N11" s="16">
        <v>8</v>
      </c>
      <c r="O11" s="16">
        <v>8</v>
      </c>
    </row>
    <row r="12" spans="1:15" x14ac:dyDescent="0.25">
      <c r="A12" s="9" t="s">
        <v>156</v>
      </c>
      <c r="B12" s="68"/>
      <c r="C12" s="9"/>
      <c r="D12" s="16"/>
      <c r="E12" s="16"/>
      <c r="F12" s="16">
        <v>1</v>
      </c>
      <c r="G12" s="16"/>
      <c r="H12" s="16"/>
      <c r="I12" s="16"/>
      <c r="J12" s="16"/>
      <c r="K12" s="16">
        <v>1</v>
      </c>
      <c r="L12" s="16">
        <v>1</v>
      </c>
      <c r="M12" s="16"/>
    </row>
    <row r="13" spans="1:15" ht="15.75" thickBot="1" x14ac:dyDescent="0.3">
      <c r="A13" s="9" t="s">
        <v>130</v>
      </c>
      <c r="B13" s="18">
        <f>SUM(B9:B12)</f>
        <v>17</v>
      </c>
      <c r="C13" s="18"/>
      <c r="D13" s="18"/>
      <c r="E13" s="18">
        <v>15</v>
      </c>
      <c r="F13" s="18">
        <v>29</v>
      </c>
      <c r="G13" s="18">
        <v>38</v>
      </c>
      <c r="H13" s="18">
        <v>21</v>
      </c>
      <c r="I13" s="18">
        <v>13</v>
      </c>
      <c r="J13" s="18">
        <v>24</v>
      </c>
      <c r="K13" s="18">
        <v>14</v>
      </c>
      <c r="L13" s="18">
        <f>SUM(L9:L12)</f>
        <v>31</v>
      </c>
      <c r="M13" s="18">
        <f>SUM(M10:M12)</f>
        <v>11</v>
      </c>
      <c r="N13" s="18">
        <f t="shared" ref="N13:O13" si="2">SUM(N10:N12)</f>
        <v>10</v>
      </c>
      <c r="O13" s="18">
        <f t="shared" si="2"/>
        <v>10</v>
      </c>
    </row>
    <row r="14" spans="1:15" ht="15.75" thickTop="1" x14ac:dyDescent="0.25">
      <c r="A14" s="9" t="s">
        <v>157</v>
      </c>
      <c r="B14" s="68">
        <f>B13</f>
        <v>17</v>
      </c>
      <c r="C14" s="68">
        <f>B14</f>
        <v>17</v>
      </c>
      <c r="D14" s="16">
        <f>C14+D13</f>
        <v>17</v>
      </c>
      <c r="E14" s="16">
        <f>E13+D14</f>
        <v>32</v>
      </c>
      <c r="F14" s="16">
        <f t="shared" ref="F14:K14" si="3">F13+E14</f>
        <v>61</v>
      </c>
      <c r="G14" s="16">
        <f t="shared" si="3"/>
        <v>99</v>
      </c>
      <c r="H14" s="16">
        <f t="shared" si="3"/>
        <v>120</v>
      </c>
      <c r="I14" s="16">
        <f t="shared" si="3"/>
        <v>133</v>
      </c>
      <c r="J14" s="16">
        <f t="shared" si="3"/>
        <v>157</v>
      </c>
      <c r="K14" s="16">
        <f t="shared" si="3"/>
        <v>171</v>
      </c>
      <c r="L14" s="16">
        <f>K14+L13</f>
        <v>202</v>
      </c>
      <c r="M14" s="16">
        <f t="shared" ref="M14:O14" si="4">L14+M13</f>
        <v>213</v>
      </c>
      <c r="N14" s="16">
        <f t="shared" si="4"/>
        <v>223</v>
      </c>
      <c r="O14" s="16">
        <f t="shared" si="4"/>
        <v>233</v>
      </c>
    </row>
    <row r="15" spans="1:15" x14ac:dyDescent="0.25">
      <c r="A15" s="9"/>
      <c r="B15" s="9"/>
      <c r="C15" s="9"/>
      <c r="D15" s="16"/>
      <c r="E15" s="16"/>
      <c r="F15" s="16"/>
      <c r="G15" s="16"/>
      <c r="H15" s="16"/>
      <c r="I15" s="16"/>
      <c r="J15" s="16"/>
      <c r="K15" s="16"/>
      <c r="L15" s="16"/>
      <c r="M15" s="16"/>
    </row>
    <row r="16" spans="1:15" x14ac:dyDescent="0.25">
      <c r="A16" s="9" t="s">
        <v>154</v>
      </c>
      <c r="B16" t="s">
        <v>142</v>
      </c>
      <c r="C16" t="s">
        <v>143</v>
      </c>
      <c r="D16" t="s">
        <v>131</v>
      </c>
      <c r="E16" t="s">
        <v>133</v>
      </c>
      <c r="F16" t="s">
        <v>134</v>
      </c>
      <c r="G16" t="s">
        <v>135</v>
      </c>
      <c r="H16" t="s">
        <v>136</v>
      </c>
      <c r="I16" t="s">
        <v>137</v>
      </c>
      <c r="J16" t="s">
        <v>138</v>
      </c>
      <c r="K16" t="s">
        <v>139</v>
      </c>
      <c r="L16" t="s">
        <v>140</v>
      </c>
      <c r="M16" t="s">
        <v>153</v>
      </c>
      <c r="N16" t="s">
        <v>142</v>
      </c>
      <c r="O16" t="s">
        <v>143</v>
      </c>
    </row>
    <row r="17" spans="1:31" x14ac:dyDescent="0.25">
      <c r="A17" t="s">
        <v>149</v>
      </c>
      <c r="B17">
        <f t="shared" ref="B17" si="5">B11</f>
        <v>13</v>
      </c>
      <c r="C17">
        <f t="shared" ref="C17:D17" si="6">B17+C11</f>
        <v>13</v>
      </c>
      <c r="D17">
        <f t="shared" si="6"/>
        <v>13</v>
      </c>
      <c r="E17">
        <f>D17+E11</f>
        <v>24</v>
      </c>
      <c r="F17">
        <f t="shared" ref="F17:K17" si="7">E17+F11</f>
        <v>49</v>
      </c>
      <c r="G17">
        <f t="shared" si="7"/>
        <v>77</v>
      </c>
      <c r="H17">
        <f t="shared" si="7"/>
        <v>97</v>
      </c>
      <c r="I17">
        <f t="shared" si="7"/>
        <v>108</v>
      </c>
      <c r="J17">
        <f t="shared" si="7"/>
        <v>127</v>
      </c>
      <c r="K17">
        <f t="shared" si="7"/>
        <v>138</v>
      </c>
      <c r="L17">
        <f t="shared" ref="L17" si="8">K17+L11</f>
        <v>160</v>
      </c>
      <c r="M17">
        <f t="shared" ref="M17" si="9">L17+M11</f>
        <v>169</v>
      </c>
      <c r="N17">
        <f t="shared" ref="N17" si="10">M17+N11</f>
        <v>177</v>
      </c>
      <c r="O17">
        <f t="shared" ref="O17" si="11">N17+O11</f>
        <v>185</v>
      </c>
    </row>
    <row r="18" spans="1:31" x14ac:dyDescent="0.25">
      <c r="A18" t="s">
        <v>151</v>
      </c>
      <c r="B18">
        <f t="shared" ref="B18" si="12">B10</f>
        <v>3</v>
      </c>
      <c r="C18">
        <f t="shared" ref="C18:D18" si="13">B18+C10</f>
        <v>3</v>
      </c>
      <c r="D18">
        <f t="shared" si="13"/>
        <v>3</v>
      </c>
      <c r="E18">
        <f>D18+E10</f>
        <v>7</v>
      </c>
      <c r="F18">
        <f t="shared" ref="F18:K18" si="14">E18+F10</f>
        <v>9</v>
      </c>
      <c r="G18">
        <f t="shared" si="14"/>
        <v>18</v>
      </c>
      <c r="H18">
        <f t="shared" si="14"/>
        <v>19</v>
      </c>
      <c r="I18">
        <f t="shared" si="14"/>
        <v>21</v>
      </c>
      <c r="J18">
        <f t="shared" si="14"/>
        <v>26</v>
      </c>
      <c r="K18">
        <f t="shared" si="14"/>
        <v>27</v>
      </c>
      <c r="L18">
        <f t="shared" ref="L18" si="15">K18+L10</f>
        <v>34</v>
      </c>
      <c r="M18">
        <f t="shared" ref="M18" si="16">L18+M10</f>
        <v>36</v>
      </c>
      <c r="N18">
        <f t="shared" ref="N18" si="17">M18+N10</f>
        <v>38</v>
      </c>
      <c r="O18">
        <f t="shared" ref="O18" si="18">N18+O10</f>
        <v>40</v>
      </c>
    </row>
    <row r="19" spans="1:31" x14ac:dyDescent="0.25">
      <c r="A19" t="s">
        <v>152</v>
      </c>
      <c r="B19">
        <f t="shared" ref="B19" si="19">B9+B12</f>
        <v>1</v>
      </c>
      <c r="C19">
        <f t="shared" ref="C19:D19" si="20">B19+C9+C12</f>
        <v>1</v>
      </c>
      <c r="D19">
        <f t="shared" si="20"/>
        <v>1</v>
      </c>
      <c r="E19">
        <f>D19+E9+E12</f>
        <v>1</v>
      </c>
      <c r="F19">
        <f t="shared" ref="F19:K19" si="21">E19+F9+F12</f>
        <v>3</v>
      </c>
      <c r="G19">
        <f t="shared" si="21"/>
        <v>4</v>
      </c>
      <c r="H19">
        <f t="shared" si="21"/>
        <v>4</v>
      </c>
      <c r="I19">
        <f t="shared" si="21"/>
        <v>4</v>
      </c>
      <c r="J19">
        <f t="shared" si="21"/>
        <v>4</v>
      </c>
      <c r="K19">
        <f t="shared" si="21"/>
        <v>6</v>
      </c>
      <c r="L19">
        <f t="shared" ref="L19" si="22">K19+L9+L12</f>
        <v>8</v>
      </c>
      <c r="M19">
        <f t="shared" ref="M19" si="23">L19+M9+M12</f>
        <v>8</v>
      </c>
      <c r="N19">
        <f t="shared" ref="N19" si="24">M19+N9+N12</f>
        <v>8</v>
      </c>
      <c r="O19">
        <f t="shared" ref="O19" si="25">N19+O9+O12</f>
        <v>8</v>
      </c>
    </row>
    <row r="20" spans="1:31" ht="15.75" thickBot="1" x14ac:dyDescent="0.3">
      <c r="B20" s="17">
        <f t="shared" ref="B20:C20" si="26">SUM(B17:B19)</f>
        <v>17</v>
      </c>
      <c r="C20" s="17">
        <f t="shared" si="26"/>
        <v>17</v>
      </c>
      <c r="D20" s="17">
        <f>SUM(D17:D19)</f>
        <v>17</v>
      </c>
      <c r="E20" s="17">
        <f t="shared" ref="E20:O20" si="27">SUM(E17:E19)</f>
        <v>32</v>
      </c>
      <c r="F20" s="17">
        <f t="shared" si="27"/>
        <v>61</v>
      </c>
      <c r="G20" s="17">
        <f t="shared" si="27"/>
        <v>99</v>
      </c>
      <c r="H20" s="17">
        <f t="shared" si="27"/>
        <v>120</v>
      </c>
      <c r="I20" s="17">
        <f t="shared" si="27"/>
        <v>133</v>
      </c>
      <c r="J20" s="17">
        <f t="shared" si="27"/>
        <v>157</v>
      </c>
      <c r="K20" s="17">
        <f t="shared" si="27"/>
        <v>171</v>
      </c>
      <c r="L20" s="17">
        <f t="shared" si="27"/>
        <v>202</v>
      </c>
      <c r="M20" s="17">
        <f t="shared" si="27"/>
        <v>213</v>
      </c>
      <c r="N20" s="17">
        <f t="shared" si="27"/>
        <v>223</v>
      </c>
      <c r="O20" s="17">
        <f t="shared" si="27"/>
        <v>233</v>
      </c>
    </row>
    <row r="21" spans="1:31" ht="15.75" thickTop="1" x14ac:dyDescent="0.25"/>
    <row r="22" spans="1:31" x14ac:dyDescent="0.25">
      <c r="Q22">
        <v>2020</v>
      </c>
      <c r="AC22">
        <v>2021</v>
      </c>
    </row>
    <row r="23" spans="1:31" x14ac:dyDescent="0.25">
      <c r="A23" t="s">
        <v>155</v>
      </c>
      <c r="B23" t="s">
        <v>142</v>
      </c>
      <c r="C23" t="s">
        <v>143</v>
      </c>
      <c r="D23" t="s">
        <v>131</v>
      </c>
      <c r="E23" t="s">
        <v>133</v>
      </c>
      <c r="F23" t="s">
        <v>134</v>
      </c>
      <c r="G23" t="s">
        <v>135</v>
      </c>
      <c r="H23" t="s">
        <v>136</v>
      </c>
      <c r="I23" t="s">
        <v>137</v>
      </c>
      <c r="J23" t="s">
        <v>138</v>
      </c>
      <c r="K23" t="s">
        <v>139</v>
      </c>
      <c r="L23" t="s">
        <v>140</v>
      </c>
      <c r="M23" t="s">
        <v>153</v>
      </c>
      <c r="N23" t="s">
        <v>142</v>
      </c>
      <c r="O23" t="s">
        <v>143</v>
      </c>
      <c r="Q23" t="s">
        <v>131</v>
      </c>
      <c r="R23" t="s">
        <v>133</v>
      </c>
      <c r="S23" t="s">
        <v>134</v>
      </c>
      <c r="T23" t="s">
        <v>135</v>
      </c>
      <c r="U23" t="s">
        <v>136</v>
      </c>
      <c r="V23" t="s">
        <v>137</v>
      </c>
      <c r="W23" t="s">
        <v>138</v>
      </c>
      <c r="X23" t="s">
        <v>139</v>
      </c>
      <c r="Y23" t="s">
        <v>140</v>
      </c>
      <c r="Z23" t="s">
        <v>153</v>
      </c>
      <c r="AA23" t="s">
        <v>142</v>
      </c>
      <c r="AB23" t="s">
        <v>143</v>
      </c>
      <c r="AC23" t="s">
        <v>131</v>
      </c>
      <c r="AD23" t="s">
        <v>133</v>
      </c>
      <c r="AE23" t="s">
        <v>134</v>
      </c>
    </row>
    <row r="24" spans="1:31" x14ac:dyDescent="0.25">
      <c r="A24" t="s">
        <v>149</v>
      </c>
      <c r="B24">
        <f t="shared" ref="B24:C24" si="28">B3-B17</f>
        <v>552</v>
      </c>
      <c r="C24">
        <f t="shared" si="28"/>
        <v>552</v>
      </c>
      <c r="D24">
        <f t="shared" ref="D24:O24" si="29">D3-D17</f>
        <v>552</v>
      </c>
      <c r="E24">
        <f t="shared" si="29"/>
        <v>541</v>
      </c>
      <c r="F24">
        <f t="shared" si="29"/>
        <v>516</v>
      </c>
      <c r="G24">
        <f t="shared" si="29"/>
        <v>488</v>
      </c>
      <c r="H24">
        <f t="shared" si="29"/>
        <v>468</v>
      </c>
      <c r="I24">
        <f t="shared" si="29"/>
        <v>457</v>
      </c>
      <c r="J24">
        <f t="shared" si="29"/>
        <v>438</v>
      </c>
      <c r="K24">
        <f t="shared" si="29"/>
        <v>427</v>
      </c>
      <c r="L24">
        <f t="shared" si="29"/>
        <v>405</v>
      </c>
      <c r="M24">
        <f t="shared" si="29"/>
        <v>396</v>
      </c>
      <c r="N24">
        <f t="shared" si="29"/>
        <v>388</v>
      </c>
      <c r="O24">
        <f t="shared" si="29"/>
        <v>380</v>
      </c>
    </row>
    <row r="25" spans="1:31" x14ac:dyDescent="0.25">
      <c r="A25" t="s">
        <v>151</v>
      </c>
      <c r="B25">
        <f t="shared" ref="B25:C25" si="30">B4-B18</f>
        <v>198</v>
      </c>
      <c r="C25">
        <f t="shared" si="30"/>
        <v>198</v>
      </c>
      <c r="D25">
        <f t="shared" ref="D25:O25" si="31">D4-D18</f>
        <v>198</v>
      </c>
      <c r="E25">
        <f t="shared" si="31"/>
        <v>194</v>
      </c>
      <c r="F25">
        <f t="shared" si="31"/>
        <v>192</v>
      </c>
      <c r="G25">
        <f t="shared" si="31"/>
        <v>183</v>
      </c>
      <c r="H25">
        <f t="shared" si="31"/>
        <v>182</v>
      </c>
      <c r="I25">
        <f t="shared" si="31"/>
        <v>180</v>
      </c>
      <c r="J25">
        <f t="shared" si="31"/>
        <v>175</v>
      </c>
      <c r="K25">
        <f t="shared" si="31"/>
        <v>174</v>
      </c>
      <c r="L25">
        <f t="shared" si="31"/>
        <v>167</v>
      </c>
      <c r="M25">
        <f t="shared" si="31"/>
        <v>165</v>
      </c>
      <c r="N25">
        <f t="shared" si="31"/>
        <v>163</v>
      </c>
      <c r="O25">
        <f t="shared" si="31"/>
        <v>161</v>
      </c>
    </row>
    <row r="26" spans="1:31" x14ac:dyDescent="0.25">
      <c r="A26" t="s">
        <v>152</v>
      </c>
      <c r="B26">
        <f t="shared" ref="B26:C26" si="32">B5-B19</f>
        <v>12</v>
      </c>
      <c r="C26">
        <f t="shared" si="32"/>
        <v>12</v>
      </c>
      <c r="D26">
        <f t="shared" ref="D26:O26" si="33">D5-D19</f>
        <v>12</v>
      </c>
      <c r="E26">
        <f t="shared" si="33"/>
        <v>12</v>
      </c>
      <c r="F26">
        <f t="shared" si="33"/>
        <v>10</v>
      </c>
      <c r="G26">
        <f t="shared" si="33"/>
        <v>9</v>
      </c>
      <c r="H26">
        <f t="shared" si="33"/>
        <v>9</v>
      </c>
      <c r="I26">
        <f t="shared" si="33"/>
        <v>9</v>
      </c>
      <c r="J26">
        <f t="shared" si="33"/>
        <v>9</v>
      </c>
      <c r="K26">
        <f t="shared" si="33"/>
        <v>7</v>
      </c>
      <c r="L26">
        <f t="shared" si="33"/>
        <v>5</v>
      </c>
      <c r="M26">
        <f t="shared" si="33"/>
        <v>5</v>
      </c>
      <c r="N26">
        <f t="shared" si="33"/>
        <v>5</v>
      </c>
      <c r="O26">
        <f t="shared" si="33"/>
        <v>5</v>
      </c>
    </row>
    <row r="27" spans="1:31" ht="15.75" thickBot="1" x14ac:dyDescent="0.3">
      <c r="B27" s="17">
        <f t="shared" ref="B27:C27" si="34">SUM(B24:B26)</f>
        <v>762</v>
      </c>
      <c r="C27" s="17">
        <f t="shared" si="34"/>
        <v>762</v>
      </c>
      <c r="D27" s="17">
        <f>SUM(D24:D26)</f>
        <v>762</v>
      </c>
      <c r="E27" s="17">
        <f t="shared" ref="E27:O27" si="35">SUM(E24:E26)</f>
        <v>747</v>
      </c>
      <c r="F27" s="17">
        <f t="shared" si="35"/>
        <v>718</v>
      </c>
      <c r="G27" s="17">
        <f t="shared" si="35"/>
        <v>680</v>
      </c>
      <c r="H27" s="17">
        <f t="shared" si="35"/>
        <v>659</v>
      </c>
      <c r="I27" s="17">
        <f t="shared" si="35"/>
        <v>646</v>
      </c>
      <c r="J27" s="17">
        <f t="shared" si="35"/>
        <v>622</v>
      </c>
      <c r="K27" s="17">
        <f t="shared" si="35"/>
        <v>608</v>
      </c>
      <c r="L27" s="17">
        <f t="shared" si="35"/>
        <v>577</v>
      </c>
      <c r="M27" s="17">
        <f t="shared" si="35"/>
        <v>566</v>
      </c>
      <c r="N27" s="17">
        <f t="shared" si="35"/>
        <v>556</v>
      </c>
      <c r="O27" s="17">
        <f t="shared" si="35"/>
        <v>546</v>
      </c>
    </row>
    <row r="28" spans="1:31" ht="15.75" thickTop="1" x14ac:dyDescent="0.25"/>
    <row r="29" spans="1:31" x14ac:dyDescent="0.25">
      <c r="A29" t="s">
        <v>158</v>
      </c>
      <c r="B29" t="s">
        <v>142</v>
      </c>
      <c r="C29" t="s">
        <v>143</v>
      </c>
      <c r="D29" t="s">
        <v>131</v>
      </c>
      <c r="E29" t="s">
        <v>133</v>
      </c>
      <c r="F29" t="s">
        <v>134</v>
      </c>
      <c r="G29" t="s">
        <v>135</v>
      </c>
      <c r="H29" t="s">
        <v>136</v>
      </c>
      <c r="I29" t="s">
        <v>137</v>
      </c>
      <c r="J29" t="s">
        <v>138</v>
      </c>
      <c r="K29" t="s">
        <v>139</v>
      </c>
      <c r="L29" t="s">
        <v>140</v>
      </c>
      <c r="M29" t="s">
        <v>153</v>
      </c>
      <c r="N29" t="s">
        <v>142</v>
      </c>
      <c r="O29" t="s">
        <v>143</v>
      </c>
      <c r="P29" s="22" t="s">
        <v>162</v>
      </c>
    </row>
    <row r="30" spans="1:31" x14ac:dyDescent="0.25">
      <c r="A30" t="s">
        <v>149</v>
      </c>
      <c r="B30" s="19">
        <f t="shared" ref="B30:C30" si="36">B24*14.69</f>
        <v>8108.88</v>
      </c>
      <c r="C30" s="19">
        <f t="shared" si="36"/>
        <v>8108.88</v>
      </c>
      <c r="D30" s="19">
        <f>D24*14.69</f>
        <v>8108.88</v>
      </c>
      <c r="E30" s="19">
        <f t="shared" ref="E30:O30" si="37">E24*14.69</f>
        <v>7947.29</v>
      </c>
      <c r="F30" s="19">
        <f t="shared" si="37"/>
        <v>7580.04</v>
      </c>
      <c r="G30" s="19">
        <f t="shared" si="37"/>
        <v>7168.7199999999993</v>
      </c>
      <c r="H30" s="19">
        <f t="shared" si="37"/>
        <v>6874.92</v>
      </c>
      <c r="I30" s="19">
        <f t="shared" si="37"/>
        <v>6713.33</v>
      </c>
      <c r="J30" s="19">
        <f t="shared" si="37"/>
        <v>6434.2199999999993</v>
      </c>
      <c r="K30" s="19">
        <f t="shared" si="37"/>
        <v>6272.63</v>
      </c>
      <c r="L30" s="19">
        <f t="shared" si="37"/>
        <v>5949.45</v>
      </c>
      <c r="M30" s="19">
        <f t="shared" si="37"/>
        <v>5817.24</v>
      </c>
      <c r="N30" s="19">
        <f t="shared" si="37"/>
        <v>5699.72</v>
      </c>
      <c r="O30" s="19">
        <f t="shared" si="37"/>
        <v>5582.2</v>
      </c>
      <c r="P30" s="20">
        <f>SUM(B30:O30)</f>
        <v>96366.400000000009</v>
      </c>
    </row>
    <row r="31" spans="1:31" x14ac:dyDescent="0.25">
      <c r="A31" t="s">
        <v>151</v>
      </c>
      <c r="B31" s="19">
        <f t="shared" ref="B31:C31" si="38">B25*24.14</f>
        <v>4779.72</v>
      </c>
      <c r="C31" s="19">
        <f t="shared" si="38"/>
        <v>4779.72</v>
      </c>
      <c r="D31" s="19">
        <f>D25*24.14</f>
        <v>4779.72</v>
      </c>
      <c r="E31" s="19">
        <f t="shared" ref="E31:O31" si="39">E25*24.14</f>
        <v>4683.16</v>
      </c>
      <c r="F31" s="19">
        <f t="shared" si="39"/>
        <v>4634.88</v>
      </c>
      <c r="G31" s="19">
        <f t="shared" si="39"/>
        <v>4417.62</v>
      </c>
      <c r="H31" s="19">
        <f t="shared" si="39"/>
        <v>4393.4800000000005</v>
      </c>
      <c r="I31" s="19">
        <f t="shared" si="39"/>
        <v>4345.2</v>
      </c>
      <c r="J31" s="19">
        <f t="shared" si="39"/>
        <v>4224.5</v>
      </c>
      <c r="K31" s="19">
        <f t="shared" si="39"/>
        <v>4200.3599999999997</v>
      </c>
      <c r="L31" s="19">
        <f t="shared" si="39"/>
        <v>4031.38</v>
      </c>
      <c r="M31" s="19">
        <f t="shared" si="39"/>
        <v>3983.1</v>
      </c>
      <c r="N31" s="19">
        <f t="shared" si="39"/>
        <v>3934.82</v>
      </c>
      <c r="O31" s="19">
        <f t="shared" si="39"/>
        <v>3886.54</v>
      </c>
      <c r="P31" s="20">
        <f t="shared" ref="P31:P32" si="40">SUM(B31:O31)</f>
        <v>61074.2</v>
      </c>
    </row>
    <row r="32" spans="1:31" x14ac:dyDescent="0.25">
      <c r="A32" t="s">
        <v>152</v>
      </c>
      <c r="B32" s="19">
        <f>B26*71.38</f>
        <v>856.56</v>
      </c>
      <c r="C32" s="19">
        <f t="shared" ref="C32:O32" si="41">C26*71.38</f>
        <v>856.56</v>
      </c>
      <c r="D32" s="19">
        <f t="shared" si="41"/>
        <v>856.56</v>
      </c>
      <c r="E32" s="19">
        <f t="shared" si="41"/>
        <v>856.56</v>
      </c>
      <c r="F32" s="19">
        <f t="shared" si="41"/>
        <v>713.8</v>
      </c>
      <c r="G32" s="19">
        <f t="shared" si="41"/>
        <v>642.41999999999996</v>
      </c>
      <c r="H32" s="19">
        <f t="shared" si="41"/>
        <v>642.41999999999996</v>
      </c>
      <c r="I32" s="19">
        <f t="shared" si="41"/>
        <v>642.41999999999996</v>
      </c>
      <c r="J32" s="19">
        <f t="shared" si="41"/>
        <v>642.41999999999996</v>
      </c>
      <c r="K32" s="19">
        <f t="shared" si="41"/>
        <v>499.65999999999997</v>
      </c>
      <c r="L32" s="19">
        <f t="shared" si="41"/>
        <v>356.9</v>
      </c>
      <c r="M32" s="19">
        <f t="shared" si="41"/>
        <v>356.9</v>
      </c>
      <c r="N32" s="19">
        <f t="shared" si="41"/>
        <v>356.9</v>
      </c>
      <c r="O32" s="19">
        <f t="shared" si="41"/>
        <v>356.9</v>
      </c>
      <c r="P32" s="20">
        <f t="shared" si="40"/>
        <v>8636.98</v>
      </c>
    </row>
    <row r="33" spans="1:33" ht="15.75" thickBot="1" x14ac:dyDescent="0.3">
      <c r="B33" s="21">
        <f>SUM(B30:B32)</f>
        <v>13745.16</v>
      </c>
      <c r="C33" s="21">
        <f t="shared" ref="C33:P33" si="42">SUM(C30:C32)</f>
        <v>13745.16</v>
      </c>
      <c r="D33" s="21">
        <f t="shared" si="42"/>
        <v>13745.16</v>
      </c>
      <c r="E33" s="21">
        <f t="shared" si="42"/>
        <v>13487.01</v>
      </c>
      <c r="F33" s="21">
        <f t="shared" si="42"/>
        <v>12928.72</v>
      </c>
      <c r="G33" s="21">
        <f t="shared" si="42"/>
        <v>12228.76</v>
      </c>
      <c r="H33" s="21">
        <f t="shared" si="42"/>
        <v>11910.820000000002</v>
      </c>
      <c r="I33" s="21">
        <f t="shared" si="42"/>
        <v>11700.949999999999</v>
      </c>
      <c r="J33" s="21">
        <f t="shared" si="42"/>
        <v>11301.14</v>
      </c>
      <c r="K33" s="21">
        <f t="shared" si="42"/>
        <v>10972.65</v>
      </c>
      <c r="L33" s="21">
        <f t="shared" si="42"/>
        <v>10337.73</v>
      </c>
      <c r="M33" s="21">
        <f t="shared" si="42"/>
        <v>10157.24</v>
      </c>
      <c r="N33" s="21">
        <f t="shared" si="42"/>
        <v>9991.44</v>
      </c>
      <c r="O33" s="21">
        <f t="shared" si="42"/>
        <v>9825.64</v>
      </c>
      <c r="P33" s="21">
        <f t="shared" si="42"/>
        <v>166077.58000000002</v>
      </c>
    </row>
    <row r="34" spans="1:33" ht="15.75" thickTop="1" x14ac:dyDescent="0.25">
      <c r="A34" t="s">
        <v>159</v>
      </c>
    </row>
    <row r="35" spans="1:33" x14ac:dyDescent="0.25">
      <c r="A35" t="s">
        <v>149</v>
      </c>
      <c r="B35" s="19">
        <f>(B24*(8730/12)*0.02117)+(B24*(7991/12)*0.42*0.03369)</f>
        <v>13702.716982800001</v>
      </c>
      <c r="C35" s="19">
        <f t="shared" ref="C35:O35" si="43">(C24*(8730/12)*0.02117)+(C24*(7991/12)*0.42*0.03369)</f>
        <v>13702.716982800001</v>
      </c>
      <c r="D35" s="19">
        <f t="shared" si="43"/>
        <v>13702.716982800001</v>
      </c>
      <c r="E35" s="19">
        <f t="shared" si="43"/>
        <v>13429.655593650001</v>
      </c>
      <c r="F35" s="19">
        <f t="shared" si="43"/>
        <v>12809.061527400001</v>
      </c>
      <c r="G35" s="19">
        <f t="shared" si="43"/>
        <v>12113.996173199999</v>
      </c>
      <c r="H35" s="19">
        <f t="shared" si="43"/>
        <v>11617.520920200001</v>
      </c>
      <c r="I35" s="19">
        <f t="shared" si="43"/>
        <v>11344.459531049999</v>
      </c>
      <c r="J35" s="19">
        <f t="shared" si="43"/>
        <v>10872.808040700002</v>
      </c>
      <c r="K35" s="19">
        <f t="shared" si="43"/>
        <v>10599.746651549998</v>
      </c>
      <c r="L35" s="19">
        <f t="shared" si="43"/>
        <v>10053.623873250001</v>
      </c>
      <c r="M35" s="19">
        <f t="shared" si="43"/>
        <v>9830.2100093999998</v>
      </c>
      <c r="N35" s="19">
        <f t="shared" si="43"/>
        <v>9631.6199082000003</v>
      </c>
      <c r="O35" s="19">
        <f t="shared" si="43"/>
        <v>9433.029806999999</v>
      </c>
      <c r="P35" s="20">
        <f>SUM(B35:O35)</f>
        <v>162843.88298399997</v>
      </c>
    </row>
    <row r="36" spans="1:33" x14ac:dyDescent="0.25">
      <c r="A36" t="s">
        <v>151</v>
      </c>
      <c r="B36" s="19">
        <f>B25*(16589/12)*0.02516</f>
        <v>6886.7574599999998</v>
      </c>
      <c r="C36" s="19">
        <f t="shared" ref="C36:O36" si="44">C25*(16589/12)*0.02516</f>
        <v>6886.7574599999998</v>
      </c>
      <c r="D36" s="19">
        <f t="shared" si="44"/>
        <v>6886.7574599999998</v>
      </c>
      <c r="E36" s="19">
        <f t="shared" si="44"/>
        <v>6747.6310466666673</v>
      </c>
      <c r="F36" s="19">
        <f t="shared" si="44"/>
        <v>6678.0678399999997</v>
      </c>
      <c r="G36" s="19">
        <f t="shared" si="44"/>
        <v>6365.03341</v>
      </c>
      <c r="H36" s="19">
        <f t="shared" si="44"/>
        <v>6330.2518066666662</v>
      </c>
      <c r="I36" s="19">
        <f t="shared" si="44"/>
        <v>6260.6885999999995</v>
      </c>
      <c r="J36" s="19">
        <f t="shared" si="44"/>
        <v>6086.7805833333332</v>
      </c>
      <c r="K36" s="19">
        <f t="shared" si="44"/>
        <v>6051.9989799999994</v>
      </c>
      <c r="L36" s="19">
        <f t="shared" si="44"/>
        <v>5808.5277566666664</v>
      </c>
      <c r="M36" s="19">
        <f t="shared" si="44"/>
        <v>5738.9645499999997</v>
      </c>
      <c r="N36" s="19">
        <f t="shared" si="44"/>
        <v>5669.4013433333339</v>
      </c>
      <c r="O36" s="19">
        <f t="shared" si="44"/>
        <v>5599.8381366666663</v>
      </c>
      <c r="P36" s="20">
        <f t="shared" ref="P36:P37" si="45">SUM(B36:O36)</f>
        <v>87997.45643333334</v>
      </c>
    </row>
    <row r="37" spans="1:33" x14ac:dyDescent="0.25">
      <c r="A37" t="s">
        <v>152</v>
      </c>
      <c r="B37" s="19">
        <f>(B26*(269095/12)*0.00474)+(B26*(891/12)*3.88)</f>
        <v>4732.5902999999998</v>
      </c>
      <c r="C37" s="19">
        <f t="shared" ref="C37:O37" si="46">(C26*(269095/12)*0.00474)+(C26*(891/12)*3.88)</f>
        <v>4732.5902999999998</v>
      </c>
      <c r="D37" s="19">
        <f t="shared" si="46"/>
        <v>4732.5902999999998</v>
      </c>
      <c r="E37" s="19">
        <f t="shared" si="46"/>
        <v>4732.5902999999998</v>
      </c>
      <c r="F37" s="19">
        <f t="shared" si="46"/>
        <v>3943.8252499999999</v>
      </c>
      <c r="G37" s="19">
        <f t="shared" si="46"/>
        <v>3549.4427249999999</v>
      </c>
      <c r="H37" s="19">
        <f t="shared" si="46"/>
        <v>3549.4427249999999</v>
      </c>
      <c r="I37" s="19">
        <f t="shared" si="46"/>
        <v>3549.4427249999999</v>
      </c>
      <c r="J37" s="19">
        <f t="shared" si="46"/>
        <v>3549.4427249999999</v>
      </c>
      <c r="K37" s="19">
        <f t="shared" si="46"/>
        <v>2760.6776749999999</v>
      </c>
      <c r="L37" s="19">
        <f t="shared" si="46"/>
        <v>1971.9126249999999</v>
      </c>
      <c r="M37" s="19">
        <f t="shared" si="46"/>
        <v>1971.9126249999999</v>
      </c>
      <c r="N37" s="19">
        <f t="shared" si="46"/>
        <v>1971.9126249999999</v>
      </c>
      <c r="O37" s="19">
        <f t="shared" si="46"/>
        <v>1971.9126249999999</v>
      </c>
      <c r="P37" s="20">
        <f t="shared" si="45"/>
        <v>47720.285524999992</v>
      </c>
    </row>
    <row r="38" spans="1:33" ht="15.75" thickBot="1" x14ac:dyDescent="0.3">
      <c r="B38" s="21">
        <f>SUM(B35:B37)</f>
        <v>25322.064742800001</v>
      </c>
      <c r="C38" s="21">
        <f t="shared" ref="C38" si="47">SUM(C35:C37)</f>
        <v>25322.064742800001</v>
      </c>
      <c r="D38" s="21">
        <f t="shared" ref="D38" si="48">SUM(D35:D37)</f>
        <v>25322.064742800001</v>
      </c>
      <c r="E38" s="21">
        <f t="shared" ref="E38" si="49">SUM(E35:E37)</f>
        <v>24909.87694031667</v>
      </c>
      <c r="F38" s="21">
        <f t="shared" ref="F38" si="50">SUM(F35:F37)</f>
        <v>23430.954617399999</v>
      </c>
      <c r="G38" s="21">
        <f t="shared" ref="G38" si="51">SUM(G35:G37)</f>
        <v>22028.472308199998</v>
      </c>
      <c r="H38" s="21">
        <f t="shared" ref="H38" si="52">SUM(H35:H37)</f>
        <v>21497.215451866668</v>
      </c>
      <c r="I38" s="21">
        <f t="shared" ref="I38" si="53">SUM(I35:I37)</f>
        <v>21154.590856049999</v>
      </c>
      <c r="J38" s="21">
        <f t="shared" ref="J38" si="54">SUM(J35:J37)</f>
        <v>20509.031349033336</v>
      </c>
      <c r="K38" s="21">
        <f t="shared" ref="K38" si="55">SUM(K35:K37)</f>
        <v>19412.423306549998</v>
      </c>
      <c r="L38" s="21">
        <f t="shared" ref="L38" si="56">SUM(L35:L37)</f>
        <v>17834.064254916666</v>
      </c>
      <c r="M38" s="21">
        <f t="shared" ref="M38" si="57">SUM(M35:M37)</f>
        <v>17541.087184399999</v>
      </c>
      <c r="N38" s="21">
        <f t="shared" ref="N38" si="58">SUM(N35:N37)</f>
        <v>17272.933876533334</v>
      </c>
      <c r="O38" s="21">
        <f t="shared" ref="O38:P38" si="59">SUM(O35:O37)</f>
        <v>17004.780568666665</v>
      </c>
      <c r="P38" s="21">
        <f t="shared" si="59"/>
        <v>298561.62494233332</v>
      </c>
    </row>
    <row r="39" spans="1:33" ht="15.75" thickTop="1" x14ac:dyDescent="0.25">
      <c r="A39" t="s">
        <v>160</v>
      </c>
    </row>
    <row r="40" spans="1:33" x14ac:dyDescent="0.25">
      <c r="A40" t="s">
        <v>149</v>
      </c>
      <c r="B40" s="19"/>
      <c r="C40" s="19"/>
      <c r="D40" s="19"/>
      <c r="E40" s="19"/>
      <c r="F40" s="19"/>
      <c r="G40" s="19">
        <f t="shared" ref="G40:O40" si="60">G24*((8730/12)+((7991/12)*0.42))*0.001535</f>
        <v>754.46213979999993</v>
      </c>
      <c r="H40" s="19">
        <f t="shared" si="60"/>
        <v>723.5415602999999</v>
      </c>
      <c r="I40" s="19">
        <f t="shared" si="60"/>
        <v>706.53524157499999</v>
      </c>
      <c r="J40" s="19">
        <f t="shared" si="60"/>
        <v>677.16069104999997</v>
      </c>
      <c r="K40" s="19">
        <f t="shared" si="60"/>
        <v>660.15437232499994</v>
      </c>
      <c r="L40" s="19">
        <f t="shared" si="60"/>
        <v>626.141734875</v>
      </c>
      <c r="M40" s="19">
        <f t="shared" si="60"/>
        <v>612.22747409999988</v>
      </c>
      <c r="N40" s="19">
        <f t="shared" si="60"/>
        <v>599.85924229999989</v>
      </c>
      <c r="O40" s="19">
        <f t="shared" si="60"/>
        <v>587.4910104999999</v>
      </c>
      <c r="P40" s="20">
        <f>SUM(B40:O40)</f>
        <v>5947.5734668249997</v>
      </c>
      <c r="Q40" s="19">
        <f>O40</f>
        <v>587.4910104999999</v>
      </c>
      <c r="R40" s="19">
        <f>Q40</f>
        <v>587.4910104999999</v>
      </c>
      <c r="S40" s="19">
        <f t="shared" ref="S40:AE42" si="61">Q40</f>
        <v>587.4910104999999</v>
      </c>
      <c r="T40" s="19">
        <f t="shared" si="61"/>
        <v>587.4910104999999</v>
      </c>
      <c r="U40" s="19">
        <f t="shared" si="61"/>
        <v>587.4910104999999</v>
      </c>
      <c r="V40" s="19">
        <f t="shared" si="61"/>
        <v>587.4910104999999</v>
      </c>
      <c r="W40" s="19">
        <f t="shared" si="61"/>
        <v>587.4910104999999</v>
      </c>
      <c r="X40" s="19">
        <f t="shared" si="61"/>
        <v>587.4910104999999</v>
      </c>
      <c r="Y40" s="19">
        <f t="shared" si="61"/>
        <v>587.4910104999999</v>
      </c>
      <c r="Z40" s="19">
        <f t="shared" si="61"/>
        <v>587.4910104999999</v>
      </c>
      <c r="AA40" s="19">
        <f t="shared" si="61"/>
        <v>587.4910104999999</v>
      </c>
      <c r="AB40" s="19">
        <f t="shared" si="61"/>
        <v>587.4910104999999</v>
      </c>
      <c r="AC40" s="19">
        <f t="shared" si="61"/>
        <v>587.4910104999999</v>
      </c>
      <c r="AD40" s="19">
        <f t="shared" si="61"/>
        <v>587.4910104999999</v>
      </c>
      <c r="AE40" s="19">
        <f t="shared" si="61"/>
        <v>587.4910104999999</v>
      </c>
      <c r="AF40" s="20">
        <f>SUM(Q40:AE40)</f>
        <v>8812.3651574999985</v>
      </c>
      <c r="AG40" s="20">
        <f>AF40+P40</f>
        <v>14759.938624324997</v>
      </c>
    </row>
    <row r="41" spans="1:33" x14ac:dyDescent="0.25">
      <c r="A41" t="s">
        <v>151</v>
      </c>
      <c r="B41" s="19"/>
      <c r="C41" s="19"/>
      <c r="D41" s="19"/>
      <c r="E41" s="19"/>
      <c r="F41" s="19"/>
      <c r="G41" s="19">
        <f t="shared" ref="G41:O41" si="62">G25*(16589/12)*0.001535</f>
        <v>388.32775375</v>
      </c>
      <c r="H41" s="19">
        <f t="shared" si="62"/>
        <v>386.20574416666665</v>
      </c>
      <c r="I41" s="19">
        <f t="shared" si="62"/>
        <v>381.961725</v>
      </c>
      <c r="J41" s="19">
        <f t="shared" si="62"/>
        <v>371.35167708333336</v>
      </c>
      <c r="K41" s="19">
        <f t="shared" si="62"/>
        <v>369.22966750000001</v>
      </c>
      <c r="L41" s="19">
        <f t="shared" si="62"/>
        <v>354.37560041666666</v>
      </c>
      <c r="M41" s="19">
        <f t="shared" si="62"/>
        <v>350.13158124999995</v>
      </c>
      <c r="N41" s="19">
        <f t="shared" si="62"/>
        <v>345.88756208333336</v>
      </c>
      <c r="O41" s="19">
        <f t="shared" si="62"/>
        <v>341.64354291666666</v>
      </c>
      <c r="P41" s="20">
        <f t="shared" ref="P41:P42" si="63">SUM(B41:O41)</f>
        <v>3289.1148541666662</v>
      </c>
      <c r="Q41" s="19">
        <f t="shared" ref="Q41:Q42" si="64">O41</f>
        <v>341.64354291666666</v>
      </c>
      <c r="R41" s="19">
        <f t="shared" ref="R41:R42" si="65">Q41</f>
        <v>341.64354291666666</v>
      </c>
      <c r="S41" s="19">
        <f t="shared" si="61"/>
        <v>341.64354291666666</v>
      </c>
      <c r="T41" s="19">
        <f t="shared" si="61"/>
        <v>341.64354291666666</v>
      </c>
      <c r="U41" s="19">
        <f t="shared" si="61"/>
        <v>341.64354291666666</v>
      </c>
      <c r="V41" s="19">
        <f t="shared" si="61"/>
        <v>341.64354291666666</v>
      </c>
      <c r="W41" s="19">
        <f t="shared" si="61"/>
        <v>341.64354291666666</v>
      </c>
      <c r="X41" s="19">
        <f t="shared" si="61"/>
        <v>341.64354291666666</v>
      </c>
      <c r="Y41" s="19">
        <f t="shared" si="61"/>
        <v>341.64354291666666</v>
      </c>
      <c r="Z41" s="19">
        <f t="shared" si="61"/>
        <v>341.64354291666666</v>
      </c>
      <c r="AA41" s="19">
        <f t="shared" si="61"/>
        <v>341.64354291666666</v>
      </c>
      <c r="AB41" s="19">
        <f t="shared" si="61"/>
        <v>341.64354291666666</v>
      </c>
      <c r="AC41" s="19">
        <f t="shared" si="61"/>
        <v>341.64354291666666</v>
      </c>
      <c r="AD41" s="19">
        <f t="shared" si="61"/>
        <v>341.64354291666666</v>
      </c>
      <c r="AE41" s="19">
        <f t="shared" si="61"/>
        <v>341.64354291666666</v>
      </c>
      <c r="AF41" s="20">
        <f t="shared" ref="AF41:AF43" si="66">SUM(Q41:AE41)</f>
        <v>5124.6531437500007</v>
      </c>
      <c r="AG41" s="20">
        <f t="shared" ref="AG41:AG43" si="67">AF41+P41</f>
        <v>8413.7679979166678</v>
      </c>
    </row>
    <row r="42" spans="1:33" x14ac:dyDescent="0.25">
      <c r="A42" t="s">
        <v>152</v>
      </c>
      <c r="B42" s="19"/>
      <c r="C42" s="19"/>
      <c r="D42" s="19"/>
      <c r="E42" s="19"/>
      <c r="F42" s="19"/>
      <c r="G42" s="19">
        <f t="shared" ref="G42:O42" si="68">G26*(269095/12)*0.001535</f>
        <v>309.79561874999996</v>
      </c>
      <c r="H42" s="19">
        <f t="shared" si="68"/>
        <v>309.79561874999996</v>
      </c>
      <c r="I42" s="19">
        <f t="shared" si="68"/>
        <v>309.79561874999996</v>
      </c>
      <c r="J42" s="19">
        <f t="shared" si="68"/>
        <v>309.79561874999996</v>
      </c>
      <c r="K42" s="19">
        <f t="shared" si="68"/>
        <v>240.95214791666663</v>
      </c>
      <c r="L42" s="19">
        <f t="shared" si="68"/>
        <v>172.1086770833333</v>
      </c>
      <c r="M42" s="19">
        <f t="shared" si="68"/>
        <v>172.1086770833333</v>
      </c>
      <c r="N42" s="19">
        <f t="shared" si="68"/>
        <v>172.1086770833333</v>
      </c>
      <c r="O42" s="19">
        <f t="shared" si="68"/>
        <v>172.1086770833333</v>
      </c>
      <c r="P42" s="20">
        <f t="shared" si="63"/>
        <v>2168.5693312499998</v>
      </c>
      <c r="Q42" s="19">
        <f t="shared" si="64"/>
        <v>172.1086770833333</v>
      </c>
      <c r="R42" s="19">
        <f t="shared" si="65"/>
        <v>172.1086770833333</v>
      </c>
      <c r="S42" s="19">
        <f t="shared" si="61"/>
        <v>172.1086770833333</v>
      </c>
      <c r="T42" s="19">
        <f t="shared" si="61"/>
        <v>172.1086770833333</v>
      </c>
      <c r="U42" s="19">
        <f t="shared" si="61"/>
        <v>172.1086770833333</v>
      </c>
      <c r="V42" s="19">
        <f t="shared" si="61"/>
        <v>172.1086770833333</v>
      </c>
      <c r="W42" s="19">
        <f t="shared" si="61"/>
        <v>172.1086770833333</v>
      </c>
      <c r="X42" s="19">
        <f t="shared" si="61"/>
        <v>172.1086770833333</v>
      </c>
      <c r="Y42" s="19">
        <f t="shared" si="61"/>
        <v>172.1086770833333</v>
      </c>
      <c r="Z42" s="19">
        <f t="shared" si="61"/>
        <v>172.1086770833333</v>
      </c>
      <c r="AA42" s="19">
        <f t="shared" si="61"/>
        <v>172.1086770833333</v>
      </c>
      <c r="AB42" s="19">
        <f t="shared" si="61"/>
        <v>172.1086770833333</v>
      </c>
      <c r="AC42" s="19">
        <f t="shared" si="61"/>
        <v>172.1086770833333</v>
      </c>
      <c r="AD42" s="19">
        <f t="shared" si="61"/>
        <v>172.1086770833333</v>
      </c>
      <c r="AE42" s="19">
        <f t="shared" si="61"/>
        <v>172.1086770833333</v>
      </c>
      <c r="AF42" s="20">
        <f t="shared" si="66"/>
        <v>2581.6301562500003</v>
      </c>
      <c r="AG42" s="20">
        <f t="shared" si="67"/>
        <v>4750.1994875</v>
      </c>
    </row>
    <row r="43" spans="1:33" ht="15.75" thickBot="1" x14ac:dyDescent="0.3">
      <c r="B43" s="21">
        <f>SUM(B40:B42)</f>
        <v>0</v>
      </c>
      <c r="C43" s="21">
        <f t="shared" ref="C43" si="69">SUM(C40:C42)</f>
        <v>0</v>
      </c>
      <c r="D43" s="21">
        <f t="shared" ref="D43" si="70">SUM(D40:D42)</f>
        <v>0</v>
      </c>
      <c r="E43" s="21">
        <f t="shared" ref="E43" si="71">SUM(E40:E42)</f>
        <v>0</v>
      </c>
      <c r="F43" s="21">
        <f t="shared" ref="F43" si="72">SUM(F40:F42)</f>
        <v>0</v>
      </c>
      <c r="G43" s="21">
        <f t="shared" ref="G43" si="73">SUM(G40:G42)</f>
        <v>1452.5855122999999</v>
      </c>
      <c r="H43" s="21">
        <f t="shared" ref="H43" si="74">SUM(H40:H42)</f>
        <v>1419.5429232166664</v>
      </c>
      <c r="I43" s="21">
        <f t="shared" ref="I43" si="75">SUM(I40:I42)</f>
        <v>1398.2925853249999</v>
      </c>
      <c r="J43" s="21">
        <f t="shared" ref="J43" si="76">SUM(J40:J42)</f>
        <v>1358.3079868833333</v>
      </c>
      <c r="K43" s="21">
        <f t="shared" ref="K43" si="77">SUM(K40:K42)</f>
        <v>1270.3361877416667</v>
      </c>
      <c r="L43" s="21">
        <f t="shared" ref="L43" si="78">SUM(L40:L42)</f>
        <v>1152.6260123749998</v>
      </c>
      <c r="M43" s="21">
        <f t="shared" ref="M43" si="79">SUM(M40:M42)</f>
        <v>1134.4677324333331</v>
      </c>
      <c r="N43" s="21">
        <f t="shared" ref="N43" si="80">SUM(N40:N42)</f>
        <v>1117.8554814666666</v>
      </c>
      <c r="O43" s="21">
        <f t="shared" ref="O43:P43" si="81">SUM(O40:O42)</f>
        <v>1101.2432304999998</v>
      </c>
      <c r="P43" s="21">
        <f t="shared" si="81"/>
        <v>11405.257652241668</v>
      </c>
      <c r="Q43" s="67">
        <f>SUM(Q40:Q42)</f>
        <v>1101.2432304999998</v>
      </c>
      <c r="R43" s="67">
        <f t="shared" ref="R43:AE43" si="82">SUM(R40:R42)</f>
        <v>1101.2432304999998</v>
      </c>
      <c r="S43" s="67">
        <f t="shared" si="82"/>
        <v>1101.2432304999998</v>
      </c>
      <c r="T43" s="67">
        <f t="shared" si="82"/>
        <v>1101.2432304999998</v>
      </c>
      <c r="U43" s="67">
        <f t="shared" si="82"/>
        <v>1101.2432304999998</v>
      </c>
      <c r="V43" s="67">
        <f t="shared" si="82"/>
        <v>1101.2432304999998</v>
      </c>
      <c r="W43" s="67">
        <f t="shared" si="82"/>
        <v>1101.2432304999998</v>
      </c>
      <c r="X43" s="67">
        <f t="shared" si="82"/>
        <v>1101.2432304999998</v>
      </c>
      <c r="Y43" s="67">
        <f t="shared" si="82"/>
        <v>1101.2432304999998</v>
      </c>
      <c r="Z43" s="67">
        <f t="shared" si="82"/>
        <v>1101.2432304999998</v>
      </c>
      <c r="AA43" s="67">
        <f t="shared" si="82"/>
        <v>1101.2432304999998</v>
      </c>
      <c r="AB43" s="67">
        <f t="shared" si="82"/>
        <v>1101.2432304999998</v>
      </c>
      <c r="AC43" s="67">
        <f t="shared" si="82"/>
        <v>1101.2432304999998</v>
      </c>
      <c r="AD43" s="67">
        <f t="shared" si="82"/>
        <v>1101.2432304999998</v>
      </c>
      <c r="AE43" s="67">
        <f t="shared" si="82"/>
        <v>1101.2432304999998</v>
      </c>
      <c r="AF43" s="21">
        <f t="shared" si="66"/>
        <v>16518.648457499999</v>
      </c>
      <c r="AG43" s="21">
        <f t="shared" si="67"/>
        <v>27923.906109741667</v>
      </c>
    </row>
    <row r="44" spans="1:33" ht="15.75" thickTop="1" x14ac:dyDescent="0.25">
      <c r="A44" t="s">
        <v>161</v>
      </c>
    </row>
    <row r="45" spans="1:33" x14ac:dyDescent="0.25">
      <c r="A45" t="s">
        <v>149</v>
      </c>
      <c r="B45" s="20">
        <f>B30+B35+B40</f>
        <v>21811.596982800002</v>
      </c>
      <c r="C45" s="20">
        <f t="shared" ref="C45:O45" si="83">C30+C35+C40</f>
        <v>21811.596982800002</v>
      </c>
      <c r="D45" s="20">
        <f t="shared" si="83"/>
        <v>21811.596982800002</v>
      </c>
      <c r="E45" s="20">
        <f t="shared" si="83"/>
        <v>21376.945593650002</v>
      </c>
      <c r="F45" s="20">
        <f t="shared" si="83"/>
        <v>20389.101527400002</v>
      </c>
      <c r="G45" s="20">
        <f t="shared" si="83"/>
        <v>20037.178312999997</v>
      </c>
      <c r="H45" s="20">
        <f t="shared" si="83"/>
        <v>19215.982480500003</v>
      </c>
      <c r="I45" s="20">
        <f t="shared" si="83"/>
        <v>18764.324772624997</v>
      </c>
      <c r="J45" s="20">
        <f t="shared" si="83"/>
        <v>17984.188731750004</v>
      </c>
      <c r="K45" s="20">
        <f t="shared" si="83"/>
        <v>17532.531023874999</v>
      </c>
      <c r="L45" s="20">
        <f t="shared" si="83"/>
        <v>16629.215608125</v>
      </c>
      <c r="M45" s="20">
        <f t="shared" si="83"/>
        <v>16259.6774835</v>
      </c>
      <c r="N45" s="20">
        <f t="shared" si="83"/>
        <v>15931.199150499999</v>
      </c>
      <c r="O45" s="20">
        <f t="shared" si="83"/>
        <v>15602.7208175</v>
      </c>
      <c r="P45" s="20">
        <f>SUM(B45:O45)</f>
        <v>265157.856450825</v>
      </c>
      <c r="Q45" s="20">
        <f>Q40</f>
        <v>587.4910104999999</v>
      </c>
      <c r="R45" s="20">
        <f t="shared" ref="R45:AE45" si="84">R40</f>
        <v>587.4910104999999</v>
      </c>
      <c r="S45" s="20">
        <f t="shared" si="84"/>
        <v>587.4910104999999</v>
      </c>
      <c r="T45" s="20">
        <f t="shared" si="84"/>
        <v>587.4910104999999</v>
      </c>
      <c r="U45" s="20">
        <f t="shared" si="84"/>
        <v>587.4910104999999</v>
      </c>
      <c r="V45" s="20">
        <f t="shared" si="84"/>
        <v>587.4910104999999</v>
      </c>
      <c r="W45" s="20">
        <f t="shared" si="84"/>
        <v>587.4910104999999</v>
      </c>
      <c r="X45" s="20">
        <f t="shared" si="84"/>
        <v>587.4910104999999</v>
      </c>
      <c r="Y45" s="20">
        <f t="shared" si="84"/>
        <v>587.4910104999999</v>
      </c>
      <c r="Z45" s="20">
        <f t="shared" si="84"/>
        <v>587.4910104999999</v>
      </c>
      <c r="AA45" s="20">
        <f t="shared" si="84"/>
        <v>587.4910104999999</v>
      </c>
      <c r="AB45" s="20">
        <f t="shared" si="84"/>
        <v>587.4910104999999</v>
      </c>
      <c r="AC45" s="20">
        <f t="shared" si="84"/>
        <v>587.4910104999999</v>
      </c>
      <c r="AD45" s="20">
        <f t="shared" si="84"/>
        <v>587.4910104999999</v>
      </c>
      <c r="AE45" s="20">
        <f t="shared" si="84"/>
        <v>587.4910104999999</v>
      </c>
      <c r="AF45" s="20"/>
      <c r="AG45" s="20">
        <f>SUM(P45:AF45)</f>
        <v>273970.22160832502</v>
      </c>
    </row>
    <row r="46" spans="1:33" x14ac:dyDescent="0.25">
      <c r="A46" t="s">
        <v>151</v>
      </c>
      <c r="B46" s="20">
        <f t="shared" ref="B46:O47" si="85">B31+B36+B41</f>
        <v>11666.47746</v>
      </c>
      <c r="C46" s="20">
        <f t="shared" si="85"/>
        <v>11666.47746</v>
      </c>
      <c r="D46" s="20">
        <f t="shared" si="85"/>
        <v>11666.47746</v>
      </c>
      <c r="E46" s="20">
        <f t="shared" si="85"/>
        <v>11430.791046666667</v>
      </c>
      <c r="F46" s="20">
        <f t="shared" si="85"/>
        <v>11312.947840000001</v>
      </c>
      <c r="G46" s="20">
        <f t="shared" si="85"/>
        <v>11170.981163749999</v>
      </c>
      <c r="H46" s="20">
        <f t="shared" si="85"/>
        <v>11109.937550833334</v>
      </c>
      <c r="I46" s="20">
        <f t="shared" si="85"/>
        <v>10987.850324999998</v>
      </c>
      <c r="J46" s="20">
        <f t="shared" si="85"/>
        <v>10682.632260416667</v>
      </c>
      <c r="K46" s="20">
        <f t="shared" si="85"/>
        <v>10621.588647499999</v>
      </c>
      <c r="L46" s="20">
        <f t="shared" si="85"/>
        <v>10194.283357083334</v>
      </c>
      <c r="M46" s="20">
        <f t="shared" si="85"/>
        <v>10072.196131249999</v>
      </c>
      <c r="N46" s="20">
        <f t="shared" si="85"/>
        <v>9950.1089054166678</v>
      </c>
      <c r="O46" s="20">
        <f t="shared" si="85"/>
        <v>9828.021679583333</v>
      </c>
      <c r="P46" s="20">
        <f t="shared" ref="P46:P47" si="86">SUM(B46:O46)</f>
        <v>152360.77128749999</v>
      </c>
      <c r="Q46" s="20">
        <f t="shared" ref="Q46:AE47" si="87">Q41</f>
        <v>341.64354291666666</v>
      </c>
      <c r="R46" s="20">
        <f t="shared" si="87"/>
        <v>341.64354291666666</v>
      </c>
      <c r="S46" s="20">
        <f t="shared" si="87"/>
        <v>341.64354291666666</v>
      </c>
      <c r="T46" s="20">
        <f t="shared" si="87"/>
        <v>341.64354291666666</v>
      </c>
      <c r="U46" s="20">
        <f t="shared" si="87"/>
        <v>341.64354291666666</v>
      </c>
      <c r="V46" s="20">
        <f t="shared" si="87"/>
        <v>341.64354291666666</v>
      </c>
      <c r="W46" s="20">
        <f t="shared" si="87"/>
        <v>341.64354291666666</v>
      </c>
      <c r="X46" s="20">
        <f t="shared" si="87"/>
        <v>341.64354291666666</v>
      </c>
      <c r="Y46" s="20">
        <f t="shared" si="87"/>
        <v>341.64354291666666</v>
      </c>
      <c r="Z46" s="20">
        <f t="shared" si="87"/>
        <v>341.64354291666666</v>
      </c>
      <c r="AA46" s="20">
        <f t="shared" si="87"/>
        <v>341.64354291666666</v>
      </c>
      <c r="AB46" s="20">
        <f t="shared" si="87"/>
        <v>341.64354291666666</v>
      </c>
      <c r="AC46" s="20">
        <f t="shared" si="87"/>
        <v>341.64354291666666</v>
      </c>
      <c r="AD46" s="20">
        <f t="shared" si="87"/>
        <v>341.64354291666666</v>
      </c>
      <c r="AE46" s="20">
        <f t="shared" si="87"/>
        <v>341.64354291666666</v>
      </c>
      <c r="AF46" s="20"/>
      <c r="AG46" s="20">
        <f t="shared" ref="AG46:AG47" si="88">SUM(P46:AF46)</f>
        <v>157485.42443124988</v>
      </c>
    </row>
    <row r="47" spans="1:33" x14ac:dyDescent="0.25">
      <c r="A47" t="s">
        <v>152</v>
      </c>
      <c r="B47" s="20">
        <f t="shared" si="85"/>
        <v>5589.1502999999993</v>
      </c>
      <c r="C47" s="20">
        <f t="shared" si="85"/>
        <v>5589.1502999999993</v>
      </c>
      <c r="D47" s="20">
        <f t="shared" si="85"/>
        <v>5589.1502999999993</v>
      </c>
      <c r="E47" s="20">
        <f t="shared" si="85"/>
        <v>5589.1502999999993</v>
      </c>
      <c r="F47" s="20">
        <f t="shared" si="85"/>
        <v>4657.6252500000001</v>
      </c>
      <c r="G47" s="20">
        <f t="shared" si="85"/>
        <v>4501.6583437500003</v>
      </c>
      <c r="H47" s="20">
        <f t="shared" si="85"/>
        <v>4501.6583437500003</v>
      </c>
      <c r="I47" s="20">
        <f t="shared" si="85"/>
        <v>4501.6583437500003</v>
      </c>
      <c r="J47" s="20">
        <f t="shared" si="85"/>
        <v>4501.6583437500003</v>
      </c>
      <c r="K47" s="20">
        <f t="shared" si="85"/>
        <v>3501.2898229166663</v>
      </c>
      <c r="L47" s="20">
        <f t="shared" si="85"/>
        <v>2500.9213020833331</v>
      </c>
      <c r="M47" s="20">
        <f t="shared" si="85"/>
        <v>2500.9213020833331</v>
      </c>
      <c r="N47" s="20">
        <f t="shared" si="85"/>
        <v>2500.9213020833331</v>
      </c>
      <c r="O47" s="20">
        <f t="shared" si="85"/>
        <v>2500.9213020833331</v>
      </c>
      <c r="P47" s="20">
        <f t="shared" si="86"/>
        <v>58525.834856250003</v>
      </c>
      <c r="Q47" s="20">
        <f t="shared" si="87"/>
        <v>172.1086770833333</v>
      </c>
      <c r="R47" s="20">
        <f t="shared" si="87"/>
        <v>172.1086770833333</v>
      </c>
      <c r="S47" s="20">
        <f t="shared" si="87"/>
        <v>172.1086770833333</v>
      </c>
      <c r="T47" s="20">
        <f t="shared" si="87"/>
        <v>172.1086770833333</v>
      </c>
      <c r="U47" s="20">
        <f t="shared" si="87"/>
        <v>172.1086770833333</v>
      </c>
      <c r="V47" s="20">
        <f t="shared" si="87"/>
        <v>172.1086770833333</v>
      </c>
      <c r="W47" s="20">
        <f t="shared" si="87"/>
        <v>172.1086770833333</v>
      </c>
      <c r="X47" s="20">
        <f t="shared" si="87"/>
        <v>172.1086770833333</v>
      </c>
      <c r="Y47" s="20">
        <f t="shared" si="87"/>
        <v>172.1086770833333</v>
      </c>
      <c r="Z47" s="20">
        <f t="shared" si="87"/>
        <v>172.1086770833333</v>
      </c>
      <c r="AA47" s="20">
        <f t="shared" si="87"/>
        <v>172.1086770833333</v>
      </c>
      <c r="AB47" s="20">
        <f t="shared" si="87"/>
        <v>172.1086770833333</v>
      </c>
      <c r="AC47" s="20">
        <f t="shared" si="87"/>
        <v>172.1086770833333</v>
      </c>
      <c r="AD47" s="20">
        <f t="shared" si="87"/>
        <v>172.1086770833333</v>
      </c>
      <c r="AE47" s="20">
        <f t="shared" si="87"/>
        <v>172.1086770833333</v>
      </c>
      <c r="AF47" s="20"/>
      <c r="AG47" s="20">
        <f t="shared" si="88"/>
        <v>61107.465012500033</v>
      </c>
    </row>
    <row r="48" spans="1:33" ht="15.75" thickBot="1" x14ac:dyDescent="0.3">
      <c r="B48" s="21">
        <f>SUM(B45:B47)</f>
        <v>39067.224742800005</v>
      </c>
      <c r="C48" s="21">
        <f t="shared" ref="C48" si="89">SUM(C45:C47)</f>
        <v>39067.224742800005</v>
      </c>
      <c r="D48" s="21">
        <f t="shared" ref="D48" si="90">SUM(D45:D47)</f>
        <v>39067.224742800005</v>
      </c>
      <c r="E48" s="21">
        <f t="shared" ref="E48" si="91">SUM(E45:E47)</f>
        <v>38396.886940316668</v>
      </c>
      <c r="F48" s="21">
        <f t="shared" ref="F48" si="92">SUM(F45:F47)</f>
        <v>36359.6746174</v>
      </c>
      <c r="G48" s="21">
        <f t="shared" ref="G48" si="93">SUM(G45:G47)</f>
        <v>35709.817820499993</v>
      </c>
      <c r="H48" s="21">
        <f t="shared" ref="H48" si="94">SUM(H45:H47)</f>
        <v>34827.578375083336</v>
      </c>
      <c r="I48" s="21">
        <f t="shared" ref="I48" si="95">SUM(I45:I47)</f>
        <v>34253.833441374998</v>
      </c>
      <c r="J48" s="21">
        <f t="shared" ref="J48" si="96">SUM(J45:J47)</f>
        <v>33168.479335916672</v>
      </c>
      <c r="K48" s="21">
        <f t="shared" ref="K48" si="97">SUM(K45:K47)</f>
        <v>31655.409494291664</v>
      </c>
      <c r="L48" s="21">
        <f t="shared" ref="L48" si="98">SUM(L45:L47)</f>
        <v>29324.420267291665</v>
      </c>
      <c r="M48" s="21">
        <f t="shared" ref="M48" si="99">SUM(M45:M47)</f>
        <v>28832.794916833333</v>
      </c>
      <c r="N48" s="21">
        <f t="shared" ref="N48" si="100">SUM(N45:N47)</f>
        <v>28382.229358000001</v>
      </c>
      <c r="O48" s="21">
        <f t="shared" ref="O48:AF48" si="101">SUM(O45:O47)</f>
        <v>27931.663799166665</v>
      </c>
      <c r="P48" s="21">
        <f t="shared" si="101"/>
        <v>476044.46259457502</v>
      </c>
      <c r="Q48" s="21">
        <f t="shared" si="101"/>
        <v>1101.2432304999998</v>
      </c>
      <c r="R48" s="21">
        <f t="shared" si="101"/>
        <v>1101.2432304999998</v>
      </c>
      <c r="S48" s="21">
        <f t="shared" si="101"/>
        <v>1101.2432304999998</v>
      </c>
      <c r="T48" s="21">
        <f t="shared" si="101"/>
        <v>1101.2432304999998</v>
      </c>
      <c r="U48" s="21">
        <f t="shared" si="101"/>
        <v>1101.2432304999998</v>
      </c>
      <c r="V48" s="21">
        <f t="shared" si="101"/>
        <v>1101.2432304999998</v>
      </c>
      <c r="W48" s="21">
        <f t="shared" si="101"/>
        <v>1101.2432304999998</v>
      </c>
      <c r="X48" s="21">
        <f t="shared" si="101"/>
        <v>1101.2432304999998</v>
      </c>
      <c r="Y48" s="21">
        <f t="shared" si="101"/>
        <v>1101.2432304999998</v>
      </c>
      <c r="Z48" s="21">
        <f t="shared" si="101"/>
        <v>1101.2432304999998</v>
      </c>
      <c r="AA48" s="21">
        <f t="shared" si="101"/>
        <v>1101.2432304999998</v>
      </c>
      <c r="AB48" s="21">
        <f t="shared" si="101"/>
        <v>1101.2432304999998</v>
      </c>
      <c r="AC48" s="21">
        <f t="shared" si="101"/>
        <v>1101.2432304999998</v>
      </c>
      <c r="AD48" s="21">
        <f t="shared" si="101"/>
        <v>1101.2432304999998</v>
      </c>
      <c r="AE48" s="21">
        <f t="shared" si="101"/>
        <v>1101.2432304999998</v>
      </c>
      <c r="AF48" s="21">
        <f t="shared" si="101"/>
        <v>0</v>
      </c>
      <c r="AG48" s="21">
        <f>SUM(AG45:AG47)</f>
        <v>492563.11105207494</v>
      </c>
    </row>
    <row r="49" spans="1:33" ht="15.75" thickTop="1" x14ac:dyDescent="0.25">
      <c r="Q49" s="20">
        <f>Q48</f>
        <v>1101.2432304999998</v>
      </c>
      <c r="R49" s="20">
        <f>R48+Q48</f>
        <v>2202.4864609999995</v>
      </c>
      <c r="S49" s="20">
        <f>R49+S48</f>
        <v>3303.7296914999993</v>
      </c>
      <c r="T49" s="20">
        <f t="shared" ref="T49:AE49" si="102">S49+T48</f>
        <v>4404.972921999999</v>
      </c>
      <c r="U49" s="20">
        <f t="shared" si="102"/>
        <v>5506.2161524999992</v>
      </c>
      <c r="V49" s="20">
        <f t="shared" si="102"/>
        <v>6607.4593829999994</v>
      </c>
      <c r="W49" s="20">
        <f t="shared" si="102"/>
        <v>7708.7026134999996</v>
      </c>
      <c r="X49" s="20">
        <f t="shared" si="102"/>
        <v>8809.9458439999999</v>
      </c>
      <c r="Y49" s="20">
        <f t="shared" si="102"/>
        <v>9911.1890745000001</v>
      </c>
      <c r="Z49" s="20">
        <f t="shared" si="102"/>
        <v>11012.432305</v>
      </c>
      <c r="AA49" s="20">
        <f t="shared" si="102"/>
        <v>12113.6755355</v>
      </c>
      <c r="AB49" s="20">
        <f t="shared" si="102"/>
        <v>13214.918766000001</v>
      </c>
      <c r="AC49" s="20">
        <f t="shared" si="102"/>
        <v>14316.161996500001</v>
      </c>
      <c r="AD49" s="20">
        <f t="shared" si="102"/>
        <v>15417.405227000001</v>
      </c>
      <c r="AE49" s="20">
        <f t="shared" si="102"/>
        <v>16518.648457499999</v>
      </c>
      <c r="AG49" s="66"/>
    </row>
    <row r="50" spans="1:33" x14ac:dyDescent="0.25">
      <c r="A50" t="s">
        <v>157</v>
      </c>
      <c r="B50" s="20">
        <f>B48</f>
        <v>39067.224742800005</v>
      </c>
      <c r="C50" s="20">
        <f>B50+C48</f>
        <v>78134.449485600009</v>
      </c>
      <c r="D50" s="20">
        <f t="shared" ref="D50:O50" si="103">C50+D48</f>
        <v>117201.67422840002</v>
      </c>
      <c r="E50" s="20">
        <f t="shared" si="103"/>
        <v>155598.5611687167</v>
      </c>
      <c r="F50" s="20">
        <f t="shared" si="103"/>
        <v>191958.23578611668</v>
      </c>
      <c r="G50" s="20">
        <f t="shared" si="103"/>
        <v>227668.05360661668</v>
      </c>
      <c r="H50" s="20">
        <f t="shared" si="103"/>
        <v>262495.63198170002</v>
      </c>
      <c r="I50" s="20">
        <f t="shared" si="103"/>
        <v>296749.46542307502</v>
      </c>
      <c r="J50" s="20">
        <f t="shared" si="103"/>
        <v>329917.94475899171</v>
      </c>
      <c r="K50" s="20">
        <f t="shared" si="103"/>
        <v>361573.35425328335</v>
      </c>
      <c r="L50" s="20">
        <f t="shared" si="103"/>
        <v>390897.77452057501</v>
      </c>
      <c r="M50" s="20">
        <f t="shared" si="103"/>
        <v>419730.56943740835</v>
      </c>
      <c r="N50" s="20">
        <f t="shared" si="103"/>
        <v>448112.79879540834</v>
      </c>
      <c r="O50" s="20">
        <f t="shared" si="103"/>
        <v>476044.46259457502</v>
      </c>
      <c r="Q50" s="20"/>
      <c r="R50" s="20"/>
      <c r="S50" s="20"/>
      <c r="T50" s="20"/>
      <c r="U50" s="20"/>
      <c r="V50" s="20"/>
      <c r="W50" s="20"/>
      <c r="X50" s="20"/>
      <c r="Y50" s="20"/>
      <c r="Z50" s="20"/>
      <c r="AA50" s="20"/>
      <c r="AB50" s="20"/>
      <c r="AC50" s="20"/>
      <c r="AD50" s="20"/>
      <c r="AE50" s="20"/>
      <c r="AG50" s="23"/>
    </row>
    <row r="51" spans="1:33" x14ac:dyDescent="0.25">
      <c r="A51" t="s">
        <v>206</v>
      </c>
      <c r="B51" s="20">
        <f>B50/2</f>
        <v>19533.612371400002</v>
      </c>
      <c r="C51" s="20">
        <f>(C50+B50)/2</f>
        <v>58600.837114200011</v>
      </c>
      <c r="D51" s="20">
        <f t="shared" ref="D51:O51" si="104">(D50+C50)/2</f>
        <v>97668.061857000022</v>
      </c>
      <c r="E51" s="20">
        <f t="shared" si="104"/>
        <v>136400.11769855837</v>
      </c>
      <c r="F51" s="20">
        <f t="shared" si="104"/>
        <v>173778.39847741669</v>
      </c>
      <c r="G51" s="20">
        <f t="shared" si="104"/>
        <v>209813.14469636668</v>
      </c>
      <c r="H51" s="20">
        <f t="shared" si="104"/>
        <v>245081.84279415835</v>
      </c>
      <c r="I51" s="20">
        <f t="shared" si="104"/>
        <v>279622.54870238749</v>
      </c>
      <c r="J51" s="20">
        <f t="shared" si="104"/>
        <v>313333.70509103336</v>
      </c>
      <c r="K51" s="20">
        <f t="shared" si="104"/>
        <v>345745.64950613753</v>
      </c>
      <c r="L51" s="20">
        <f t="shared" si="104"/>
        <v>376235.56438692915</v>
      </c>
      <c r="M51" s="20">
        <f t="shared" si="104"/>
        <v>405314.17197899171</v>
      </c>
      <c r="N51" s="20">
        <f t="shared" si="104"/>
        <v>433921.68411640835</v>
      </c>
      <c r="O51" s="20">
        <f t="shared" si="104"/>
        <v>462078.63069499168</v>
      </c>
      <c r="Q51" s="20"/>
      <c r="R51" s="20"/>
      <c r="S51" s="20"/>
      <c r="T51" s="20"/>
      <c r="U51" s="20"/>
      <c r="V51" s="20"/>
      <c r="W51" s="20"/>
      <c r="X51" s="20"/>
      <c r="Y51" s="20"/>
      <c r="Z51" s="20"/>
      <c r="AA51" s="20"/>
      <c r="AB51" s="20"/>
      <c r="AC51" s="20"/>
      <c r="AD51" s="20"/>
      <c r="AE51" s="20"/>
    </row>
    <row r="52" spans="1:33" x14ac:dyDescent="0.25">
      <c r="A52" t="s">
        <v>207</v>
      </c>
      <c r="B52" s="20">
        <f>B51*(0.04/12)</f>
        <v>65.112041238000018</v>
      </c>
      <c r="C52" s="20">
        <f t="shared" ref="C52:O52" si="105">C51*(0.04/12)</f>
        <v>195.33612371400005</v>
      </c>
      <c r="D52" s="20">
        <f t="shared" si="105"/>
        <v>325.56020619000009</v>
      </c>
      <c r="E52" s="20">
        <f t="shared" si="105"/>
        <v>454.66705899519462</v>
      </c>
      <c r="F52" s="20">
        <f t="shared" si="105"/>
        <v>579.26132825805564</v>
      </c>
      <c r="G52" s="20">
        <f t="shared" si="105"/>
        <v>699.37714898788897</v>
      </c>
      <c r="H52" s="20">
        <f t="shared" si="105"/>
        <v>816.93947598052785</v>
      </c>
      <c r="I52" s="20">
        <f t="shared" si="105"/>
        <v>932.07516234129173</v>
      </c>
      <c r="J52" s="20">
        <f t="shared" si="105"/>
        <v>1044.4456836367779</v>
      </c>
      <c r="K52" s="20">
        <f t="shared" si="105"/>
        <v>1152.4854983537919</v>
      </c>
      <c r="L52" s="20">
        <f t="shared" si="105"/>
        <v>1254.1185479564306</v>
      </c>
      <c r="M52" s="20">
        <f t="shared" si="105"/>
        <v>1351.0472399299724</v>
      </c>
      <c r="N52" s="20">
        <f t="shared" si="105"/>
        <v>1446.4056137213613</v>
      </c>
      <c r="O52" s="20">
        <f t="shared" si="105"/>
        <v>1540.2621023166391</v>
      </c>
      <c r="Q52" s="20">
        <f>Q49*(0.04/12)</f>
        <v>3.6708107683333329</v>
      </c>
      <c r="R52" s="20">
        <f t="shared" ref="R52:AE52" si="106">R49*(0.04/12)</f>
        <v>7.3416215366666657</v>
      </c>
      <c r="S52" s="20">
        <f t="shared" si="106"/>
        <v>11.012432304999999</v>
      </c>
      <c r="T52" s="20">
        <f t="shared" si="106"/>
        <v>14.683243073333331</v>
      </c>
      <c r="U52" s="20">
        <f t="shared" si="106"/>
        <v>18.354053841666666</v>
      </c>
      <c r="V52" s="20">
        <f t="shared" si="106"/>
        <v>22.024864609999998</v>
      </c>
      <c r="W52" s="20">
        <f t="shared" si="106"/>
        <v>25.695675378333334</v>
      </c>
      <c r="X52" s="20">
        <f t="shared" si="106"/>
        <v>29.366486146666666</v>
      </c>
      <c r="Y52" s="20">
        <f t="shared" si="106"/>
        <v>33.037296914999999</v>
      </c>
      <c r="Z52" s="20">
        <f t="shared" si="106"/>
        <v>36.708107683333338</v>
      </c>
      <c r="AA52" s="20">
        <f t="shared" si="106"/>
        <v>40.378918451666671</v>
      </c>
      <c r="AB52" s="20">
        <f t="shared" si="106"/>
        <v>44.049729220000003</v>
      </c>
      <c r="AC52" s="20">
        <f t="shared" si="106"/>
        <v>47.720539988333343</v>
      </c>
      <c r="AD52" s="20">
        <f t="shared" si="106"/>
        <v>51.391350756666675</v>
      </c>
      <c r="AE52" s="20">
        <f t="shared" si="106"/>
        <v>55.062161525</v>
      </c>
      <c r="AF52" s="20"/>
    </row>
    <row r="53" spans="1:33" x14ac:dyDescent="0.25">
      <c r="A53" t="s">
        <v>189</v>
      </c>
      <c r="B53" s="20">
        <f>B52</f>
        <v>65.112041238000018</v>
      </c>
      <c r="C53" s="20">
        <f>C52+B53</f>
        <v>260.44816495200007</v>
      </c>
      <c r="D53" s="20">
        <f t="shared" ref="D53:O53" si="107">D52+C53</f>
        <v>586.00837114200021</v>
      </c>
      <c r="E53" s="20">
        <f t="shared" si="107"/>
        <v>1040.6754301371948</v>
      </c>
      <c r="F53" s="20">
        <f t="shared" si="107"/>
        <v>1619.9367583952503</v>
      </c>
      <c r="G53" s="20">
        <f t="shared" si="107"/>
        <v>2319.3139073831394</v>
      </c>
      <c r="H53" s="20">
        <f t="shared" si="107"/>
        <v>3136.2533833636671</v>
      </c>
      <c r="I53" s="20">
        <f t="shared" si="107"/>
        <v>4068.3285457049587</v>
      </c>
      <c r="J53" s="20">
        <f t="shared" si="107"/>
        <v>5112.7742293417368</v>
      </c>
      <c r="K53" s="20">
        <f t="shared" si="107"/>
        <v>6265.2597276955285</v>
      </c>
      <c r="L53" s="20">
        <f t="shared" si="107"/>
        <v>7519.3782756519595</v>
      </c>
      <c r="M53" s="20">
        <f t="shared" si="107"/>
        <v>8870.4255155819319</v>
      </c>
      <c r="N53" s="20">
        <f t="shared" si="107"/>
        <v>10316.831129303293</v>
      </c>
      <c r="O53" s="20">
        <f t="shared" si="107"/>
        <v>11857.093231619932</v>
      </c>
      <c r="Q53" s="20">
        <f>Q52</f>
        <v>3.6708107683333329</v>
      </c>
      <c r="R53" s="20">
        <f>Q53+R52</f>
        <v>11.012432304999999</v>
      </c>
      <c r="S53" s="20">
        <f t="shared" ref="S53:AE53" si="108">R53+S52</f>
        <v>22.024864609999998</v>
      </c>
      <c r="T53" s="20">
        <f t="shared" si="108"/>
        <v>36.708107683333331</v>
      </c>
      <c r="U53" s="20">
        <f t="shared" si="108"/>
        <v>55.062161524999993</v>
      </c>
      <c r="V53" s="20">
        <f t="shared" si="108"/>
        <v>77.087026134999988</v>
      </c>
      <c r="W53" s="20">
        <f t="shared" si="108"/>
        <v>102.78270151333332</v>
      </c>
      <c r="X53" s="20">
        <f t="shared" si="108"/>
        <v>132.14918766</v>
      </c>
      <c r="Y53" s="20">
        <f t="shared" si="108"/>
        <v>165.18648457500001</v>
      </c>
      <c r="Z53" s="20">
        <f t="shared" si="108"/>
        <v>201.89459225833335</v>
      </c>
      <c r="AA53" s="20">
        <f t="shared" si="108"/>
        <v>242.27351071000001</v>
      </c>
      <c r="AB53" s="20">
        <f t="shared" si="108"/>
        <v>286.32323993</v>
      </c>
      <c r="AC53" s="20">
        <f t="shared" si="108"/>
        <v>334.04377991833337</v>
      </c>
      <c r="AD53" s="20">
        <f t="shared" si="108"/>
        <v>385.43513067500004</v>
      </c>
      <c r="AE53" s="20">
        <f t="shared" si="108"/>
        <v>440.49729220000006</v>
      </c>
      <c r="AF53" s="20"/>
      <c r="AG53" s="20">
        <f>O53+AE53</f>
        <v>12297.590523819932</v>
      </c>
    </row>
    <row r="54" spans="1:33" ht="15.75" thickBot="1" x14ac:dyDescent="0.3">
      <c r="B54" s="21">
        <f>B50+B53</f>
        <v>39132.336784038001</v>
      </c>
      <c r="C54" s="21">
        <f t="shared" ref="C54:O54" si="109">C50+C53</f>
        <v>78394.897650552011</v>
      </c>
      <c r="D54" s="21">
        <f t="shared" si="109"/>
        <v>117787.68259954202</v>
      </c>
      <c r="E54" s="21">
        <f t="shared" si="109"/>
        <v>156639.23659885389</v>
      </c>
      <c r="F54" s="21">
        <f t="shared" si="109"/>
        <v>193578.17254451194</v>
      </c>
      <c r="G54" s="21">
        <f t="shared" si="109"/>
        <v>229987.36751399981</v>
      </c>
      <c r="H54" s="21">
        <f t="shared" si="109"/>
        <v>265631.88536506367</v>
      </c>
      <c r="I54" s="21">
        <f t="shared" si="109"/>
        <v>300817.79396877997</v>
      </c>
      <c r="J54" s="21">
        <f t="shared" si="109"/>
        <v>335030.71898833342</v>
      </c>
      <c r="K54" s="21">
        <f t="shared" si="109"/>
        <v>367838.6139809789</v>
      </c>
      <c r="L54" s="21">
        <f t="shared" si="109"/>
        <v>398417.15279622696</v>
      </c>
      <c r="M54" s="21">
        <f t="shared" si="109"/>
        <v>428600.99495299027</v>
      </c>
      <c r="N54" s="21">
        <f t="shared" si="109"/>
        <v>458429.62992471165</v>
      </c>
      <c r="O54" s="21">
        <f t="shared" si="109"/>
        <v>487901.55582619493</v>
      </c>
      <c r="Q54" s="21">
        <f>O54+Q48+Q52</f>
        <v>489006.46986746328</v>
      </c>
      <c r="R54" s="21">
        <f>Q54+R48+R52</f>
        <v>490115.05471949995</v>
      </c>
      <c r="S54" s="21">
        <f t="shared" ref="S54:AE54" si="110">R54+S48+S52</f>
        <v>491227.310382305</v>
      </c>
      <c r="T54" s="21">
        <f t="shared" si="110"/>
        <v>492343.23685587838</v>
      </c>
      <c r="U54" s="21">
        <f t="shared" si="110"/>
        <v>493462.83414022007</v>
      </c>
      <c r="V54" s="21">
        <f t="shared" si="110"/>
        <v>494586.10223533009</v>
      </c>
      <c r="W54" s="21">
        <f t="shared" si="110"/>
        <v>495713.04114120844</v>
      </c>
      <c r="X54" s="21">
        <f t="shared" si="110"/>
        <v>496843.6508578551</v>
      </c>
      <c r="Y54" s="21">
        <f t="shared" si="110"/>
        <v>497977.93138527015</v>
      </c>
      <c r="Z54" s="21">
        <f t="shared" si="110"/>
        <v>499115.88272345351</v>
      </c>
      <c r="AA54" s="21">
        <f t="shared" si="110"/>
        <v>500257.5048724052</v>
      </c>
      <c r="AB54" s="21">
        <f t="shared" si="110"/>
        <v>501402.79783212522</v>
      </c>
      <c r="AC54" s="21">
        <f t="shared" si="110"/>
        <v>502551.76160261355</v>
      </c>
      <c r="AD54" s="21">
        <f t="shared" si="110"/>
        <v>503704.39618387027</v>
      </c>
      <c r="AE54" s="21">
        <f t="shared" si="110"/>
        <v>504860.70157589531</v>
      </c>
      <c r="AF54" s="17"/>
      <c r="AG54" s="21">
        <f>AG48+AG53</f>
        <v>504860.70157589484</v>
      </c>
    </row>
    <row r="55" spans="1:33" ht="15.75" thickTop="1" x14ac:dyDescent="0.25"/>
  </sheetData>
  <pageMargins left="0.7" right="0.7" top="0.75" bottom="0.75" header="0.3" footer="0.3"/>
  <pageSetup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6"/>
  <sheetViews>
    <sheetView workbookViewId="0">
      <selection activeCell="D12" sqref="D12"/>
    </sheetView>
  </sheetViews>
  <sheetFormatPr defaultRowHeight="15" x14ac:dyDescent="0.25"/>
  <cols>
    <col min="1" max="1" width="16.28515625" bestFit="1" customWidth="1"/>
    <col min="2" max="2" width="20.140625" bestFit="1" customWidth="1"/>
    <col min="3" max="3" width="10.7109375" style="8" bestFit="1" customWidth="1"/>
    <col min="4" max="4" width="39.140625" style="9" bestFit="1" customWidth="1"/>
    <col min="5" max="5" width="27" bestFit="1" customWidth="1"/>
    <col min="6" max="6" width="13.5703125" bestFit="1" customWidth="1"/>
    <col min="7" max="7" width="11.85546875" bestFit="1" customWidth="1"/>
  </cols>
  <sheetData>
    <row r="1" spans="1:8" x14ac:dyDescent="0.25">
      <c r="A1" s="13" t="s">
        <v>0</v>
      </c>
      <c r="B1" s="13" t="s">
        <v>1</v>
      </c>
      <c r="C1" s="13" t="s">
        <v>2</v>
      </c>
      <c r="D1" s="14" t="s">
        <v>3</v>
      </c>
      <c r="E1" s="14" t="s">
        <v>4</v>
      </c>
      <c r="F1" s="14" t="s">
        <v>5</v>
      </c>
      <c r="G1" s="14" t="s">
        <v>127</v>
      </c>
      <c r="H1" s="14" t="s">
        <v>132</v>
      </c>
    </row>
    <row r="2" spans="1:8" x14ac:dyDescent="0.25">
      <c r="A2" s="1">
        <v>56881</v>
      </c>
      <c r="B2" s="2" t="s">
        <v>6</v>
      </c>
      <c r="C2" s="4" t="s">
        <v>7</v>
      </c>
      <c r="D2" s="10" t="s">
        <v>64</v>
      </c>
      <c r="E2" s="2" t="s">
        <v>9</v>
      </c>
      <c r="F2" s="2" t="s">
        <v>10</v>
      </c>
      <c r="G2" s="7">
        <v>43468</v>
      </c>
      <c r="H2" t="s">
        <v>131</v>
      </c>
    </row>
    <row r="3" spans="1:8" x14ac:dyDescent="0.25">
      <c r="A3" s="1">
        <v>73711</v>
      </c>
      <c r="B3" s="2" t="s">
        <v>6</v>
      </c>
      <c r="C3" s="4" t="s">
        <v>7</v>
      </c>
      <c r="D3" s="10" t="s">
        <v>78</v>
      </c>
      <c r="E3" s="2" t="s">
        <v>9</v>
      </c>
      <c r="F3" s="2" t="s">
        <v>10</v>
      </c>
      <c r="G3" s="7">
        <v>43468</v>
      </c>
      <c r="H3" t="s">
        <v>131</v>
      </c>
    </row>
    <row r="4" spans="1:8" x14ac:dyDescent="0.25">
      <c r="A4" s="1">
        <v>78759</v>
      </c>
      <c r="B4" s="2" t="s">
        <v>6</v>
      </c>
      <c r="C4" s="4" t="s">
        <v>7</v>
      </c>
      <c r="D4" s="10" t="s">
        <v>86</v>
      </c>
      <c r="E4" s="2" t="s">
        <v>9</v>
      </c>
      <c r="F4" s="2" t="s">
        <v>10</v>
      </c>
      <c r="G4" s="7">
        <v>43468</v>
      </c>
      <c r="H4" t="s">
        <v>131</v>
      </c>
    </row>
    <row r="5" spans="1:8" x14ac:dyDescent="0.25">
      <c r="A5" s="1">
        <v>52700</v>
      </c>
      <c r="B5" s="2" t="s">
        <v>6</v>
      </c>
      <c r="C5" s="4" t="s">
        <v>7</v>
      </c>
      <c r="D5" s="10" t="s">
        <v>55</v>
      </c>
      <c r="E5" s="2" t="s">
        <v>9</v>
      </c>
      <c r="F5" s="2" t="s">
        <v>10</v>
      </c>
      <c r="G5" s="7">
        <v>43469</v>
      </c>
      <c r="H5" t="s">
        <v>131</v>
      </c>
    </row>
    <row r="6" spans="1:8" x14ac:dyDescent="0.25">
      <c r="A6" s="1">
        <v>137241</v>
      </c>
      <c r="B6" s="2" t="s">
        <v>6</v>
      </c>
      <c r="C6" s="4" t="s">
        <v>7</v>
      </c>
      <c r="D6" s="10" t="s">
        <v>118</v>
      </c>
      <c r="E6" s="2" t="s">
        <v>9</v>
      </c>
      <c r="F6" s="2" t="s">
        <v>10</v>
      </c>
      <c r="G6" s="7">
        <v>43472</v>
      </c>
      <c r="H6" t="s">
        <v>131</v>
      </c>
    </row>
    <row r="7" spans="1:8" x14ac:dyDescent="0.25">
      <c r="A7" s="1">
        <v>133050</v>
      </c>
      <c r="B7" s="2" t="s">
        <v>6</v>
      </c>
      <c r="C7" s="4" t="s">
        <v>29</v>
      </c>
      <c r="D7" s="10" t="s">
        <v>114</v>
      </c>
      <c r="E7" s="2" t="s">
        <v>9</v>
      </c>
      <c r="F7" s="2" t="s">
        <v>10</v>
      </c>
      <c r="G7" s="7">
        <v>43475</v>
      </c>
      <c r="H7" t="s">
        <v>131</v>
      </c>
    </row>
    <row r="8" spans="1:8" x14ac:dyDescent="0.25">
      <c r="A8" s="1">
        <v>56952</v>
      </c>
      <c r="B8" s="2" t="s">
        <v>6</v>
      </c>
      <c r="C8" s="4" t="s">
        <v>7</v>
      </c>
      <c r="D8" s="10" t="s">
        <v>67</v>
      </c>
      <c r="E8" s="2" t="s">
        <v>9</v>
      </c>
      <c r="F8" s="2" t="s">
        <v>10</v>
      </c>
      <c r="G8" s="7">
        <v>43481</v>
      </c>
      <c r="H8" t="s">
        <v>131</v>
      </c>
    </row>
    <row r="9" spans="1:8" x14ac:dyDescent="0.25">
      <c r="A9" s="1">
        <v>56830</v>
      </c>
      <c r="B9" s="2" t="s">
        <v>6</v>
      </c>
      <c r="C9" s="4" t="s">
        <v>7</v>
      </c>
      <c r="D9" s="10" t="s">
        <v>62</v>
      </c>
      <c r="E9" s="2" t="s">
        <v>9</v>
      </c>
      <c r="F9" s="2" t="s">
        <v>10</v>
      </c>
      <c r="G9" s="7">
        <v>43488</v>
      </c>
      <c r="H9" t="s">
        <v>131</v>
      </c>
    </row>
    <row r="10" spans="1:8" x14ac:dyDescent="0.25">
      <c r="A10" s="1">
        <v>56851</v>
      </c>
      <c r="B10" s="2" t="s">
        <v>6</v>
      </c>
      <c r="C10" s="4" t="s">
        <v>7</v>
      </c>
      <c r="D10" s="10" t="s">
        <v>63</v>
      </c>
      <c r="E10" s="2" t="s">
        <v>9</v>
      </c>
      <c r="F10" s="2" t="s">
        <v>10</v>
      </c>
      <c r="G10" s="7">
        <v>43493</v>
      </c>
      <c r="H10" t="s">
        <v>131</v>
      </c>
    </row>
    <row r="11" spans="1:8" x14ac:dyDescent="0.25">
      <c r="A11" s="1">
        <v>86986</v>
      </c>
      <c r="B11" s="2" t="s">
        <v>6</v>
      </c>
      <c r="C11" s="4" t="s">
        <v>7</v>
      </c>
      <c r="D11" s="10" t="s">
        <v>98</v>
      </c>
      <c r="E11" s="2" t="s">
        <v>9</v>
      </c>
      <c r="F11" s="2" t="s">
        <v>10</v>
      </c>
      <c r="G11" s="7">
        <v>43494</v>
      </c>
      <c r="H11" t="s">
        <v>131</v>
      </c>
    </row>
    <row r="12" spans="1:8" x14ac:dyDescent="0.25">
      <c r="A12" s="1">
        <v>6052</v>
      </c>
      <c r="B12" s="2" t="s">
        <v>11</v>
      </c>
      <c r="C12" s="4" t="s">
        <v>7</v>
      </c>
      <c r="D12" s="5" t="s">
        <v>14</v>
      </c>
      <c r="E12" s="3" t="s">
        <v>9</v>
      </c>
      <c r="F12" t="s">
        <v>10</v>
      </c>
      <c r="G12" s="7">
        <v>43500</v>
      </c>
      <c r="H12" t="s">
        <v>133</v>
      </c>
    </row>
    <row r="13" spans="1:8" x14ac:dyDescent="0.25">
      <c r="A13" s="6">
        <v>70082</v>
      </c>
      <c r="B13" s="7"/>
      <c r="C13" s="8" t="s">
        <v>156</v>
      </c>
      <c r="F13" t="s">
        <v>10</v>
      </c>
      <c r="G13" s="7">
        <v>43679</v>
      </c>
      <c r="H13" t="s">
        <v>139</v>
      </c>
    </row>
    <row r="14" spans="1:8" x14ac:dyDescent="0.25">
      <c r="A14" s="1">
        <v>89984</v>
      </c>
      <c r="B14" s="2" t="s">
        <v>6</v>
      </c>
      <c r="C14" s="4" t="s">
        <v>7</v>
      </c>
      <c r="D14" s="10" t="s">
        <v>100</v>
      </c>
      <c r="E14" s="2" t="s">
        <v>9</v>
      </c>
      <c r="F14" s="2" t="s">
        <v>10</v>
      </c>
      <c r="G14" s="7">
        <v>43507</v>
      </c>
      <c r="H14" t="s">
        <v>133</v>
      </c>
    </row>
    <row r="15" spans="1:8" x14ac:dyDescent="0.25">
      <c r="A15" s="1">
        <v>25875</v>
      </c>
      <c r="B15" s="2" t="s">
        <v>6</v>
      </c>
      <c r="C15" s="4" t="s">
        <v>7</v>
      </c>
      <c r="D15" s="10" t="s">
        <v>28</v>
      </c>
      <c r="E15" s="2" t="s">
        <v>9</v>
      </c>
      <c r="F15" s="2" t="s">
        <v>10</v>
      </c>
      <c r="G15" s="7">
        <v>43509</v>
      </c>
      <c r="H15" t="s">
        <v>133</v>
      </c>
    </row>
    <row r="16" spans="1:8" x14ac:dyDescent="0.25">
      <c r="A16" s="1">
        <v>56615</v>
      </c>
      <c r="B16" s="2" t="s">
        <v>6</v>
      </c>
      <c r="C16" s="4" t="s">
        <v>7</v>
      </c>
      <c r="D16" s="10" t="s">
        <v>59</v>
      </c>
      <c r="E16" s="2" t="s">
        <v>9</v>
      </c>
      <c r="F16" s="2" t="s">
        <v>10</v>
      </c>
      <c r="G16" s="7">
        <v>43510</v>
      </c>
      <c r="H16" t="s">
        <v>133</v>
      </c>
    </row>
    <row r="17" spans="1:8" x14ac:dyDescent="0.25">
      <c r="A17" s="1">
        <v>70045</v>
      </c>
      <c r="B17" s="2" t="s">
        <v>6</v>
      </c>
      <c r="C17" s="4" t="s">
        <v>7</v>
      </c>
      <c r="D17" s="10" t="s">
        <v>73</v>
      </c>
      <c r="E17" s="2" t="s">
        <v>9</v>
      </c>
      <c r="F17" s="2" t="s">
        <v>10</v>
      </c>
      <c r="G17" s="7">
        <v>43511</v>
      </c>
      <c r="H17" t="s">
        <v>133</v>
      </c>
    </row>
    <row r="18" spans="1:8" x14ac:dyDescent="0.25">
      <c r="A18" s="1">
        <v>73856</v>
      </c>
      <c r="B18" s="2" t="s">
        <v>6</v>
      </c>
      <c r="C18" s="4" t="s">
        <v>7</v>
      </c>
      <c r="D18" s="10" t="s">
        <v>79</v>
      </c>
      <c r="E18" s="2" t="s">
        <v>9</v>
      </c>
      <c r="F18" s="2" t="s">
        <v>10</v>
      </c>
      <c r="G18" s="7">
        <v>43511</v>
      </c>
      <c r="H18" t="s">
        <v>133</v>
      </c>
    </row>
    <row r="19" spans="1:8" x14ac:dyDescent="0.25">
      <c r="A19" s="1">
        <v>93317</v>
      </c>
      <c r="B19" s="2" t="s">
        <v>6</v>
      </c>
      <c r="C19" s="4" t="s">
        <v>7</v>
      </c>
      <c r="D19" s="10" t="s">
        <v>104</v>
      </c>
      <c r="E19" s="2" t="s">
        <v>9</v>
      </c>
      <c r="F19" s="2" t="s">
        <v>10</v>
      </c>
      <c r="G19" s="7">
        <v>43511</v>
      </c>
      <c r="H19" t="s">
        <v>133</v>
      </c>
    </row>
    <row r="20" spans="1:8" x14ac:dyDescent="0.25">
      <c r="A20" s="1">
        <v>52359</v>
      </c>
      <c r="B20" s="2" t="s">
        <v>6</v>
      </c>
      <c r="C20" s="4" t="s">
        <v>7</v>
      </c>
      <c r="D20" s="10" t="s">
        <v>50</v>
      </c>
      <c r="E20" s="2" t="s">
        <v>9</v>
      </c>
      <c r="F20" s="2" t="s">
        <v>10</v>
      </c>
      <c r="G20" s="7">
        <v>43518</v>
      </c>
      <c r="H20" t="s">
        <v>133</v>
      </c>
    </row>
    <row r="21" spans="1:8" x14ac:dyDescent="0.25">
      <c r="A21" s="1">
        <v>43678</v>
      </c>
      <c r="B21" s="2" t="s">
        <v>6</v>
      </c>
      <c r="C21" s="4" t="s">
        <v>29</v>
      </c>
      <c r="D21" s="10" t="s">
        <v>43</v>
      </c>
      <c r="E21" s="2" t="s">
        <v>9</v>
      </c>
      <c r="F21" s="2" t="s">
        <v>10</v>
      </c>
      <c r="G21" s="7">
        <v>43521</v>
      </c>
      <c r="H21" t="s">
        <v>133</v>
      </c>
    </row>
    <row r="22" spans="1:8" x14ac:dyDescent="0.25">
      <c r="A22" s="1">
        <v>21419</v>
      </c>
      <c r="B22" s="2" t="s">
        <v>6</v>
      </c>
      <c r="C22" s="4" t="s">
        <v>7</v>
      </c>
      <c r="D22" s="10" t="s">
        <v>26</v>
      </c>
      <c r="E22" s="2" t="s">
        <v>9</v>
      </c>
      <c r="F22" s="2" t="s">
        <v>10</v>
      </c>
      <c r="G22" s="7">
        <v>43523</v>
      </c>
      <c r="H22" t="s">
        <v>133</v>
      </c>
    </row>
    <row r="23" spans="1:8" x14ac:dyDescent="0.25">
      <c r="A23" s="1">
        <v>43540</v>
      </c>
      <c r="B23" s="2" t="s">
        <v>11</v>
      </c>
      <c r="C23" s="4" t="s">
        <v>7</v>
      </c>
      <c r="D23" s="10" t="s">
        <v>42</v>
      </c>
      <c r="E23" s="2" t="s">
        <v>13</v>
      </c>
      <c r="F23" s="2" t="s">
        <v>10</v>
      </c>
      <c r="G23" s="7">
        <v>43523</v>
      </c>
      <c r="H23" t="s">
        <v>133</v>
      </c>
    </row>
    <row r="24" spans="1:8" x14ac:dyDescent="0.25">
      <c r="A24" s="1">
        <v>56947</v>
      </c>
      <c r="B24" s="2" t="s">
        <v>11</v>
      </c>
      <c r="C24" s="4" t="s">
        <v>7</v>
      </c>
      <c r="D24" s="10" t="s">
        <v>66</v>
      </c>
      <c r="E24" s="2" t="s">
        <v>13</v>
      </c>
      <c r="F24" s="2" t="s">
        <v>10</v>
      </c>
      <c r="G24" s="7">
        <v>43523</v>
      </c>
      <c r="H24" t="s">
        <v>133</v>
      </c>
    </row>
    <row r="25" spans="1:8" x14ac:dyDescent="0.25">
      <c r="A25" s="1">
        <v>78794</v>
      </c>
      <c r="B25" s="2" t="s">
        <v>6</v>
      </c>
      <c r="C25" s="4" t="s">
        <v>29</v>
      </c>
      <c r="D25" s="10" t="s">
        <v>88</v>
      </c>
      <c r="E25" s="2" t="s">
        <v>9</v>
      </c>
      <c r="F25" s="2" t="s">
        <v>10</v>
      </c>
      <c r="G25" s="7">
        <v>43523</v>
      </c>
      <c r="H25" t="s">
        <v>133</v>
      </c>
    </row>
    <row r="26" spans="1:8" x14ac:dyDescent="0.25">
      <c r="A26" s="1">
        <v>86675</v>
      </c>
      <c r="B26" s="2" t="s">
        <v>6</v>
      </c>
      <c r="C26" s="4" t="s">
        <v>29</v>
      </c>
      <c r="D26" s="10" t="s">
        <v>96</v>
      </c>
      <c r="E26" s="2" t="s">
        <v>9</v>
      </c>
      <c r="F26" s="2" t="s">
        <v>10</v>
      </c>
      <c r="G26" s="7">
        <v>43523</v>
      </c>
      <c r="H26" t="s">
        <v>133</v>
      </c>
    </row>
    <row r="27" spans="1:8" x14ac:dyDescent="0.25">
      <c r="A27" s="1">
        <v>65731</v>
      </c>
      <c r="B27" s="2" t="s">
        <v>6</v>
      </c>
      <c r="C27" s="4" t="s">
        <v>7</v>
      </c>
      <c r="D27" s="10" t="s">
        <v>70</v>
      </c>
      <c r="E27" s="2" t="s">
        <v>9</v>
      </c>
      <c r="F27" s="2" t="s">
        <v>10</v>
      </c>
      <c r="G27" s="7">
        <v>43528</v>
      </c>
      <c r="H27" t="s">
        <v>134</v>
      </c>
    </row>
    <row r="28" spans="1:8" x14ac:dyDescent="0.25">
      <c r="A28" s="1">
        <v>137517</v>
      </c>
      <c r="B28" s="2" t="s">
        <v>6</v>
      </c>
      <c r="C28" s="4" t="s">
        <v>7</v>
      </c>
      <c r="D28" s="10" t="s">
        <v>120</v>
      </c>
      <c r="E28" s="2" t="s">
        <v>9</v>
      </c>
      <c r="F28" s="2" t="s">
        <v>10</v>
      </c>
      <c r="G28" s="7">
        <v>43529</v>
      </c>
      <c r="H28" t="s">
        <v>134</v>
      </c>
    </row>
    <row r="29" spans="1:8" x14ac:dyDescent="0.25">
      <c r="A29" s="1">
        <v>5957</v>
      </c>
      <c r="B29" s="2" t="s">
        <v>11</v>
      </c>
      <c r="C29" s="4" t="s">
        <v>7</v>
      </c>
      <c r="D29" s="5" t="s">
        <v>12</v>
      </c>
      <c r="E29" s="3" t="s">
        <v>13</v>
      </c>
      <c r="F29" t="s">
        <v>10</v>
      </c>
      <c r="G29" s="7">
        <v>43530</v>
      </c>
      <c r="H29" t="s">
        <v>134</v>
      </c>
    </row>
    <row r="30" spans="1:8" x14ac:dyDescent="0.25">
      <c r="A30" s="1">
        <v>61735</v>
      </c>
      <c r="B30" s="2" t="s">
        <v>6</v>
      </c>
      <c r="C30" s="4" t="s">
        <v>7</v>
      </c>
      <c r="D30" s="10" t="s">
        <v>68</v>
      </c>
      <c r="E30" s="2" t="s">
        <v>9</v>
      </c>
      <c r="F30" s="4" t="s">
        <v>10</v>
      </c>
      <c r="G30" s="7">
        <v>43530</v>
      </c>
      <c r="H30" t="s">
        <v>134</v>
      </c>
    </row>
    <row r="31" spans="1:8" x14ac:dyDescent="0.25">
      <c r="A31" s="1">
        <v>89752</v>
      </c>
      <c r="B31" s="2" t="s">
        <v>11</v>
      </c>
      <c r="C31" s="4" t="s">
        <v>7</v>
      </c>
      <c r="D31" s="10" t="s">
        <v>99</v>
      </c>
      <c r="E31" s="2" t="s">
        <v>9</v>
      </c>
      <c r="F31" s="2" t="s">
        <v>10</v>
      </c>
      <c r="G31" s="7">
        <v>43530</v>
      </c>
      <c r="H31" t="s">
        <v>134</v>
      </c>
    </row>
    <row r="32" spans="1:8" x14ac:dyDescent="0.25">
      <c r="A32" s="1">
        <v>56574</v>
      </c>
      <c r="B32" s="2" t="s">
        <v>6</v>
      </c>
      <c r="C32" s="4" t="s">
        <v>7</v>
      </c>
      <c r="D32" s="10" t="s">
        <v>58</v>
      </c>
      <c r="E32" s="2" t="s">
        <v>9</v>
      </c>
      <c r="F32" s="2" t="s">
        <v>10</v>
      </c>
      <c r="G32" s="7">
        <v>43532</v>
      </c>
      <c r="H32" t="s">
        <v>134</v>
      </c>
    </row>
    <row r="33" spans="1:8" x14ac:dyDescent="0.25">
      <c r="A33" s="1">
        <v>78906</v>
      </c>
      <c r="B33" s="2" t="s">
        <v>6</v>
      </c>
      <c r="C33" s="4" t="s">
        <v>7</v>
      </c>
      <c r="D33" s="10" t="s">
        <v>90</v>
      </c>
      <c r="E33" s="2" t="s">
        <v>9</v>
      </c>
      <c r="F33" s="2" t="s">
        <v>10</v>
      </c>
      <c r="G33" s="7">
        <v>43532</v>
      </c>
      <c r="H33" t="s">
        <v>134</v>
      </c>
    </row>
    <row r="34" spans="1:8" x14ac:dyDescent="0.25">
      <c r="A34" s="1">
        <v>79189</v>
      </c>
      <c r="B34" s="2" t="s">
        <v>6</v>
      </c>
      <c r="C34" s="4" t="s">
        <v>7</v>
      </c>
      <c r="D34" s="10" t="s">
        <v>94</v>
      </c>
      <c r="E34" s="2" t="s">
        <v>13</v>
      </c>
      <c r="F34" s="2" t="s">
        <v>10</v>
      </c>
      <c r="G34" s="7">
        <v>43536</v>
      </c>
      <c r="H34" t="s">
        <v>134</v>
      </c>
    </row>
    <row r="35" spans="1:8" x14ac:dyDescent="0.25">
      <c r="A35" s="1">
        <v>142422</v>
      </c>
      <c r="B35" s="2" t="s">
        <v>6</v>
      </c>
      <c r="C35" s="4" t="s">
        <v>7</v>
      </c>
      <c r="D35" s="10" t="s">
        <v>122</v>
      </c>
      <c r="E35" s="2" t="s">
        <v>9</v>
      </c>
      <c r="F35" s="2" t="s">
        <v>10</v>
      </c>
      <c r="G35" s="7">
        <v>43537</v>
      </c>
      <c r="H35" t="s">
        <v>134</v>
      </c>
    </row>
    <row r="36" spans="1:8" x14ac:dyDescent="0.25">
      <c r="A36" s="1">
        <v>142423</v>
      </c>
      <c r="B36" s="2" t="s">
        <v>6</v>
      </c>
      <c r="C36" s="4" t="s">
        <v>7</v>
      </c>
      <c r="D36" s="10" t="s">
        <v>123</v>
      </c>
      <c r="E36" s="2" t="s">
        <v>9</v>
      </c>
      <c r="F36" s="2" t="s">
        <v>10</v>
      </c>
      <c r="G36" s="7">
        <v>43537</v>
      </c>
      <c r="H36" t="s">
        <v>134</v>
      </c>
    </row>
    <row r="37" spans="1:8" x14ac:dyDescent="0.25">
      <c r="A37" s="1">
        <v>78819</v>
      </c>
      <c r="B37" s="2" t="s">
        <v>6</v>
      </c>
      <c r="C37" s="4" t="s">
        <v>7</v>
      </c>
      <c r="D37" s="10" t="s">
        <v>89</v>
      </c>
      <c r="E37" s="2" t="s">
        <v>9</v>
      </c>
      <c r="F37" s="2" t="s">
        <v>10</v>
      </c>
      <c r="G37" s="7">
        <v>43538</v>
      </c>
      <c r="H37" t="s">
        <v>134</v>
      </c>
    </row>
    <row r="38" spans="1:8" x14ac:dyDescent="0.25">
      <c r="A38" s="1">
        <v>122987</v>
      </c>
      <c r="B38" s="2" t="s">
        <v>11</v>
      </c>
      <c r="C38" s="4" t="s">
        <v>16</v>
      </c>
      <c r="D38" s="10" t="s">
        <v>112</v>
      </c>
      <c r="E38" s="2" t="s">
        <v>9</v>
      </c>
      <c r="F38" s="2" t="s">
        <v>10</v>
      </c>
      <c r="G38" s="7">
        <v>43538</v>
      </c>
      <c r="H38" t="s">
        <v>134</v>
      </c>
    </row>
    <row r="39" spans="1:8" x14ac:dyDescent="0.25">
      <c r="A39" s="1">
        <v>14029</v>
      </c>
      <c r="B39" s="2" t="s">
        <v>11</v>
      </c>
      <c r="C39" s="4" t="s">
        <v>7</v>
      </c>
      <c r="D39" s="5" t="s">
        <v>19</v>
      </c>
      <c r="E39" s="3" t="s">
        <v>13</v>
      </c>
      <c r="F39" t="s">
        <v>10</v>
      </c>
      <c r="G39" s="7">
        <v>43544</v>
      </c>
      <c r="H39" t="s">
        <v>134</v>
      </c>
    </row>
    <row r="40" spans="1:8" x14ac:dyDescent="0.25">
      <c r="A40" s="1">
        <v>48218</v>
      </c>
      <c r="B40" s="2" t="s">
        <v>6</v>
      </c>
      <c r="C40" s="4" t="s">
        <v>7</v>
      </c>
      <c r="D40" s="10" t="s">
        <v>47</v>
      </c>
      <c r="E40" s="2" t="s">
        <v>9</v>
      </c>
      <c r="F40" s="2" t="s">
        <v>10</v>
      </c>
      <c r="G40" s="7">
        <v>43544</v>
      </c>
      <c r="H40" t="s">
        <v>134</v>
      </c>
    </row>
    <row r="41" spans="1:8" x14ac:dyDescent="0.25">
      <c r="A41" s="1">
        <v>94379</v>
      </c>
      <c r="B41" s="2" t="s">
        <v>11</v>
      </c>
      <c r="C41" s="4" t="s">
        <v>7</v>
      </c>
      <c r="D41" s="10" t="s">
        <v>105</v>
      </c>
      <c r="E41" s="2" t="s">
        <v>9</v>
      </c>
      <c r="F41" s="2" t="s">
        <v>10</v>
      </c>
      <c r="G41" s="7">
        <v>43544</v>
      </c>
      <c r="H41" t="s">
        <v>134</v>
      </c>
    </row>
    <row r="42" spans="1:8" x14ac:dyDescent="0.25">
      <c r="A42" s="1">
        <v>35263</v>
      </c>
      <c r="B42" s="2" t="s">
        <v>6</v>
      </c>
      <c r="C42" s="4" t="s">
        <v>7</v>
      </c>
      <c r="D42" s="10" t="s">
        <v>36</v>
      </c>
      <c r="E42" s="2" t="s">
        <v>9</v>
      </c>
      <c r="F42" s="2" t="s">
        <v>10</v>
      </c>
      <c r="G42" s="7">
        <v>43545</v>
      </c>
      <c r="H42" t="s">
        <v>134</v>
      </c>
    </row>
    <row r="43" spans="1:8" x14ac:dyDescent="0.25">
      <c r="A43" s="1">
        <v>78664</v>
      </c>
      <c r="B43" s="2" t="s">
        <v>6</v>
      </c>
      <c r="C43" s="4" t="s">
        <v>7</v>
      </c>
      <c r="D43" s="10" t="s">
        <v>84</v>
      </c>
      <c r="E43" s="2" t="s">
        <v>9</v>
      </c>
      <c r="F43" s="2" t="s">
        <v>10</v>
      </c>
      <c r="G43" s="7">
        <v>43545</v>
      </c>
      <c r="H43" t="s">
        <v>134</v>
      </c>
    </row>
    <row r="44" spans="1:8" x14ac:dyDescent="0.25">
      <c r="A44" s="1">
        <v>14291</v>
      </c>
      <c r="B44" s="2" t="s">
        <v>11</v>
      </c>
      <c r="C44" s="4" t="s">
        <v>7</v>
      </c>
      <c r="D44" s="5" t="s">
        <v>23</v>
      </c>
      <c r="E44" s="3" t="s">
        <v>13</v>
      </c>
      <c r="F44" t="s">
        <v>10</v>
      </c>
      <c r="G44" s="7">
        <v>43546</v>
      </c>
      <c r="H44" t="s">
        <v>134</v>
      </c>
    </row>
    <row r="45" spans="1:8" x14ac:dyDescent="0.25">
      <c r="A45" s="1">
        <v>56759</v>
      </c>
      <c r="B45" s="2" t="s">
        <v>11</v>
      </c>
      <c r="C45" s="4" t="s">
        <v>7</v>
      </c>
      <c r="D45" s="10" t="s">
        <v>61</v>
      </c>
      <c r="E45" s="2" t="s">
        <v>9</v>
      </c>
      <c r="F45" s="2" t="s">
        <v>10</v>
      </c>
      <c r="G45" s="7">
        <v>43550</v>
      </c>
      <c r="H45" t="s">
        <v>134</v>
      </c>
    </row>
    <row r="46" spans="1:8" x14ac:dyDescent="0.25">
      <c r="A46" s="6">
        <v>86737</v>
      </c>
      <c r="B46" s="7"/>
      <c r="C46" s="4" t="s">
        <v>29</v>
      </c>
      <c r="F46" t="s">
        <v>10</v>
      </c>
      <c r="G46" s="7">
        <v>43579</v>
      </c>
      <c r="H46" t="s">
        <v>135</v>
      </c>
    </row>
    <row r="47" spans="1:8" x14ac:dyDescent="0.25">
      <c r="A47" s="1">
        <v>91330</v>
      </c>
      <c r="B47" s="2" t="s">
        <v>6</v>
      </c>
      <c r="C47" s="4" t="s">
        <v>29</v>
      </c>
      <c r="D47" s="10" t="s">
        <v>103</v>
      </c>
      <c r="E47" s="2" t="s">
        <v>9</v>
      </c>
      <c r="F47" s="2" t="s">
        <v>10</v>
      </c>
      <c r="G47" s="7">
        <v>43670</v>
      </c>
      <c r="H47" t="s">
        <v>138</v>
      </c>
    </row>
    <row r="48" spans="1:8" x14ac:dyDescent="0.25">
      <c r="A48" s="1">
        <v>52483</v>
      </c>
      <c r="B48" s="2" t="s">
        <v>11</v>
      </c>
      <c r="C48" s="4" t="s">
        <v>7</v>
      </c>
      <c r="D48" s="10" t="s">
        <v>53</v>
      </c>
      <c r="E48" s="2" t="s">
        <v>9</v>
      </c>
      <c r="F48" s="2" t="s">
        <v>10</v>
      </c>
      <c r="G48" s="7">
        <v>43551</v>
      </c>
      <c r="H48" t="s">
        <v>134</v>
      </c>
    </row>
    <row r="49" spans="1:8" x14ac:dyDescent="0.25">
      <c r="A49" s="1">
        <v>137242</v>
      </c>
      <c r="B49" s="2" t="s">
        <v>11</v>
      </c>
      <c r="C49" s="4" t="s">
        <v>7</v>
      </c>
      <c r="D49" s="11" t="s">
        <v>119</v>
      </c>
      <c r="E49" s="5" t="s">
        <v>9</v>
      </c>
      <c r="F49" s="5" t="s">
        <v>10</v>
      </c>
      <c r="G49" s="7">
        <v>43551</v>
      </c>
      <c r="H49" t="s">
        <v>134</v>
      </c>
    </row>
    <row r="50" spans="1:8" x14ac:dyDescent="0.25">
      <c r="A50" s="1">
        <v>5934</v>
      </c>
      <c r="B50" s="2" t="s">
        <v>6</v>
      </c>
      <c r="C50" s="4" t="s">
        <v>7</v>
      </c>
      <c r="D50" s="5" t="s">
        <v>8</v>
      </c>
      <c r="E50" s="3" t="s">
        <v>9</v>
      </c>
      <c r="F50" t="s">
        <v>10</v>
      </c>
      <c r="G50" s="7">
        <v>43552</v>
      </c>
      <c r="H50" t="s">
        <v>134</v>
      </c>
    </row>
    <row r="51" spans="1:8" x14ac:dyDescent="0.25">
      <c r="A51" s="1">
        <v>40029</v>
      </c>
      <c r="B51" s="2" t="s">
        <v>6</v>
      </c>
      <c r="C51" s="4" t="s">
        <v>7</v>
      </c>
      <c r="D51" s="10" t="s">
        <v>40</v>
      </c>
      <c r="E51" s="2" t="s">
        <v>9</v>
      </c>
      <c r="F51" s="2" t="s">
        <v>10</v>
      </c>
      <c r="G51" s="7">
        <v>43552</v>
      </c>
      <c r="H51" t="s">
        <v>134</v>
      </c>
    </row>
    <row r="52" spans="1:8" x14ac:dyDescent="0.25">
      <c r="A52" s="6">
        <v>65942</v>
      </c>
      <c r="B52" s="7"/>
      <c r="C52" s="8" t="s">
        <v>7</v>
      </c>
      <c r="F52" t="s">
        <v>10</v>
      </c>
      <c r="G52" s="7">
        <v>43553</v>
      </c>
      <c r="H52" t="s">
        <v>134</v>
      </c>
    </row>
    <row r="53" spans="1:8" x14ac:dyDescent="0.25">
      <c r="A53" s="6">
        <v>93478</v>
      </c>
      <c r="B53" s="7"/>
      <c r="C53" s="8" t="s">
        <v>7</v>
      </c>
      <c r="F53" t="s">
        <v>10</v>
      </c>
      <c r="G53" s="7">
        <v>43553</v>
      </c>
      <c r="H53" t="s">
        <v>134</v>
      </c>
    </row>
    <row r="54" spans="1:8" x14ac:dyDescent="0.25">
      <c r="A54" s="6">
        <v>95074</v>
      </c>
      <c r="B54" s="7"/>
      <c r="C54" s="8" t="s">
        <v>7</v>
      </c>
      <c r="F54" t="s">
        <v>10</v>
      </c>
      <c r="G54" s="7">
        <v>43553</v>
      </c>
      <c r="H54" t="s">
        <v>134</v>
      </c>
    </row>
    <row r="55" spans="1:8" x14ac:dyDescent="0.25">
      <c r="A55" s="6">
        <v>134985</v>
      </c>
      <c r="B55" s="7"/>
      <c r="C55" s="8" t="s">
        <v>29</v>
      </c>
      <c r="F55" t="s">
        <v>10</v>
      </c>
      <c r="G55" s="7">
        <v>43553</v>
      </c>
      <c r="H55" t="s">
        <v>134</v>
      </c>
    </row>
    <row r="56" spans="1:8" x14ac:dyDescent="0.25">
      <c r="A56" s="1">
        <v>17676</v>
      </c>
      <c r="B56" s="2" t="s">
        <v>6</v>
      </c>
      <c r="C56" s="4" t="s">
        <v>7</v>
      </c>
      <c r="D56" s="10" t="s">
        <v>25</v>
      </c>
      <c r="E56" s="2" t="s">
        <v>9</v>
      </c>
      <c r="F56" s="2" t="s">
        <v>10</v>
      </c>
      <c r="G56" s="7">
        <v>43556</v>
      </c>
      <c r="H56" t="s">
        <v>135</v>
      </c>
    </row>
    <row r="57" spans="1:8" x14ac:dyDescent="0.25">
      <c r="A57" s="1">
        <v>78787</v>
      </c>
      <c r="B57" s="2" t="s">
        <v>6</v>
      </c>
      <c r="C57" s="4" t="s">
        <v>7</v>
      </c>
      <c r="D57" s="10" t="s">
        <v>87</v>
      </c>
      <c r="E57" s="2" t="s">
        <v>9</v>
      </c>
      <c r="F57" s="2" t="s">
        <v>10</v>
      </c>
      <c r="G57" s="7">
        <v>43556</v>
      </c>
      <c r="H57" t="s">
        <v>135</v>
      </c>
    </row>
    <row r="58" spans="1:8" x14ac:dyDescent="0.25">
      <c r="A58" s="6">
        <v>93261</v>
      </c>
      <c r="B58" s="7"/>
      <c r="C58" s="4" t="s">
        <v>29</v>
      </c>
      <c r="F58" t="s">
        <v>10</v>
      </c>
      <c r="G58" s="7">
        <v>43564</v>
      </c>
      <c r="H58" t="s">
        <v>135</v>
      </c>
    </row>
    <row r="59" spans="1:8" x14ac:dyDescent="0.25">
      <c r="A59" s="1">
        <v>35607</v>
      </c>
      <c r="B59" s="2" t="s">
        <v>6</v>
      </c>
      <c r="C59" s="4" t="s">
        <v>29</v>
      </c>
      <c r="D59" s="10" t="s">
        <v>38</v>
      </c>
      <c r="E59" s="2" t="s">
        <v>9</v>
      </c>
      <c r="F59" s="4" t="s">
        <v>10</v>
      </c>
      <c r="G59" s="7">
        <v>43557</v>
      </c>
      <c r="H59" t="s">
        <v>135</v>
      </c>
    </row>
    <row r="60" spans="1:8" x14ac:dyDescent="0.25">
      <c r="A60" s="1">
        <v>35608</v>
      </c>
      <c r="B60" s="2" t="s">
        <v>6</v>
      </c>
      <c r="C60" s="4" t="s">
        <v>29</v>
      </c>
      <c r="D60" s="10" t="s">
        <v>39</v>
      </c>
      <c r="E60" s="2" t="s">
        <v>9</v>
      </c>
      <c r="F60" s="2" t="s">
        <v>10</v>
      </c>
      <c r="G60" s="7">
        <v>43557</v>
      </c>
      <c r="H60" t="s">
        <v>135</v>
      </c>
    </row>
    <row r="61" spans="1:8" x14ac:dyDescent="0.25">
      <c r="A61" s="1">
        <v>70198</v>
      </c>
      <c r="B61" s="2" t="s">
        <v>6</v>
      </c>
      <c r="C61" s="4" t="s">
        <v>7</v>
      </c>
      <c r="D61" s="10" t="s">
        <v>75</v>
      </c>
      <c r="E61" s="2" t="s">
        <v>9</v>
      </c>
      <c r="F61" s="2" t="s">
        <v>10</v>
      </c>
      <c r="G61" s="7">
        <v>43557</v>
      </c>
      <c r="H61" t="s">
        <v>135</v>
      </c>
    </row>
    <row r="62" spans="1:8" x14ac:dyDescent="0.25">
      <c r="A62" s="1">
        <v>40034</v>
      </c>
      <c r="B62" s="2" t="s">
        <v>11</v>
      </c>
      <c r="C62" s="4" t="s">
        <v>7</v>
      </c>
      <c r="D62" s="10" t="s">
        <v>41</v>
      </c>
      <c r="E62" s="2" t="s">
        <v>9</v>
      </c>
      <c r="F62" s="2" t="s">
        <v>10</v>
      </c>
      <c r="G62" s="7">
        <v>43558</v>
      </c>
      <c r="H62" t="s">
        <v>135</v>
      </c>
    </row>
    <row r="63" spans="1:8" x14ac:dyDescent="0.25">
      <c r="A63" s="1">
        <v>48021</v>
      </c>
      <c r="B63" s="2" t="s">
        <v>6</v>
      </c>
      <c r="C63" s="4" t="s">
        <v>7</v>
      </c>
      <c r="D63" s="10" t="s">
        <v>46</v>
      </c>
      <c r="E63" s="2" t="s">
        <v>9</v>
      </c>
      <c r="F63" s="2" t="s">
        <v>10</v>
      </c>
      <c r="G63" s="7">
        <v>43558</v>
      </c>
      <c r="H63" t="s">
        <v>135</v>
      </c>
    </row>
    <row r="64" spans="1:8" x14ac:dyDescent="0.25">
      <c r="A64" s="6">
        <v>10128</v>
      </c>
      <c r="B64" s="7"/>
      <c r="C64" s="8" t="s">
        <v>7</v>
      </c>
      <c r="F64" t="s">
        <v>10</v>
      </c>
      <c r="G64" s="7">
        <v>43559</v>
      </c>
      <c r="H64" t="s">
        <v>135</v>
      </c>
    </row>
    <row r="65" spans="1:8" x14ac:dyDescent="0.25">
      <c r="A65" s="6">
        <v>14316</v>
      </c>
      <c r="B65" s="7"/>
      <c r="C65" s="8" t="s">
        <v>7</v>
      </c>
      <c r="F65" t="s">
        <v>10</v>
      </c>
      <c r="G65" s="7">
        <v>43559</v>
      </c>
      <c r="H65" t="s">
        <v>135</v>
      </c>
    </row>
    <row r="66" spans="1:8" x14ac:dyDescent="0.25">
      <c r="A66" s="6">
        <v>56545</v>
      </c>
      <c r="B66" s="7"/>
      <c r="C66" s="8" t="s">
        <v>7</v>
      </c>
      <c r="F66" t="s">
        <v>10</v>
      </c>
      <c r="G66" s="7">
        <v>43559</v>
      </c>
      <c r="H66" t="s">
        <v>135</v>
      </c>
    </row>
    <row r="67" spans="1:8" x14ac:dyDescent="0.25">
      <c r="A67" s="6">
        <v>9758</v>
      </c>
      <c r="B67" s="7"/>
      <c r="C67" s="8" t="s">
        <v>29</v>
      </c>
      <c r="F67" t="s">
        <v>10</v>
      </c>
      <c r="G67" s="7">
        <v>43563</v>
      </c>
      <c r="H67" t="s">
        <v>135</v>
      </c>
    </row>
    <row r="68" spans="1:8" x14ac:dyDescent="0.25">
      <c r="A68" s="6">
        <v>10109</v>
      </c>
      <c r="B68" s="7"/>
      <c r="C68" s="8" t="s">
        <v>7</v>
      </c>
      <c r="F68" t="s">
        <v>10</v>
      </c>
      <c r="G68" s="7">
        <v>43563</v>
      </c>
      <c r="H68" t="s">
        <v>135</v>
      </c>
    </row>
    <row r="69" spans="1:8" x14ac:dyDescent="0.25">
      <c r="A69" s="1">
        <v>29929</v>
      </c>
      <c r="B69" s="2" t="s">
        <v>6</v>
      </c>
      <c r="C69" s="4" t="s">
        <v>7</v>
      </c>
      <c r="D69" s="10" t="s">
        <v>34</v>
      </c>
      <c r="E69" s="2" t="s">
        <v>13</v>
      </c>
      <c r="F69" s="2" t="s">
        <v>10</v>
      </c>
      <c r="G69" s="7">
        <v>43563</v>
      </c>
      <c r="H69" t="s">
        <v>135</v>
      </c>
    </row>
    <row r="70" spans="1:8" x14ac:dyDescent="0.25">
      <c r="A70" s="6">
        <v>21465</v>
      </c>
      <c r="B70" s="7"/>
      <c r="C70" s="8" t="s">
        <v>7</v>
      </c>
      <c r="F70" t="s">
        <v>10</v>
      </c>
      <c r="G70" s="7">
        <v>43564</v>
      </c>
      <c r="H70" t="s">
        <v>135</v>
      </c>
    </row>
    <row r="71" spans="1:8" x14ac:dyDescent="0.25">
      <c r="A71" s="6">
        <v>79119</v>
      </c>
      <c r="B71" s="7"/>
      <c r="C71" s="8" t="s">
        <v>7</v>
      </c>
      <c r="F71" t="s">
        <v>10</v>
      </c>
      <c r="G71" s="7">
        <v>43564</v>
      </c>
      <c r="H71" t="s">
        <v>135</v>
      </c>
    </row>
    <row r="72" spans="1:8" x14ac:dyDescent="0.25">
      <c r="A72" s="1">
        <v>101865</v>
      </c>
      <c r="B72" s="2" t="s">
        <v>6</v>
      </c>
      <c r="C72" s="4" t="s">
        <v>29</v>
      </c>
      <c r="D72" s="10" t="s">
        <v>107</v>
      </c>
      <c r="E72" s="2" t="s">
        <v>9</v>
      </c>
      <c r="F72" s="2" t="s">
        <v>10</v>
      </c>
      <c r="G72" s="7">
        <v>43671</v>
      </c>
      <c r="H72" t="s">
        <v>138</v>
      </c>
    </row>
    <row r="73" spans="1:8" x14ac:dyDescent="0.25">
      <c r="A73" s="1">
        <v>48445</v>
      </c>
      <c r="B73" s="2" t="s">
        <v>6</v>
      </c>
      <c r="C73" s="4" t="s">
        <v>7</v>
      </c>
      <c r="D73" s="10" t="s">
        <v>49</v>
      </c>
      <c r="E73" s="2" t="s">
        <v>9</v>
      </c>
      <c r="F73" s="2" t="s">
        <v>10</v>
      </c>
      <c r="G73" s="7">
        <v>43565</v>
      </c>
      <c r="H73" t="s">
        <v>135</v>
      </c>
    </row>
    <row r="74" spans="1:8" x14ac:dyDescent="0.25">
      <c r="A74" s="6">
        <v>48455</v>
      </c>
      <c r="B74" s="7"/>
      <c r="C74" s="8" t="s">
        <v>7</v>
      </c>
      <c r="F74" t="s">
        <v>10</v>
      </c>
      <c r="G74" s="7">
        <v>43565</v>
      </c>
      <c r="H74" t="s">
        <v>135</v>
      </c>
    </row>
    <row r="75" spans="1:8" x14ac:dyDescent="0.25">
      <c r="A75" s="6">
        <v>78783</v>
      </c>
      <c r="B75" s="7"/>
      <c r="C75" s="8" t="s">
        <v>7</v>
      </c>
      <c r="F75" t="s">
        <v>10</v>
      </c>
      <c r="G75" s="7">
        <v>43566</v>
      </c>
      <c r="H75" t="s">
        <v>135</v>
      </c>
    </row>
    <row r="76" spans="1:8" ht="14.25" customHeight="1" x14ac:dyDescent="0.25">
      <c r="A76" s="1">
        <v>134325</v>
      </c>
      <c r="B76" s="2" t="s">
        <v>6</v>
      </c>
      <c r="C76" s="4" t="s">
        <v>7</v>
      </c>
      <c r="D76" s="10" t="s">
        <v>116</v>
      </c>
      <c r="E76" s="2" t="s">
        <v>9</v>
      </c>
      <c r="F76" s="2" t="s">
        <v>10</v>
      </c>
      <c r="G76" s="7">
        <v>43566</v>
      </c>
      <c r="H76" t="s">
        <v>135</v>
      </c>
    </row>
    <row r="77" spans="1:8" x14ac:dyDescent="0.25">
      <c r="A77" s="1">
        <v>78927</v>
      </c>
      <c r="B77" s="2" t="s">
        <v>6</v>
      </c>
      <c r="C77" s="4" t="s">
        <v>7</v>
      </c>
      <c r="D77" s="10" t="s">
        <v>92</v>
      </c>
      <c r="E77" s="2" t="s">
        <v>9</v>
      </c>
      <c r="F77" s="2" t="s">
        <v>10</v>
      </c>
      <c r="G77" s="7">
        <v>43570</v>
      </c>
      <c r="H77" t="s">
        <v>135</v>
      </c>
    </row>
    <row r="78" spans="1:8" x14ac:dyDescent="0.25">
      <c r="A78" s="6">
        <v>52243</v>
      </c>
      <c r="B78" s="7"/>
      <c r="C78" s="8" t="s">
        <v>7</v>
      </c>
      <c r="F78" t="s">
        <v>10</v>
      </c>
      <c r="G78" s="7">
        <v>43571</v>
      </c>
      <c r="H78" t="s">
        <v>135</v>
      </c>
    </row>
    <row r="79" spans="1:8" x14ac:dyDescent="0.25">
      <c r="A79" s="1">
        <v>52433</v>
      </c>
      <c r="B79" s="2" t="s">
        <v>6</v>
      </c>
      <c r="C79" s="4" t="s">
        <v>7</v>
      </c>
      <c r="D79" s="10" t="s">
        <v>51</v>
      </c>
      <c r="E79" s="2" t="s">
        <v>9</v>
      </c>
      <c r="F79" s="2" t="s">
        <v>10</v>
      </c>
      <c r="G79" s="7">
        <v>43571</v>
      </c>
      <c r="H79" t="s">
        <v>135</v>
      </c>
    </row>
    <row r="80" spans="1:8" x14ac:dyDescent="0.25">
      <c r="A80" s="1">
        <v>73473</v>
      </c>
      <c r="B80" s="2" t="s">
        <v>6</v>
      </c>
      <c r="C80" s="4" t="s">
        <v>7</v>
      </c>
      <c r="D80" s="10" t="s">
        <v>76</v>
      </c>
      <c r="E80" s="2" t="s">
        <v>9</v>
      </c>
      <c r="F80" s="2" t="s">
        <v>10</v>
      </c>
      <c r="G80" s="7">
        <v>43571</v>
      </c>
      <c r="H80" t="s">
        <v>135</v>
      </c>
    </row>
    <row r="81" spans="1:8" x14ac:dyDescent="0.25">
      <c r="A81" s="6">
        <v>13939</v>
      </c>
      <c r="B81" s="7"/>
      <c r="C81" s="8" t="s">
        <v>7</v>
      </c>
      <c r="F81" t="s">
        <v>10</v>
      </c>
      <c r="G81" s="7">
        <v>43572</v>
      </c>
      <c r="H81" t="s">
        <v>135</v>
      </c>
    </row>
    <row r="82" spans="1:8" x14ac:dyDescent="0.25">
      <c r="A82" s="1">
        <v>25933</v>
      </c>
      <c r="B82" s="2" t="s">
        <v>6</v>
      </c>
      <c r="C82" s="4" t="s">
        <v>29</v>
      </c>
      <c r="D82" s="10" t="s">
        <v>30</v>
      </c>
      <c r="E82" s="2" t="s">
        <v>9</v>
      </c>
      <c r="F82" s="2" t="s">
        <v>10</v>
      </c>
      <c r="G82" s="7">
        <v>43572</v>
      </c>
      <c r="H82" t="s">
        <v>135</v>
      </c>
    </row>
    <row r="83" spans="1:8" x14ac:dyDescent="0.25">
      <c r="A83" s="6">
        <v>70127</v>
      </c>
      <c r="B83" s="7"/>
      <c r="C83" s="8" t="s">
        <v>7</v>
      </c>
      <c r="F83" t="s">
        <v>10</v>
      </c>
      <c r="G83" s="7">
        <v>43572</v>
      </c>
      <c r="H83" t="s">
        <v>135</v>
      </c>
    </row>
    <row r="84" spans="1:8" x14ac:dyDescent="0.25">
      <c r="A84" s="6">
        <v>120774</v>
      </c>
      <c r="B84" s="7"/>
      <c r="C84" s="8" t="s">
        <v>7</v>
      </c>
      <c r="F84" t="s">
        <v>10</v>
      </c>
      <c r="G84" s="7">
        <v>43572</v>
      </c>
      <c r="H84" t="s">
        <v>135</v>
      </c>
    </row>
    <row r="85" spans="1:8" x14ac:dyDescent="0.25">
      <c r="A85" s="1">
        <v>133283</v>
      </c>
      <c r="B85" s="2" t="s">
        <v>6</v>
      </c>
      <c r="C85" s="4" t="s">
        <v>16</v>
      </c>
      <c r="D85" s="10" t="s">
        <v>115</v>
      </c>
      <c r="E85" s="2" t="s">
        <v>9</v>
      </c>
      <c r="F85" s="2" t="s">
        <v>10</v>
      </c>
      <c r="G85" s="7">
        <v>43572</v>
      </c>
      <c r="H85" t="s">
        <v>135</v>
      </c>
    </row>
    <row r="86" spans="1:8" x14ac:dyDescent="0.25">
      <c r="A86" s="1">
        <v>6347</v>
      </c>
      <c r="B86" s="2" t="s">
        <v>11</v>
      </c>
      <c r="C86" s="4" t="s">
        <v>7</v>
      </c>
      <c r="D86" s="5" t="s">
        <v>15</v>
      </c>
      <c r="E86" s="3" t="s">
        <v>9</v>
      </c>
      <c r="F86" t="s">
        <v>10</v>
      </c>
      <c r="G86" s="7">
        <v>43578</v>
      </c>
      <c r="H86" t="s">
        <v>135</v>
      </c>
    </row>
    <row r="87" spans="1:8" x14ac:dyDescent="0.25">
      <c r="A87" s="1">
        <v>78611</v>
      </c>
      <c r="B87" s="2" t="s">
        <v>6</v>
      </c>
      <c r="C87" s="4" t="s">
        <v>7</v>
      </c>
      <c r="D87" s="10" t="s">
        <v>83</v>
      </c>
      <c r="E87" s="2" t="s">
        <v>9</v>
      </c>
      <c r="F87" s="2" t="s">
        <v>10</v>
      </c>
      <c r="G87" s="7">
        <v>43578</v>
      </c>
      <c r="H87" t="s">
        <v>135</v>
      </c>
    </row>
    <row r="88" spans="1:8" x14ac:dyDescent="0.25">
      <c r="A88" s="6">
        <v>105273</v>
      </c>
      <c r="B88" s="7"/>
      <c r="C88" s="8" t="s">
        <v>156</v>
      </c>
      <c r="F88" t="s">
        <v>10</v>
      </c>
      <c r="G88" s="7">
        <v>43550</v>
      </c>
      <c r="H88" t="s">
        <v>134</v>
      </c>
    </row>
    <row r="89" spans="1:8" x14ac:dyDescent="0.25">
      <c r="A89" s="1">
        <v>14206</v>
      </c>
      <c r="B89" s="2" t="s">
        <v>11</v>
      </c>
      <c r="C89" s="4" t="s">
        <v>7</v>
      </c>
      <c r="D89" s="5" t="s">
        <v>21</v>
      </c>
      <c r="E89" s="3" t="s">
        <v>9</v>
      </c>
      <c r="F89" t="s">
        <v>10</v>
      </c>
      <c r="G89" s="7">
        <v>43581</v>
      </c>
      <c r="H89" t="s">
        <v>135</v>
      </c>
    </row>
    <row r="90" spans="1:8" x14ac:dyDescent="0.25">
      <c r="A90" s="1">
        <v>35600</v>
      </c>
      <c r="B90" s="2" t="s">
        <v>6</v>
      </c>
      <c r="C90" s="4" t="s">
        <v>29</v>
      </c>
      <c r="D90" s="10" t="s">
        <v>37</v>
      </c>
      <c r="E90" s="2" t="s">
        <v>9</v>
      </c>
      <c r="F90" s="2" t="s">
        <v>10</v>
      </c>
      <c r="G90" s="7">
        <v>43584</v>
      </c>
      <c r="H90" t="s">
        <v>135</v>
      </c>
    </row>
    <row r="91" spans="1:8" x14ac:dyDescent="0.25">
      <c r="A91" s="6">
        <v>94396</v>
      </c>
      <c r="B91" s="7"/>
      <c r="C91" s="8" t="s">
        <v>29</v>
      </c>
      <c r="F91" t="s">
        <v>10</v>
      </c>
      <c r="G91" s="7">
        <v>43584</v>
      </c>
      <c r="H91" t="s">
        <v>135</v>
      </c>
    </row>
    <row r="92" spans="1:8" x14ac:dyDescent="0.25">
      <c r="A92" s="1">
        <v>25361</v>
      </c>
      <c r="B92" s="2" t="s">
        <v>6</v>
      </c>
      <c r="C92" s="4" t="s">
        <v>7</v>
      </c>
      <c r="D92" s="10" t="s">
        <v>27</v>
      </c>
      <c r="E92" s="2" t="s">
        <v>9</v>
      </c>
      <c r="F92" s="2" t="s">
        <v>10</v>
      </c>
      <c r="G92" s="7">
        <v>43585</v>
      </c>
      <c r="H92" t="s">
        <v>135</v>
      </c>
    </row>
    <row r="93" spans="1:8" x14ac:dyDescent="0.25">
      <c r="A93" s="1">
        <v>29567</v>
      </c>
      <c r="B93" s="2" t="s">
        <v>6</v>
      </c>
      <c r="C93" s="4" t="s">
        <v>7</v>
      </c>
      <c r="D93" s="10" t="s">
        <v>31</v>
      </c>
      <c r="E93" s="2" t="s">
        <v>9</v>
      </c>
      <c r="F93" s="2" t="s">
        <v>10</v>
      </c>
      <c r="G93" s="7">
        <v>43585</v>
      </c>
      <c r="H93" t="s">
        <v>135</v>
      </c>
    </row>
    <row r="94" spans="1:8" x14ac:dyDescent="0.25">
      <c r="A94" s="1">
        <v>137724</v>
      </c>
      <c r="B94" s="2" t="s">
        <v>6</v>
      </c>
      <c r="C94" s="4" t="s">
        <v>29</v>
      </c>
      <c r="D94" s="10" t="s">
        <v>121</v>
      </c>
      <c r="E94" s="2" t="s">
        <v>9</v>
      </c>
      <c r="F94" s="2" t="s">
        <v>10</v>
      </c>
      <c r="G94" s="7">
        <v>43586</v>
      </c>
      <c r="H94" t="s">
        <v>136</v>
      </c>
    </row>
    <row r="95" spans="1:8" x14ac:dyDescent="0.25">
      <c r="A95" s="1">
        <v>47706</v>
      </c>
      <c r="B95" s="2" t="s">
        <v>11</v>
      </c>
      <c r="C95" s="4" t="s">
        <v>7</v>
      </c>
      <c r="D95" s="10" t="s">
        <v>44</v>
      </c>
      <c r="E95" s="2" t="s">
        <v>13</v>
      </c>
      <c r="F95" s="2" t="s">
        <v>10</v>
      </c>
      <c r="G95" s="7">
        <v>43588</v>
      </c>
      <c r="H95" t="s">
        <v>136</v>
      </c>
    </row>
    <row r="96" spans="1:8" x14ac:dyDescent="0.25">
      <c r="A96" s="1">
        <v>35159</v>
      </c>
      <c r="B96" s="2" t="s">
        <v>6</v>
      </c>
      <c r="C96" s="4" t="s">
        <v>7</v>
      </c>
      <c r="D96" s="10" t="s">
        <v>35</v>
      </c>
      <c r="E96" s="2" t="s">
        <v>9</v>
      </c>
      <c r="F96" s="2" t="s">
        <v>10</v>
      </c>
      <c r="G96" s="7">
        <v>43592</v>
      </c>
      <c r="H96" t="s">
        <v>136</v>
      </c>
    </row>
    <row r="97" spans="1:8" x14ac:dyDescent="0.25">
      <c r="A97" s="1">
        <v>95271</v>
      </c>
      <c r="B97" s="2" t="s">
        <v>6</v>
      </c>
      <c r="C97" s="4" t="s">
        <v>7</v>
      </c>
      <c r="D97" s="10" t="s">
        <v>106</v>
      </c>
      <c r="E97" s="2" t="s">
        <v>9</v>
      </c>
      <c r="F97" s="2" t="s">
        <v>10</v>
      </c>
      <c r="G97" s="7">
        <v>43592</v>
      </c>
      <c r="H97" t="s">
        <v>136</v>
      </c>
    </row>
    <row r="98" spans="1:8" x14ac:dyDescent="0.25">
      <c r="A98" s="1">
        <v>70122</v>
      </c>
      <c r="B98" s="2" t="s">
        <v>11</v>
      </c>
      <c r="C98" s="4" t="s">
        <v>7</v>
      </c>
      <c r="D98" s="10" t="s">
        <v>74</v>
      </c>
      <c r="E98" s="2" t="s">
        <v>9</v>
      </c>
      <c r="F98" s="2" t="s">
        <v>10</v>
      </c>
      <c r="G98" s="7">
        <v>43594</v>
      </c>
      <c r="H98" t="s">
        <v>136</v>
      </c>
    </row>
    <row r="99" spans="1:8" x14ac:dyDescent="0.25">
      <c r="A99" s="1">
        <v>91152</v>
      </c>
      <c r="B99" s="2" t="s">
        <v>6</v>
      </c>
      <c r="C99" s="4" t="s">
        <v>7</v>
      </c>
      <c r="D99" s="10" t="s">
        <v>102</v>
      </c>
      <c r="E99" s="2" t="s">
        <v>9</v>
      </c>
      <c r="F99" s="2" t="s">
        <v>10</v>
      </c>
      <c r="G99" s="7">
        <v>43594</v>
      </c>
      <c r="H99" t="s">
        <v>136</v>
      </c>
    </row>
    <row r="100" spans="1:8" x14ac:dyDescent="0.25">
      <c r="A100" s="6">
        <v>14362</v>
      </c>
      <c r="B100" s="7"/>
      <c r="C100" s="8" t="s">
        <v>7</v>
      </c>
      <c r="F100" t="s">
        <v>10</v>
      </c>
      <c r="G100" s="7">
        <v>43595</v>
      </c>
      <c r="H100" t="s">
        <v>136</v>
      </c>
    </row>
    <row r="101" spans="1:8" x14ac:dyDescent="0.25">
      <c r="A101" s="1">
        <v>29823</v>
      </c>
      <c r="B101" s="2" t="s">
        <v>6</v>
      </c>
      <c r="C101" s="4" t="s">
        <v>7</v>
      </c>
      <c r="D101" s="10" t="s">
        <v>33</v>
      </c>
      <c r="E101" s="2" t="s">
        <v>9</v>
      </c>
      <c r="F101" s="2" t="s">
        <v>10</v>
      </c>
      <c r="G101" s="7">
        <v>43598</v>
      </c>
      <c r="H101" t="s">
        <v>136</v>
      </c>
    </row>
    <row r="102" spans="1:8" x14ac:dyDescent="0.25">
      <c r="A102" s="6">
        <v>56909</v>
      </c>
      <c r="B102" s="7"/>
      <c r="C102" s="8" t="s">
        <v>7</v>
      </c>
      <c r="F102" t="s">
        <v>10</v>
      </c>
      <c r="G102" s="7">
        <v>43598</v>
      </c>
      <c r="H102" t="s">
        <v>136</v>
      </c>
    </row>
    <row r="103" spans="1:8" x14ac:dyDescent="0.25">
      <c r="A103" s="6">
        <v>9932</v>
      </c>
      <c r="B103" s="7"/>
      <c r="C103" s="8" t="s">
        <v>7</v>
      </c>
      <c r="F103" t="s">
        <v>10</v>
      </c>
      <c r="G103" s="7">
        <v>43600</v>
      </c>
      <c r="H103" t="s">
        <v>136</v>
      </c>
    </row>
    <row r="104" spans="1:8" x14ac:dyDescent="0.25">
      <c r="A104" s="1">
        <v>14042</v>
      </c>
      <c r="B104" s="2" t="s">
        <v>11</v>
      </c>
      <c r="C104" s="4" t="s">
        <v>7</v>
      </c>
      <c r="D104" s="5" t="s">
        <v>20</v>
      </c>
      <c r="E104" s="3" t="s">
        <v>9</v>
      </c>
      <c r="F104" t="s">
        <v>10</v>
      </c>
      <c r="G104" s="7">
        <v>43600</v>
      </c>
      <c r="H104" t="s">
        <v>136</v>
      </c>
    </row>
    <row r="105" spans="1:8" x14ac:dyDescent="0.25">
      <c r="A105" s="1">
        <v>78908</v>
      </c>
      <c r="B105" s="2" t="s">
        <v>6</v>
      </c>
      <c r="C105" s="4" t="s">
        <v>7</v>
      </c>
      <c r="D105" s="10" t="s">
        <v>91</v>
      </c>
      <c r="E105" s="2" t="s">
        <v>9</v>
      </c>
      <c r="F105" s="2" t="s">
        <v>10</v>
      </c>
      <c r="G105" s="7">
        <v>43602</v>
      </c>
      <c r="H105" t="s">
        <v>136</v>
      </c>
    </row>
    <row r="106" spans="1:8" x14ac:dyDescent="0.25">
      <c r="A106" s="6">
        <v>13818</v>
      </c>
      <c r="B106" s="7"/>
      <c r="C106" s="8" t="s">
        <v>7</v>
      </c>
      <c r="F106" t="s">
        <v>10</v>
      </c>
      <c r="G106" s="7">
        <v>43604</v>
      </c>
      <c r="H106" t="s">
        <v>136</v>
      </c>
    </row>
    <row r="107" spans="1:8" x14ac:dyDescent="0.25">
      <c r="A107" s="6">
        <v>5629</v>
      </c>
      <c r="B107" s="7"/>
      <c r="C107" s="8" t="s">
        <v>7</v>
      </c>
      <c r="F107" t="s">
        <v>10</v>
      </c>
      <c r="G107" s="7">
        <v>43605</v>
      </c>
      <c r="H107" t="s">
        <v>136</v>
      </c>
    </row>
    <row r="108" spans="1:8" x14ac:dyDescent="0.25">
      <c r="A108" s="6">
        <v>14041</v>
      </c>
      <c r="B108" s="7"/>
      <c r="C108" s="8" t="s">
        <v>7</v>
      </c>
      <c r="F108" t="s">
        <v>10</v>
      </c>
      <c r="G108" s="7">
        <v>43606</v>
      </c>
      <c r="H108" t="s">
        <v>136</v>
      </c>
    </row>
    <row r="109" spans="1:8" x14ac:dyDescent="0.25">
      <c r="A109" s="1">
        <v>52891</v>
      </c>
      <c r="B109" s="2" t="s">
        <v>11</v>
      </c>
      <c r="C109" s="4" t="s">
        <v>7</v>
      </c>
      <c r="D109" s="10" t="s">
        <v>56</v>
      </c>
      <c r="E109" s="2" t="s">
        <v>9</v>
      </c>
      <c r="F109" s="2" t="s">
        <v>10</v>
      </c>
      <c r="G109" s="7">
        <v>43606</v>
      </c>
      <c r="H109" t="s">
        <v>136</v>
      </c>
    </row>
    <row r="110" spans="1:8" x14ac:dyDescent="0.25">
      <c r="A110" s="1">
        <v>56895</v>
      </c>
      <c r="B110" s="2" t="s">
        <v>6</v>
      </c>
      <c r="C110" s="4" t="s">
        <v>7</v>
      </c>
      <c r="D110" s="10" t="s">
        <v>65</v>
      </c>
      <c r="E110" s="2" t="s">
        <v>9</v>
      </c>
      <c r="F110" s="2" t="s">
        <v>10</v>
      </c>
      <c r="G110" s="7">
        <v>43606</v>
      </c>
      <c r="H110" t="s">
        <v>136</v>
      </c>
    </row>
    <row r="111" spans="1:8" x14ac:dyDescent="0.25">
      <c r="A111" s="1">
        <v>47712</v>
      </c>
      <c r="B111" s="2" t="s">
        <v>6</v>
      </c>
      <c r="C111" s="4" t="s">
        <v>7</v>
      </c>
      <c r="D111" s="10" t="s">
        <v>45</v>
      </c>
      <c r="E111" s="2" t="s">
        <v>9</v>
      </c>
      <c r="F111" s="2" t="s">
        <v>10</v>
      </c>
      <c r="G111" s="7">
        <v>43607</v>
      </c>
      <c r="H111" t="s">
        <v>136</v>
      </c>
    </row>
    <row r="112" spans="1:8" x14ac:dyDescent="0.25">
      <c r="A112" s="1">
        <v>56673</v>
      </c>
      <c r="B112" s="2" t="s">
        <v>6</v>
      </c>
      <c r="C112" s="4" t="s">
        <v>7</v>
      </c>
      <c r="D112" s="10" t="s">
        <v>60</v>
      </c>
      <c r="E112" s="2" t="s">
        <v>9</v>
      </c>
      <c r="F112" s="2" t="s">
        <v>10</v>
      </c>
      <c r="G112" s="7">
        <v>43614</v>
      </c>
      <c r="H112" t="s">
        <v>136</v>
      </c>
    </row>
    <row r="113" spans="1:8" x14ac:dyDescent="0.25">
      <c r="A113" s="1">
        <v>137215</v>
      </c>
      <c r="B113" s="2" t="s">
        <v>6</v>
      </c>
      <c r="C113" s="4" t="s">
        <v>7</v>
      </c>
      <c r="D113" s="10" t="s">
        <v>117</v>
      </c>
      <c r="E113" s="2" t="s">
        <v>9</v>
      </c>
      <c r="F113" s="2" t="s">
        <v>10</v>
      </c>
      <c r="G113" s="7">
        <v>43614</v>
      </c>
      <c r="H113" t="s">
        <v>136</v>
      </c>
    </row>
    <row r="114" spans="1:8" x14ac:dyDescent="0.25">
      <c r="A114" s="6">
        <v>25409</v>
      </c>
      <c r="B114" s="7"/>
      <c r="C114" s="8" t="s">
        <v>7</v>
      </c>
      <c r="F114" t="s">
        <v>10</v>
      </c>
      <c r="G114" s="7">
        <v>43615</v>
      </c>
      <c r="H114" t="s">
        <v>136</v>
      </c>
    </row>
    <row r="115" spans="1:8" x14ac:dyDescent="0.25">
      <c r="A115" s="1">
        <v>79007</v>
      </c>
      <c r="B115" s="2" t="s">
        <v>6</v>
      </c>
      <c r="C115" s="4" t="s">
        <v>7</v>
      </c>
      <c r="D115" s="10" t="s">
        <v>93</v>
      </c>
      <c r="E115" s="2" t="s">
        <v>9</v>
      </c>
      <c r="F115" s="2" t="s">
        <v>10</v>
      </c>
      <c r="G115" s="7">
        <v>43619</v>
      </c>
      <c r="H115" t="s">
        <v>137</v>
      </c>
    </row>
    <row r="116" spans="1:8" x14ac:dyDescent="0.25">
      <c r="A116" s="1">
        <v>90903</v>
      </c>
      <c r="B116" s="2" t="s">
        <v>6</v>
      </c>
      <c r="C116" s="4" t="s">
        <v>7</v>
      </c>
      <c r="D116" s="10" t="s">
        <v>101</v>
      </c>
      <c r="E116" s="2" t="s">
        <v>9</v>
      </c>
      <c r="F116" s="2" t="s">
        <v>10</v>
      </c>
      <c r="G116" s="7">
        <v>43619</v>
      </c>
      <c r="H116" t="s">
        <v>137</v>
      </c>
    </row>
    <row r="117" spans="1:8" x14ac:dyDescent="0.25">
      <c r="A117" s="1">
        <v>52532</v>
      </c>
      <c r="B117" s="2" t="s">
        <v>6</v>
      </c>
      <c r="C117" s="4" t="s">
        <v>7</v>
      </c>
      <c r="D117" s="10" t="s">
        <v>54</v>
      </c>
      <c r="E117" s="2" t="s">
        <v>13</v>
      </c>
      <c r="F117" s="2" t="s">
        <v>10</v>
      </c>
      <c r="G117" s="7">
        <v>43622</v>
      </c>
      <c r="H117" t="s">
        <v>137</v>
      </c>
    </row>
    <row r="118" spans="1:8" x14ac:dyDescent="0.25">
      <c r="A118" s="6">
        <v>56463</v>
      </c>
      <c r="B118" s="7"/>
      <c r="C118" s="8" t="s">
        <v>7</v>
      </c>
      <c r="F118" t="s">
        <v>10</v>
      </c>
      <c r="G118" s="7">
        <v>43622</v>
      </c>
      <c r="H118" t="s">
        <v>137</v>
      </c>
    </row>
    <row r="119" spans="1:8" x14ac:dyDescent="0.25">
      <c r="A119" s="1">
        <v>103013</v>
      </c>
      <c r="B119" s="2" t="s">
        <v>6</v>
      </c>
      <c r="C119" s="4" t="s">
        <v>7</v>
      </c>
      <c r="D119" s="10" t="s">
        <v>108</v>
      </c>
      <c r="E119" s="2" t="s">
        <v>9</v>
      </c>
      <c r="F119" s="2" t="s">
        <v>10</v>
      </c>
      <c r="G119" s="7">
        <v>43622</v>
      </c>
      <c r="H119" t="s">
        <v>137</v>
      </c>
    </row>
    <row r="120" spans="1:8" x14ac:dyDescent="0.25">
      <c r="A120" s="6">
        <v>29891</v>
      </c>
      <c r="B120" s="7"/>
      <c r="C120" s="8" t="s">
        <v>7</v>
      </c>
      <c r="F120" t="s">
        <v>10</v>
      </c>
      <c r="G120" s="7">
        <v>43629</v>
      </c>
      <c r="H120" t="s">
        <v>137</v>
      </c>
    </row>
    <row r="121" spans="1:8" x14ac:dyDescent="0.25">
      <c r="A121" s="1">
        <v>13962</v>
      </c>
      <c r="B121" s="2" t="s">
        <v>6</v>
      </c>
      <c r="C121" s="4" t="s">
        <v>7</v>
      </c>
      <c r="D121" s="5" t="s">
        <v>18</v>
      </c>
      <c r="E121" s="3" t="s">
        <v>9</v>
      </c>
      <c r="F121" t="s">
        <v>10</v>
      </c>
      <c r="G121" s="7">
        <v>43633</v>
      </c>
      <c r="H121" t="s">
        <v>137</v>
      </c>
    </row>
    <row r="122" spans="1:8" x14ac:dyDescent="0.25">
      <c r="A122" s="1">
        <v>14376</v>
      </c>
      <c r="B122" s="2" t="s">
        <v>6</v>
      </c>
      <c r="C122" s="4" t="s">
        <v>7</v>
      </c>
      <c r="D122" s="10" t="s">
        <v>24</v>
      </c>
      <c r="E122" s="2" t="s">
        <v>9</v>
      </c>
      <c r="F122" s="2" t="s">
        <v>10</v>
      </c>
      <c r="G122" s="7">
        <v>43633</v>
      </c>
      <c r="H122" t="s">
        <v>137</v>
      </c>
    </row>
    <row r="123" spans="1:8" x14ac:dyDescent="0.25">
      <c r="A123" s="1">
        <v>66057</v>
      </c>
      <c r="B123" s="2" t="s">
        <v>6</v>
      </c>
      <c r="C123" s="4" t="s">
        <v>7</v>
      </c>
      <c r="D123" s="10" t="s">
        <v>72</v>
      </c>
      <c r="E123" s="2" t="s">
        <v>9</v>
      </c>
      <c r="F123" s="2" t="s">
        <v>10</v>
      </c>
      <c r="G123" s="7">
        <v>43633</v>
      </c>
      <c r="H123" t="s">
        <v>137</v>
      </c>
    </row>
    <row r="124" spans="1:8" x14ac:dyDescent="0.25">
      <c r="A124" s="1">
        <v>86923</v>
      </c>
      <c r="B124" s="2" t="s">
        <v>6</v>
      </c>
      <c r="C124" s="4" t="s">
        <v>7</v>
      </c>
      <c r="D124" s="10" t="s">
        <v>97</v>
      </c>
      <c r="E124" s="2" t="s">
        <v>9</v>
      </c>
      <c r="F124" s="2" t="s">
        <v>10</v>
      </c>
      <c r="G124" s="7">
        <v>43636</v>
      </c>
      <c r="H124" t="s">
        <v>137</v>
      </c>
    </row>
    <row r="125" spans="1:8" x14ac:dyDescent="0.25">
      <c r="A125" s="6">
        <v>135822</v>
      </c>
      <c r="B125" s="7"/>
      <c r="C125" s="8" t="s">
        <v>29</v>
      </c>
      <c r="F125" t="s">
        <v>10</v>
      </c>
      <c r="G125" s="7">
        <v>43637</v>
      </c>
      <c r="H125" t="s">
        <v>137</v>
      </c>
    </row>
    <row r="126" spans="1:8" x14ac:dyDescent="0.25">
      <c r="A126" s="1">
        <v>73962</v>
      </c>
      <c r="B126" s="2" t="s">
        <v>6</v>
      </c>
      <c r="C126" s="4" t="s">
        <v>7</v>
      </c>
      <c r="D126" s="10" t="s">
        <v>80</v>
      </c>
      <c r="E126" s="2" t="s">
        <v>9</v>
      </c>
      <c r="F126" s="2" t="s">
        <v>10</v>
      </c>
      <c r="G126" s="7">
        <v>43642</v>
      </c>
      <c r="H126" t="s">
        <v>137</v>
      </c>
    </row>
    <row r="127" spans="1:8" x14ac:dyDescent="0.25">
      <c r="A127" s="1">
        <v>65789</v>
      </c>
      <c r="B127" s="2" t="s">
        <v>6</v>
      </c>
      <c r="C127" s="4" t="s">
        <v>29</v>
      </c>
      <c r="D127" s="10" t="s">
        <v>71</v>
      </c>
      <c r="E127" s="2" t="s">
        <v>9</v>
      </c>
      <c r="F127" s="2" t="s">
        <v>10</v>
      </c>
      <c r="G127" s="7">
        <v>43643</v>
      </c>
      <c r="H127" t="s">
        <v>137</v>
      </c>
    </row>
    <row r="128" spans="1:8" x14ac:dyDescent="0.25">
      <c r="A128" s="6">
        <v>14463</v>
      </c>
      <c r="B128" s="7"/>
      <c r="C128" s="8" t="s">
        <v>7</v>
      </c>
      <c r="F128" t="s">
        <v>10</v>
      </c>
      <c r="G128" s="7">
        <v>43648</v>
      </c>
      <c r="H128" t="s">
        <v>138</v>
      </c>
    </row>
    <row r="129" spans="1:8" x14ac:dyDescent="0.25">
      <c r="A129" s="1">
        <v>52465</v>
      </c>
      <c r="B129" s="2" t="s">
        <v>6</v>
      </c>
      <c r="C129" s="4" t="s">
        <v>7</v>
      </c>
      <c r="D129" s="10" t="s">
        <v>52</v>
      </c>
      <c r="E129" s="2" t="s">
        <v>9</v>
      </c>
      <c r="F129" s="2" t="s">
        <v>10</v>
      </c>
      <c r="G129" s="7">
        <v>43649</v>
      </c>
      <c r="H129" t="s">
        <v>138</v>
      </c>
    </row>
    <row r="130" spans="1:8" x14ac:dyDescent="0.25">
      <c r="A130" s="1">
        <v>180221</v>
      </c>
      <c r="B130" s="2" t="s">
        <v>6</v>
      </c>
      <c r="C130" s="4" t="s">
        <v>7</v>
      </c>
      <c r="D130" s="10" t="s">
        <v>126</v>
      </c>
      <c r="E130" s="2" t="s">
        <v>9</v>
      </c>
      <c r="F130" s="2" t="s">
        <v>10</v>
      </c>
      <c r="G130" s="7">
        <v>43649</v>
      </c>
      <c r="H130" t="s">
        <v>138</v>
      </c>
    </row>
    <row r="131" spans="1:8" x14ac:dyDescent="0.25">
      <c r="A131" s="6">
        <v>40376</v>
      </c>
      <c r="B131" s="7"/>
      <c r="C131" s="8" t="s">
        <v>7</v>
      </c>
      <c r="F131" t="s">
        <v>10</v>
      </c>
      <c r="G131" s="7">
        <v>43651</v>
      </c>
      <c r="H131" t="s">
        <v>138</v>
      </c>
    </row>
    <row r="132" spans="1:8" x14ac:dyDescent="0.25">
      <c r="A132" s="1">
        <v>176005</v>
      </c>
      <c r="B132" s="2" t="s">
        <v>6</v>
      </c>
      <c r="C132" s="4" t="s">
        <v>29</v>
      </c>
      <c r="D132" s="10" t="s">
        <v>124</v>
      </c>
      <c r="E132" s="2" t="s">
        <v>9</v>
      </c>
      <c r="F132" s="2" t="s">
        <v>10</v>
      </c>
      <c r="G132" s="7">
        <v>43651</v>
      </c>
      <c r="H132" t="s">
        <v>138</v>
      </c>
    </row>
    <row r="133" spans="1:8" x14ac:dyDescent="0.25">
      <c r="A133" s="6">
        <v>29895</v>
      </c>
      <c r="B133" s="7"/>
      <c r="C133" s="8" t="s">
        <v>7</v>
      </c>
      <c r="F133" t="s">
        <v>10</v>
      </c>
      <c r="G133" s="7">
        <v>43655</v>
      </c>
      <c r="H133" t="s">
        <v>138</v>
      </c>
    </row>
    <row r="134" spans="1:8" x14ac:dyDescent="0.25">
      <c r="A134" s="6">
        <v>78577</v>
      </c>
      <c r="B134" s="7"/>
      <c r="C134" s="8" t="s">
        <v>7</v>
      </c>
      <c r="F134" t="s">
        <v>10</v>
      </c>
      <c r="G134" s="7">
        <v>43655</v>
      </c>
      <c r="H134" t="s">
        <v>138</v>
      </c>
    </row>
    <row r="135" spans="1:8" x14ac:dyDescent="0.25">
      <c r="A135" s="1">
        <v>118864</v>
      </c>
      <c r="B135" s="2" t="s">
        <v>6</v>
      </c>
      <c r="C135" s="4" t="s">
        <v>29</v>
      </c>
      <c r="D135" s="10" t="s">
        <v>110</v>
      </c>
      <c r="E135" s="2" t="s">
        <v>9</v>
      </c>
      <c r="F135" s="2" t="s">
        <v>10</v>
      </c>
      <c r="G135" s="7">
        <v>43503</v>
      </c>
      <c r="H135" t="s">
        <v>133</v>
      </c>
    </row>
    <row r="136" spans="1:8" x14ac:dyDescent="0.25">
      <c r="A136" s="1">
        <v>48291</v>
      </c>
      <c r="B136" s="2" t="s">
        <v>11</v>
      </c>
      <c r="C136" s="4" t="s">
        <v>7</v>
      </c>
      <c r="D136" s="10" t="s">
        <v>48</v>
      </c>
      <c r="E136" s="2" t="s">
        <v>9</v>
      </c>
      <c r="F136" s="2" t="s">
        <v>10</v>
      </c>
      <c r="G136" s="7">
        <v>43657</v>
      </c>
      <c r="H136" t="s">
        <v>138</v>
      </c>
    </row>
    <row r="137" spans="1:8" x14ac:dyDescent="0.25">
      <c r="A137" s="1">
        <v>73539</v>
      </c>
      <c r="B137" s="2" t="s">
        <v>6</v>
      </c>
      <c r="C137" s="4" t="s">
        <v>7</v>
      </c>
      <c r="D137" s="10" t="s">
        <v>77</v>
      </c>
      <c r="E137" s="2" t="s">
        <v>9</v>
      </c>
      <c r="F137" s="2" t="s">
        <v>10</v>
      </c>
      <c r="G137" s="7">
        <v>43657</v>
      </c>
      <c r="H137" t="s">
        <v>138</v>
      </c>
    </row>
    <row r="138" spans="1:8" x14ac:dyDescent="0.25">
      <c r="A138" s="6">
        <v>78754</v>
      </c>
      <c r="B138" s="7"/>
      <c r="C138" s="8" t="s">
        <v>7</v>
      </c>
      <c r="F138" t="s">
        <v>10</v>
      </c>
      <c r="G138" s="7">
        <v>43664</v>
      </c>
      <c r="H138" t="s">
        <v>138</v>
      </c>
    </row>
    <row r="139" spans="1:8" x14ac:dyDescent="0.25">
      <c r="A139" s="6">
        <v>35466</v>
      </c>
      <c r="B139" s="7"/>
      <c r="C139" s="8" t="s">
        <v>7</v>
      </c>
      <c r="F139" t="s">
        <v>10</v>
      </c>
      <c r="G139" s="7">
        <v>43665</v>
      </c>
      <c r="H139" t="s">
        <v>138</v>
      </c>
    </row>
    <row r="140" spans="1:8" x14ac:dyDescent="0.25">
      <c r="A140" s="6">
        <v>56614</v>
      </c>
      <c r="B140" s="7"/>
      <c r="C140" s="8" t="s">
        <v>7</v>
      </c>
      <c r="F140" t="s">
        <v>10</v>
      </c>
      <c r="G140" s="7">
        <v>43665</v>
      </c>
      <c r="H140" t="s">
        <v>138</v>
      </c>
    </row>
    <row r="141" spans="1:8" x14ac:dyDescent="0.25">
      <c r="A141" s="1">
        <v>78588</v>
      </c>
      <c r="B141" s="2" t="s">
        <v>6</v>
      </c>
      <c r="C141" s="4" t="s">
        <v>7</v>
      </c>
      <c r="D141" s="10" t="s">
        <v>81</v>
      </c>
      <c r="E141" s="2" t="s">
        <v>9</v>
      </c>
      <c r="F141" s="2" t="s">
        <v>10</v>
      </c>
      <c r="G141" s="7">
        <v>43665</v>
      </c>
      <c r="H141" t="s">
        <v>138</v>
      </c>
    </row>
    <row r="142" spans="1:8" x14ac:dyDescent="0.25">
      <c r="A142" s="1">
        <v>179547</v>
      </c>
      <c r="B142" s="2" t="s">
        <v>6</v>
      </c>
      <c r="C142" s="4" t="s">
        <v>7</v>
      </c>
      <c r="D142" s="10" t="s">
        <v>125</v>
      </c>
      <c r="E142" s="2" t="s">
        <v>9</v>
      </c>
      <c r="F142" s="2" t="s">
        <v>10</v>
      </c>
      <c r="G142" s="7">
        <v>43665</v>
      </c>
      <c r="H142" t="s">
        <v>138</v>
      </c>
    </row>
    <row r="143" spans="1:8" x14ac:dyDescent="0.25">
      <c r="A143" s="6">
        <v>78501</v>
      </c>
      <c r="B143" s="7"/>
      <c r="C143" s="8" t="s">
        <v>7</v>
      </c>
      <c r="F143" t="s">
        <v>10</v>
      </c>
      <c r="G143" s="7">
        <v>43669</v>
      </c>
      <c r="H143" t="s">
        <v>138</v>
      </c>
    </row>
    <row r="144" spans="1:8" x14ac:dyDescent="0.25">
      <c r="A144" s="6">
        <v>14027</v>
      </c>
      <c r="B144" s="7"/>
      <c r="C144" s="8" t="s">
        <v>7</v>
      </c>
      <c r="F144" t="s">
        <v>10</v>
      </c>
      <c r="G144" s="7">
        <v>43670</v>
      </c>
      <c r="H144" t="s">
        <v>138</v>
      </c>
    </row>
    <row r="145" spans="1:8" x14ac:dyDescent="0.25">
      <c r="A145" s="1">
        <v>133014</v>
      </c>
      <c r="B145" s="2" t="s">
        <v>6</v>
      </c>
      <c r="C145" s="4" t="s">
        <v>29</v>
      </c>
      <c r="D145" s="10" t="s">
        <v>113</v>
      </c>
      <c r="E145" s="2" t="s">
        <v>9</v>
      </c>
      <c r="F145" s="2" t="s">
        <v>10</v>
      </c>
      <c r="G145" s="7">
        <v>43656</v>
      </c>
      <c r="H145" t="s">
        <v>138</v>
      </c>
    </row>
    <row r="146" spans="1:8" x14ac:dyDescent="0.25">
      <c r="A146" s="6">
        <v>142318</v>
      </c>
      <c r="B146" s="7"/>
      <c r="C146" s="4" t="s">
        <v>29</v>
      </c>
      <c r="F146" t="s">
        <v>10</v>
      </c>
      <c r="G146" s="7">
        <v>43556</v>
      </c>
      <c r="H146" t="s">
        <v>135</v>
      </c>
    </row>
    <row r="147" spans="1:8" x14ac:dyDescent="0.25">
      <c r="A147" s="6">
        <v>57028</v>
      </c>
      <c r="B147" s="7"/>
      <c r="C147" s="8" t="s">
        <v>7</v>
      </c>
      <c r="F147" t="s">
        <v>10</v>
      </c>
      <c r="G147" s="7">
        <v>43676</v>
      </c>
      <c r="H147" t="s">
        <v>138</v>
      </c>
    </row>
    <row r="148" spans="1:8" x14ac:dyDescent="0.25">
      <c r="A148" s="1">
        <v>14269</v>
      </c>
      <c r="B148" s="2" t="s">
        <v>6</v>
      </c>
      <c r="C148" s="4" t="s">
        <v>7</v>
      </c>
      <c r="D148" s="5" t="s">
        <v>22</v>
      </c>
      <c r="E148" s="3" t="s">
        <v>9</v>
      </c>
      <c r="F148" t="s">
        <v>10</v>
      </c>
      <c r="G148" s="7">
        <v>43677</v>
      </c>
      <c r="H148" t="s">
        <v>138</v>
      </c>
    </row>
    <row r="149" spans="1:8" x14ac:dyDescent="0.25">
      <c r="A149" s="1">
        <v>29794</v>
      </c>
      <c r="B149" s="2" t="s">
        <v>6</v>
      </c>
      <c r="C149" s="4" t="s">
        <v>29</v>
      </c>
      <c r="D149" s="10" t="s">
        <v>32</v>
      </c>
      <c r="E149" s="2" t="s">
        <v>9</v>
      </c>
      <c r="F149" s="2" t="s">
        <v>10</v>
      </c>
      <c r="G149" s="7">
        <v>43677</v>
      </c>
      <c r="H149" t="s">
        <v>138</v>
      </c>
    </row>
    <row r="150" spans="1:8" x14ac:dyDescent="0.25">
      <c r="A150" s="1">
        <v>105049</v>
      </c>
      <c r="B150" s="2" t="s">
        <v>6</v>
      </c>
      <c r="C150" s="4" t="s">
        <v>7</v>
      </c>
      <c r="D150" s="10" t="s">
        <v>109</v>
      </c>
      <c r="E150" s="2" t="s">
        <v>9</v>
      </c>
      <c r="F150" s="2" t="s">
        <v>10</v>
      </c>
      <c r="G150" s="7">
        <v>43677</v>
      </c>
      <c r="H150" t="s">
        <v>138</v>
      </c>
    </row>
    <row r="151" spans="1:8" x14ac:dyDescent="0.25">
      <c r="A151" s="1">
        <v>121568</v>
      </c>
      <c r="B151" s="2" t="s">
        <v>11</v>
      </c>
      <c r="C151" s="4" t="s">
        <v>7</v>
      </c>
      <c r="D151" s="10" t="s">
        <v>111</v>
      </c>
      <c r="E151" s="2" t="s">
        <v>9</v>
      </c>
      <c r="F151" s="2" t="s">
        <v>10</v>
      </c>
      <c r="G151" s="7">
        <v>43677</v>
      </c>
      <c r="H151" t="s">
        <v>138</v>
      </c>
    </row>
    <row r="152" spans="1:8" x14ac:dyDescent="0.25">
      <c r="A152" s="1">
        <v>6394</v>
      </c>
      <c r="B152" s="2" t="s">
        <v>6</v>
      </c>
      <c r="C152" s="4" t="s">
        <v>16</v>
      </c>
      <c r="D152" s="5" t="s">
        <v>17</v>
      </c>
      <c r="E152" s="3" t="s">
        <v>9</v>
      </c>
      <c r="F152" t="s">
        <v>10</v>
      </c>
      <c r="G152" s="7">
        <v>43679</v>
      </c>
      <c r="H152" t="s">
        <v>139</v>
      </c>
    </row>
    <row r="153" spans="1:8" x14ac:dyDescent="0.25">
      <c r="A153" s="1">
        <v>61812</v>
      </c>
      <c r="B153" s="2" t="s">
        <v>6</v>
      </c>
      <c r="C153" s="4" t="s">
        <v>7</v>
      </c>
      <c r="D153" s="10" t="s">
        <v>69</v>
      </c>
      <c r="E153" s="2" t="s">
        <v>9</v>
      </c>
      <c r="F153" s="2" t="s">
        <v>10</v>
      </c>
      <c r="G153" s="7">
        <v>43679</v>
      </c>
      <c r="H153" t="s">
        <v>139</v>
      </c>
    </row>
    <row r="154" spans="1:8" x14ac:dyDescent="0.25">
      <c r="A154" s="6">
        <v>142319</v>
      </c>
      <c r="B154" s="7"/>
      <c r="C154" s="4" t="s">
        <v>29</v>
      </c>
      <c r="F154" t="s">
        <v>10</v>
      </c>
      <c r="G154" s="7">
        <v>43550</v>
      </c>
      <c r="H154" t="s">
        <v>134</v>
      </c>
    </row>
    <row r="155" spans="1:8" x14ac:dyDescent="0.25">
      <c r="A155" s="1">
        <v>78698</v>
      </c>
      <c r="B155" s="2" t="s">
        <v>6</v>
      </c>
      <c r="C155" s="4" t="s">
        <v>7</v>
      </c>
      <c r="D155" s="10" t="s">
        <v>85</v>
      </c>
      <c r="E155" s="2" t="s">
        <v>9</v>
      </c>
      <c r="F155" s="2" t="s">
        <v>10</v>
      </c>
      <c r="G155" s="7">
        <v>43679</v>
      </c>
      <c r="H155" t="s">
        <v>139</v>
      </c>
    </row>
    <row r="156" spans="1:8" x14ac:dyDescent="0.25">
      <c r="A156" s="6">
        <v>79245</v>
      </c>
      <c r="B156" s="7"/>
      <c r="C156" s="8" t="s">
        <v>7</v>
      </c>
      <c r="F156" t="s">
        <v>10</v>
      </c>
      <c r="G156" s="7">
        <v>43683</v>
      </c>
      <c r="H156" t="s">
        <v>139</v>
      </c>
    </row>
    <row r="157" spans="1:8" x14ac:dyDescent="0.25">
      <c r="A157" s="1">
        <v>52954</v>
      </c>
      <c r="B157" s="2" t="s">
        <v>6</v>
      </c>
      <c r="C157" s="4" t="s">
        <v>7</v>
      </c>
      <c r="D157" s="10" t="s">
        <v>57</v>
      </c>
      <c r="E157" s="2" t="s">
        <v>9</v>
      </c>
      <c r="F157" s="2" t="s">
        <v>10</v>
      </c>
      <c r="G157" s="7">
        <v>43685</v>
      </c>
      <c r="H157" t="s">
        <v>139</v>
      </c>
    </row>
    <row r="158" spans="1:8" x14ac:dyDescent="0.25">
      <c r="A158" s="1">
        <v>78602</v>
      </c>
      <c r="B158" s="2" t="s">
        <v>6</v>
      </c>
      <c r="C158" s="4" t="s">
        <v>7</v>
      </c>
      <c r="D158" s="10" t="s">
        <v>82</v>
      </c>
      <c r="E158" s="2" t="s">
        <v>9</v>
      </c>
      <c r="F158" s="2" t="s">
        <v>10</v>
      </c>
      <c r="G158" s="7">
        <v>43685</v>
      </c>
      <c r="H158" t="s">
        <v>139</v>
      </c>
    </row>
    <row r="159" spans="1:8" x14ac:dyDescent="0.25">
      <c r="A159" s="6">
        <v>5977</v>
      </c>
      <c r="B159" s="7"/>
      <c r="C159" s="8" t="s">
        <v>7</v>
      </c>
      <c r="F159" t="s">
        <v>10</v>
      </c>
      <c r="G159" s="7">
        <v>43689</v>
      </c>
      <c r="H159" t="s">
        <v>139</v>
      </c>
    </row>
    <row r="160" spans="1:8" x14ac:dyDescent="0.25">
      <c r="A160" s="6">
        <v>5995</v>
      </c>
      <c r="B160" s="7"/>
      <c r="C160" s="8" t="s">
        <v>7</v>
      </c>
      <c r="F160" t="s">
        <v>10</v>
      </c>
      <c r="G160" s="7">
        <v>43689</v>
      </c>
      <c r="H160" t="s">
        <v>139</v>
      </c>
    </row>
    <row r="161" spans="1:8" x14ac:dyDescent="0.25">
      <c r="A161" s="6">
        <v>10166</v>
      </c>
      <c r="B161" s="7"/>
      <c r="C161" s="8" t="s">
        <v>7</v>
      </c>
      <c r="F161" t="s">
        <v>10</v>
      </c>
      <c r="G161" s="7">
        <v>43691</v>
      </c>
      <c r="H161" t="s">
        <v>139</v>
      </c>
    </row>
    <row r="162" spans="1:8" x14ac:dyDescent="0.25">
      <c r="A162" s="6">
        <v>29718</v>
      </c>
      <c r="B162" s="7"/>
      <c r="C162" s="8" t="s">
        <v>29</v>
      </c>
      <c r="F162" t="s">
        <v>10</v>
      </c>
      <c r="G162" s="7">
        <v>43691</v>
      </c>
      <c r="H162" t="s">
        <v>139</v>
      </c>
    </row>
    <row r="163" spans="1:8" x14ac:dyDescent="0.25">
      <c r="A163" s="6">
        <v>29913</v>
      </c>
      <c r="B163" s="7"/>
      <c r="C163" s="8" t="s">
        <v>7</v>
      </c>
      <c r="F163" t="s">
        <v>10</v>
      </c>
      <c r="G163" s="7">
        <v>43693</v>
      </c>
      <c r="H163" t="s">
        <v>139</v>
      </c>
    </row>
    <row r="164" spans="1:8" x14ac:dyDescent="0.25">
      <c r="A164" s="6">
        <v>83108</v>
      </c>
      <c r="B164" s="7"/>
      <c r="C164" s="8" t="s">
        <v>7</v>
      </c>
      <c r="F164" t="s">
        <v>10</v>
      </c>
      <c r="G164" s="7">
        <v>43693</v>
      </c>
      <c r="H164" t="s">
        <v>139</v>
      </c>
    </row>
    <row r="165" spans="1:8" x14ac:dyDescent="0.25">
      <c r="A165" s="6">
        <v>175716</v>
      </c>
      <c r="B165" s="7"/>
      <c r="C165" s="8" t="s">
        <v>7</v>
      </c>
      <c r="F165" t="s">
        <v>10</v>
      </c>
      <c r="G165" s="7">
        <v>43693</v>
      </c>
      <c r="H165" t="s">
        <v>139</v>
      </c>
    </row>
    <row r="166" spans="1:8" x14ac:dyDescent="0.25">
      <c r="A166" s="1">
        <v>82883</v>
      </c>
      <c r="B166" s="2" t="s">
        <v>6</v>
      </c>
      <c r="C166" s="4" t="s">
        <v>7</v>
      </c>
      <c r="D166" s="10" t="s">
        <v>95</v>
      </c>
      <c r="E166" s="2" t="s">
        <v>9</v>
      </c>
      <c r="F166" s="2" t="s">
        <v>10</v>
      </c>
      <c r="G166" s="12" t="s">
        <v>128</v>
      </c>
    </row>
  </sheetData>
  <autoFilter ref="A1:H166"/>
  <sortState ref="A13:H154">
    <sortCondition ref="A2:A166"/>
  </sortState>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9"/>
  <sheetViews>
    <sheetView workbookViewId="0">
      <selection activeCell="K18" sqref="K18"/>
    </sheetView>
  </sheetViews>
  <sheetFormatPr defaultRowHeight="15" x14ac:dyDescent="0.25"/>
  <cols>
    <col min="1" max="1" width="24.42578125" bestFit="1" customWidth="1"/>
    <col min="2" max="2" width="16.28515625" customWidth="1"/>
    <col min="3" max="3" width="8.85546875" customWidth="1"/>
    <col min="4" max="4" width="6.5703125" customWidth="1"/>
    <col min="5" max="5" width="5.28515625" customWidth="1"/>
    <col min="6" max="6" width="4.85546875" customWidth="1"/>
    <col min="7" max="7" width="5.140625" customWidth="1"/>
    <col min="8" max="8" width="4.42578125" customWidth="1"/>
    <col min="9" max="9" width="7.140625" customWidth="1"/>
    <col min="10" max="10" width="7.28515625" customWidth="1"/>
    <col min="11" max="11" width="11.28515625" bestFit="1" customWidth="1"/>
  </cols>
  <sheetData>
    <row r="3" spans="1:11" x14ac:dyDescent="0.25">
      <c r="A3" s="15" t="s">
        <v>146</v>
      </c>
      <c r="B3" s="15" t="s">
        <v>129</v>
      </c>
    </row>
    <row r="4" spans="1:11" x14ac:dyDescent="0.25">
      <c r="A4" s="15" t="s">
        <v>144</v>
      </c>
      <c r="B4" t="s">
        <v>131</v>
      </c>
      <c r="C4" t="s">
        <v>133</v>
      </c>
      <c r="D4" t="s">
        <v>134</v>
      </c>
      <c r="E4" t="s">
        <v>135</v>
      </c>
      <c r="F4" t="s">
        <v>136</v>
      </c>
      <c r="G4" t="s">
        <v>137</v>
      </c>
      <c r="H4" t="s">
        <v>138</v>
      </c>
      <c r="I4" t="s">
        <v>139</v>
      </c>
      <c r="J4" t="s">
        <v>145</v>
      </c>
      <c r="K4" t="s">
        <v>130</v>
      </c>
    </row>
    <row r="5" spans="1:11" x14ac:dyDescent="0.25">
      <c r="A5" s="9" t="s">
        <v>16</v>
      </c>
      <c r="B5" s="16"/>
      <c r="C5" s="16"/>
      <c r="D5" s="16">
        <v>1</v>
      </c>
      <c r="E5" s="16">
        <v>1</v>
      </c>
      <c r="F5" s="16"/>
      <c r="G5" s="16"/>
      <c r="H5" s="16"/>
      <c r="I5" s="16">
        <v>1</v>
      </c>
      <c r="J5" s="16"/>
      <c r="K5" s="16">
        <v>3</v>
      </c>
    </row>
    <row r="6" spans="1:11" x14ac:dyDescent="0.25">
      <c r="A6" s="9" t="s">
        <v>29</v>
      </c>
      <c r="B6" s="16">
        <v>1</v>
      </c>
      <c r="C6" s="16">
        <v>4</v>
      </c>
      <c r="D6" s="16">
        <v>2</v>
      </c>
      <c r="E6" s="16">
        <v>9</v>
      </c>
      <c r="F6" s="16">
        <v>1</v>
      </c>
      <c r="G6" s="16">
        <v>2</v>
      </c>
      <c r="H6" s="16">
        <v>5</v>
      </c>
      <c r="I6" s="16">
        <v>1</v>
      </c>
      <c r="J6" s="16"/>
      <c r="K6" s="16">
        <v>25</v>
      </c>
    </row>
    <row r="7" spans="1:11" x14ac:dyDescent="0.25">
      <c r="A7" s="9" t="s">
        <v>7</v>
      </c>
      <c r="B7" s="16">
        <v>9</v>
      </c>
      <c r="C7" s="16">
        <v>11</v>
      </c>
      <c r="D7" s="16">
        <v>25</v>
      </c>
      <c r="E7" s="16">
        <v>28</v>
      </c>
      <c r="F7" s="16">
        <v>20</v>
      </c>
      <c r="G7" s="16">
        <v>11</v>
      </c>
      <c r="H7" s="16">
        <v>19</v>
      </c>
      <c r="I7" s="16">
        <v>11</v>
      </c>
      <c r="J7" s="16">
        <v>1</v>
      </c>
      <c r="K7" s="16">
        <v>135</v>
      </c>
    </row>
    <row r="8" spans="1:11" x14ac:dyDescent="0.25">
      <c r="A8" s="9" t="s">
        <v>156</v>
      </c>
      <c r="B8" s="16"/>
      <c r="C8" s="16"/>
      <c r="D8" s="16">
        <v>1</v>
      </c>
      <c r="E8" s="16"/>
      <c r="F8" s="16"/>
      <c r="G8" s="16"/>
      <c r="H8" s="16"/>
      <c r="I8" s="16">
        <v>1</v>
      </c>
      <c r="J8" s="16"/>
      <c r="K8" s="16">
        <v>2</v>
      </c>
    </row>
    <row r="9" spans="1:11" x14ac:dyDescent="0.25">
      <c r="A9" s="9" t="s">
        <v>130</v>
      </c>
      <c r="B9" s="16">
        <v>10</v>
      </c>
      <c r="C9" s="16">
        <v>15</v>
      </c>
      <c r="D9" s="16">
        <v>29</v>
      </c>
      <c r="E9" s="16">
        <v>38</v>
      </c>
      <c r="F9" s="16">
        <v>21</v>
      </c>
      <c r="G9" s="16">
        <v>13</v>
      </c>
      <c r="H9" s="16">
        <v>24</v>
      </c>
      <c r="I9" s="16">
        <v>14</v>
      </c>
      <c r="J9" s="16">
        <v>1</v>
      </c>
      <c r="K9" s="16">
        <v>165</v>
      </c>
    </row>
  </sheetData>
  <pageMargins left="0.7" right="0.7" top="0.75" bottom="0.75" header="0.3" footer="0.3"/>
  <pageSetup orientation="portrait"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sqref="A1:N10"/>
    </sheetView>
  </sheetViews>
  <sheetFormatPr defaultRowHeight="15" x14ac:dyDescent="0.25"/>
  <cols>
    <col min="1" max="1" width="24.42578125" bestFit="1" customWidth="1"/>
    <col min="2" max="13" width="11.5703125" bestFit="1" customWidth="1"/>
    <col min="14" max="14" width="12.5703125" bestFit="1" customWidth="1"/>
  </cols>
  <sheetData>
    <row r="1" spans="1:14" x14ac:dyDescent="0.25">
      <c r="B1" s="217">
        <v>2019</v>
      </c>
      <c r="C1" s="217">
        <v>2019</v>
      </c>
      <c r="D1" s="217">
        <v>2019</v>
      </c>
      <c r="E1" s="217">
        <v>2019</v>
      </c>
      <c r="F1" s="217">
        <v>2019</v>
      </c>
      <c r="G1" s="217">
        <v>2019</v>
      </c>
      <c r="H1" s="217">
        <v>2019</v>
      </c>
      <c r="I1" s="217">
        <v>2019</v>
      </c>
      <c r="J1" s="217">
        <v>2019</v>
      </c>
      <c r="K1" s="217">
        <v>2019</v>
      </c>
      <c r="L1" s="217">
        <v>2019</v>
      </c>
      <c r="M1" s="217">
        <v>2019</v>
      </c>
      <c r="N1" s="218" t="s">
        <v>162</v>
      </c>
    </row>
    <row r="2" spans="1:14" x14ac:dyDescent="0.25">
      <c r="B2" s="217">
        <v>1</v>
      </c>
      <c r="C2" s="217">
        <v>2</v>
      </c>
      <c r="D2" s="217">
        <v>3</v>
      </c>
      <c r="E2" s="217">
        <v>4</v>
      </c>
      <c r="F2" s="217">
        <v>5</v>
      </c>
      <c r="G2" s="217">
        <v>6</v>
      </c>
      <c r="H2" s="217">
        <v>7</v>
      </c>
      <c r="I2" s="217">
        <v>8</v>
      </c>
      <c r="J2" s="217">
        <v>9</v>
      </c>
      <c r="K2" s="217">
        <v>10</v>
      </c>
      <c r="L2" s="217">
        <v>11</v>
      </c>
      <c r="M2" s="217">
        <v>12</v>
      </c>
      <c r="N2" s="219"/>
    </row>
    <row r="4" spans="1:14" x14ac:dyDescent="0.25">
      <c r="A4" s="113" t="s">
        <v>286</v>
      </c>
      <c r="B4" s="108"/>
      <c r="C4" s="108"/>
      <c r="D4" s="108"/>
      <c r="E4" s="108"/>
      <c r="F4" s="108"/>
      <c r="G4" s="108"/>
      <c r="H4" s="108"/>
      <c r="I4" s="108"/>
      <c r="J4" s="108"/>
      <c r="K4" s="108"/>
      <c r="L4" s="108"/>
      <c r="M4" s="108"/>
    </row>
    <row r="5" spans="1:14" x14ac:dyDescent="0.25">
      <c r="A5" s="114" t="s">
        <v>149</v>
      </c>
      <c r="B5" s="108">
        <v>26955951.009980127</v>
      </c>
      <c r="C5" s="108">
        <v>25705939.858377744</v>
      </c>
      <c r="D5" s="108">
        <v>19196954.681081466</v>
      </c>
      <c r="E5" s="108">
        <v>19517105.369357727</v>
      </c>
      <c r="F5" s="108">
        <v>20944076.601620033</v>
      </c>
      <c r="G5" s="108">
        <v>28756194.02325213</v>
      </c>
      <c r="H5" s="108">
        <v>33846041.419541188</v>
      </c>
      <c r="I5" s="108">
        <v>32303727.156496398</v>
      </c>
      <c r="J5" s="108">
        <v>31263671.409201618</v>
      </c>
      <c r="K5" s="108">
        <v>25393831.254389346</v>
      </c>
      <c r="L5" s="108">
        <v>19212562.325660754</v>
      </c>
      <c r="M5" s="108">
        <v>20824262.071302339</v>
      </c>
      <c r="N5" s="29">
        <f>SUM(B5:M5)</f>
        <v>303920317.1802609</v>
      </c>
    </row>
    <row r="6" spans="1:14" x14ac:dyDescent="0.25">
      <c r="A6" s="117" t="s">
        <v>287</v>
      </c>
      <c r="B6" s="108">
        <v>18769043.537107773</v>
      </c>
      <c r="C6" s="108">
        <v>17667193.523092039</v>
      </c>
      <c r="D6" s="108">
        <v>16097716.884528369</v>
      </c>
      <c r="E6" s="108">
        <v>16156171.693274034</v>
      </c>
      <c r="F6" s="108">
        <v>16618168.825144261</v>
      </c>
      <c r="G6" s="108">
        <v>19440065.264859244</v>
      </c>
      <c r="H6" s="108">
        <v>20645278.448283873</v>
      </c>
      <c r="I6" s="108">
        <v>20440812.551846154</v>
      </c>
      <c r="J6" s="108">
        <v>20172959.138587356</v>
      </c>
      <c r="K6" s="108">
        <v>18258609.811077993</v>
      </c>
      <c r="L6" s="108">
        <v>15862338.564796254</v>
      </c>
      <c r="M6" s="108">
        <v>16453733.714804854</v>
      </c>
      <c r="N6" s="29">
        <f t="shared" ref="N6:N9" si="0">SUM(B6:M6)</f>
        <v>216582091.9574022</v>
      </c>
    </row>
    <row r="7" spans="1:14" x14ac:dyDescent="0.25">
      <c r="A7" s="117" t="s">
        <v>288</v>
      </c>
      <c r="B7" s="108">
        <v>8186907.4728723522</v>
      </c>
      <c r="C7" s="108">
        <v>8038746.3352857064</v>
      </c>
      <c r="D7" s="108">
        <v>3099237.7965531005</v>
      </c>
      <c r="E7" s="108">
        <v>3360933.6760836942</v>
      </c>
      <c r="F7" s="108">
        <v>4325907.7764757704</v>
      </c>
      <c r="G7" s="108">
        <v>9316128.7583928853</v>
      </c>
      <c r="H7" s="108">
        <v>13200762.971257314</v>
      </c>
      <c r="I7" s="108">
        <v>11862914.604650244</v>
      </c>
      <c r="J7" s="108">
        <v>11090712.270614266</v>
      </c>
      <c r="K7" s="108">
        <v>7135221.4433113523</v>
      </c>
      <c r="L7" s="108">
        <v>3350223.7608645</v>
      </c>
      <c r="M7" s="108">
        <v>4370528.3564974852</v>
      </c>
      <c r="N7" s="29">
        <f t="shared" si="0"/>
        <v>87338225.222858667</v>
      </c>
    </row>
    <row r="8" spans="1:14" x14ac:dyDescent="0.25">
      <c r="A8" s="114" t="s">
        <v>151</v>
      </c>
      <c r="B8" s="108">
        <v>5099463.0865589809</v>
      </c>
      <c r="C8" s="108">
        <v>4499525.4597720467</v>
      </c>
      <c r="D8" s="108">
        <v>4138568.5220878446</v>
      </c>
      <c r="E8" s="108">
        <v>4573778.9492382854</v>
      </c>
      <c r="F8" s="108">
        <v>4794253.1421964364</v>
      </c>
      <c r="G8" s="108">
        <v>5943885.3414596748</v>
      </c>
      <c r="H8" s="108">
        <v>6481542.9394362383</v>
      </c>
      <c r="I8" s="108">
        <v>6484124.7927677277</v>
      </c>
      <c r="J8" s="108">
        <v>6396496.5055118818</v>
      </c>
      <c r="K8" s="108">
        <v>5529736.9962915536</v>
      </c>
      <c r="L8" s="108">
        <v>4600481.0878611039</v>
      </c>
      <c r="M8" s="108">
        <v>4416567.2099136617</v>
      </c>
      <c r="N8" s="29">
        <f t="shared" si="0"/>
        <v>62958424.033095442</v>
      </c>
    </row>
    <row r="9" spans="1:14" x14ac:dyDescent="0.25">
      <c r="A9" s="114" t="s">
        <v>228</v>
      </c>
      <c r="B9" s="108">
        <v>13763774.577528261</v>
      </c>
      <c r="C9" s="108">
        <v>12418337.631268807</v>
      </c>
      <c r="D9" s="108">
        <v>12353604.015896952</v>
      </c>
      <c r="E9" s="108">
        <v>13887546.009391407</v>
      </c>
      <c r="F9" s="108">
        <v>14221965.355814651</v>
      </c>
      <c r="G9" s="108">
        <v>17295811.843828268</v>
      </c>
      <c r="H9" s="108">
        <v>18298851.609740574</v>
      </c>
      <c r="I9" s="108">
        <v>18262905.780211642</v>
      </c>
      <c r="J9" s="108">
        <v>18856995.396067172</v>
      </c>
      <c r="K9" s="108">
        <v>16176126.86867989</v>
      </c>
      <c r="L9" s="108">
        <v>14412584.138922907</v>
      </c>
      <c r="M9" s="108">
        <v>13265946.182073962</v>
      </c>
      <c r="N9" s="29">
        <f t="shared" si="0"/>
        <v>183214449.40942445</v>
      </c>
    </row>
    <row r="10" spans="1:14" x14ac:dyDescent="0.25">
      <c r="A10" s="113" t="s">
        <v>289</v>
      </c>
      <c r="B10" s="124">
        <f t="shared" ref="B10:N10" si="1">SUM(B8:B9)+B5</f>
        <v>45819188.674067371</v>
      </c>
      <c r="C10" s="124">
        <f t="shared" si="1"/>
        <v>42623802.949418597</v>
      </c>
      <c r="D10" s="124">
        <f t="shared" si="1"/>
        <v>35689127.219066262</v>
      </c>
      <c r="E10" s="124">
        <f t="shared" si="1"/>
        <v>37978430.327987418</v>
      </c>
      <c r="F10" s="124">
        <f t="shared" si="1"/>
        <v>39960295.099631116</v>
      </c>
      <c r="G10" s="124">
        <f t="shared" si="1"/>
        <v>51995891.208540075</v>
      </c>
      <c r="H10" s="124">
        <f t="shared" si="1"/>
        <v>58626435.968718</v>
      </c>
      <c r="I10" s="124">
        <f t="shared" si="1"/>
        <v>57050757.729475766</v>
      </c>
      <c r="J10" s="124">
        <f t="shared" si="1"/>
        <v>56517163.310780674</v>
      </c>
      <c r="K10" s="124">
        <f t="shared" si="1"/>
        <v>47099695.11936079</v>
      </c>
      <c r="L10" s="124">
        <f t="shared" si="1"/>
        <v>38225627.552444771</v>
      </c>
      <c r="M10" s="124">
        <f t="shared" si="1"/>
        <v>38506775.463289961</v>
      </c>
      <c r="N10" s="124">
        <f t="shared" si="1"/>
        <v>550093190.6227808</v>
      </c>
    </row>
    <row r="11" spans="1:14" x14ac:dyDescent="0.25">
      <c r="A11" s="188"/>
      <c r="B11" s="108"/>
      <c r="C11" s="108"/>
      <c r="D11" s="108"/>
      <c r="E11" s="108"/>
      <c r="F11" s="108"/>
      <c r="G11" s="108"/>
      <c r="H11" s="108"/>
      <c r="I11" s="108"/>
      <c r="J11" s="108"/>
      <c r="K11" s="108"/>
      <c r="L11" s="108"/>
      <c r="M11" s="108"/>
    </row>
    <row r="12" spans="1:14" x14ac:dyDescent="0.25">
      <c r="A12" s="106" t="s">
        <v>229</v>
      </c>
      <c r="B12" s="108"/>
      <c r="C12" s="108"/>
      <c r="D12" s="108"/>
      <c r="E12" s="108"/>
      <c r="F12" s="108"/>
      <c r="G12" s="108"/>
      <c r="H12" s="108"/>
      <c r="I12" s="108"/>
      <c r="J12" s="108"/>
      <c r="K12" s="108"/>
      <c r="L12" s="108"/>
      <c r="M12" s="108"/>
    </row>
    <row r="13" spans="1:14" x14ac:dyDescent="0.25">
      <c r="A13" s="114" t="s">
        <v>228</v>
      </c>
      <c r="B13" s="108">
        <v>50884.247554934016</v>
      </c>
      <c r="C13" s="108">
        <v>49179.759806718728</v>
      </c>
      <c r="D13" s="108">
        <v>46802.338109468328</v>
      </c>
      <c r="E13" s="108">
        <v>48604.029446983106</v>
      </c>
      <c r="F13" s="108">
        <v>49302.93847668395</v>
      </c>
      <c r="G13" s="108">
        <v>50988.391713113757</v>
      </c>
      <c r="H13" s="108">
        <v>52512.325130620193</v>
      </c>
      <c r="I13" s="108">
        <v>53426.440668128955</v>
      </c>
      <c r="J13" s="108">
        <v>50415.136329024113</v>
      </c>
      <c r="K13" s="108">
        <v>52771.818493883446</v>
      </c>
      <c r="L13" s="108">
        <v>49106.704092253131</v>
      </c>
      <c r="M13" s="108">
        <v>48239.106161359421</v>
      </c>
      <c r="N13" s="29">
        <f t="shared" ref="N13" si="2">SUM(B13:M13)</f>
        <v>602233.23598317115</v>
      </c>
    </row>
    <row r="14" spans="1:14" x14ac:dyDescent="0.25">
      <c r="A14" s="114"/>
      <c r="B14" s="124">
        <f t="shared" ref="B14:N14" si="3">SUM(B13:B13)</f>
        <v>50884.247554934016</v>
      </c>
      <c r="C14" s="124">
        <f t="shared" si="3"/>
        <v>49179.759806718728</v>
      </c>
      <c r="D14" s="124">
        <f t="shared" si="3"/>
        <v>46802.338109468328</v>
      </c>
      <c r="E14" s="124">
        <f t="shared" si="3"/>
        <v>48604.029446983106</v>
      </c>
      <c r="F14" s="124">
        <f t="shared" si="3"/>
        <v>49302.93847668395</v>
      </c>
      <c r="G14" s="124">
        <f t="shared" si="3"/>
        <v>50988.391713113757</v>
      </c>
      <c r="H14" s="124">
        <f t="shared" si="3"/>
        <v>52512.325130620193</v>
      </c>
      <c r="I14" s="124">
        <f t="shared" si="3"/>
        <v>53426.440668128955</v>
      </c>
      <c r="J14" s="124">
        <f t="shared" si="3"/>
        <v>50415.136329024113</v>
      </c>
      <c r="K14" s="124">
        <f t="shared" si="3"/>
        <v>52771.818493883446</v>
      </c>
      <c r="L14" s="124">
        <f t="shared" si="3"/>
        <v>49106.704092253131</v>
      </c>
      <c r="M14" s="124">
        <f t="shared" si="3"/>
        <v>48239.106161359421</v>
      </c>
      <c r="N14" s="124">
        <f t="shared" si="3"/>
        <v>602233.23598317115</v>
      </c>
    </row>
    <row r="15" spans="1:14" x14ac:dyDescent="0.25">
      <c r="A15" s="114"/>
      <c r="B15" s="108"/>
      <c r="C15" s="108"/>
      <c r="D15" s="108"/>
      <c r="E15" s="108"/>
      <c r="F15" s="108"/>
      <c r="G15" s="108"/>
      <c r="H15" s="108"/>
      <c r="I15" s="108"/>
      <c r="J15" s="108"/>
      <c r="K15" s="108"/>
      <c r="L15" s="108"/>
      <c r="M15" s="108"/>
    </row>
    <row r="16" spans="1:14" x14ac:dyDescent="0.25">
      <c r="A16" s="189" t="s">
        <v>230</v>
      </c>
      <c r="B16" s="108"/>
      <c r="C16" s="108"/>
      <c r="D16" s="108"/>
      <c r="E16" s="108"/>
      <c r="F16" s="108"/>
      <c r="G16" s="108"/>
      <c r="H16" s="108"/>
      <c r="I16" s="108"/>
      <c r="J16" s="108"/>
      <c r="K16" s="108"/>
      <c r="L16" s="108"/>
      <c r="M16" s="108"/>
    </row>
    <row r="17" spans="1:14" x14ac:dyDescent="0.25">
      <c r="A17" s="114" t="s">
        <v>216</v>
      </c>
      <c r="B17" s="108">
        <v>2000</v>
      </c>
      <c r="C17" s="108">
        <v>2000</v>
      </c>
      <c r="D17" s="108">
        <v>2000</v>
      </c>
      <c r="E17" s="108">
        <v>2000</v>
      </c>
      <c r="F17" s="108">
        <v>2000</v>
      </c>
      <c r="G17" s="108">
        <v>2000</v>
      </c>
      <c r="H17" s="108">
        <v>2000</v>
      </c>
      <c r="I17" s="108">
        <v>2000</v>
      </c>
      <c r="J17" s="108">
        <v>2000</v>
      </c>
      <c r="K17" s="108">
        <v>2000</v>
      </c>
      <c r="L17" s="108">
        <v>2000</v>
      </c>
      <c r="M17" s="108">
        <v>2000</v>
      </c>
      <c r="N17" s="29">
        <f t="shared" ref="N17" si="4">SUM(B17:M17)</f>
        <v>24000</v>
      </c>
    </row>
    <row r="18" spans="1:14" x14ac:dyDescent="0.25">
      <c r="A18" s="188"/>
      <c r="B18" s="108"/>
      <c r="C18" s="108"/>
      <c r="D18" s="108"/>
      <c r="E18" s="108"/>
      <c r="F18" s="108"/>
      <c r="G18" s="108"/>
      <c r="H18" s="108"/>
      <c r="I18" s="108"/>
      <c r="J18" s="108"/>
      <c r="K18" s="108"/>
      <c r="L18" s="108"/>
      <c r="M18" s="108"/>
    </row>
    <row r="19" spans="1:14" x14ac:dyDescent="0.25">
      <c r="A19" s="189" t="s">
        <v>290</v>
      </c>
      <c r="B19" s="108"/>
      <c r="C19" s="108"/>
      <c r="D19" s="108"/>
      <c r="E19" s="108"/>
      <c r="F19" s="108"/>
      <c r="G19" s="108"/>
      <c r="H19" s="108"/>
      <c r="I19" s="108"/>
      <c r="J19" s="108"/>
      <c r="K19" s="108"/>
      <c r="L19" s="108"/>
      <c r="M19" s="108"/>
    </row>
    <row r="20" spans="1:14" x14ac:dyDescent="0.25">
      <c r="A20" s="114" t="s">
        <v>149</v>
      </c>
      <c r="B20" s="108">
        <v>1168.9620505811906</v>
      </c>
      <c r="C20" s="108">
        <v>969.79169946043692</v>
      </c>
      <c r="D20" s="108">
        <v>786.36682803669157</v>
      </c>
      <c r="E20" s="108">
        <v>789.97945228367792</v>
      </c>
      <c r="F20" s="108">
        <v>824.7802092298507</v>
      </c>
      <c r="G20" s="108">
        <v>1169.5224689257032</v>
      </c>
      <c r="H20" s="108">
        <v>1374.4176165929437</v>
      </c>
      <c r="I20" s="108">
        <v>1318.9873425749768</v>
      </c>
      <c r="J20" s="108">
        <v>1274.0716657662081</v>
      </c>
      <c r="K20" s="108">
        <v>1008.7214249404346</v>
      </c>
      <c r="L20" s="108">
        <v>768.60532284839758</v>
      </c>
      <c r="M20" s="108">
        <v>833.84274621137831</v>
      </c>
      <c r="N20" s="29">
        <f t="shared" ref="N20:N24" si="5">SUM(B20:M20)</f>
        <v>12288.04882745189</v>
      </c>
    </row>
    <row r="21" spans="1:14" x14ac:dyDescent="0.25">
      <c r="A21" s="117" t="s">
        <v>212</v>
      </c>
      <c r="B21" s="108">
        <v>762.70986455730417</v>
      </c>
      <c r="C21" s="108">
        <v>717.41438215546384</v>
      </c>
      <c r="D21" s="108">
        <v>651.95121731174686</v>
      </c>
      <c r="E21" s="108">
        <v>650.61006263648358</v>
      </c>
      <c r="F21" s="108">
        <v>661.477740811123</v>
      </c>
      <c r="G21" s="108">
        <v>782.74166116181152</v>
      </c>
      <c r="H21" s="108">
        <v>832.22113327302839</v>
      </c>
      <c r="I21" s="108">
        <v>822.79040763610863</v>
      </c>
      <c r="J21" s="108">
        <v>811.47208136612733</v>
      </c>
      <c r="K21" s="108">
        <v>734.27554167828464</v>
      </c>
      <c r="L21" s="108">
        <v>638.97010921407355</v>
      </c>
      <c r="M21" s="108">
        <v>663.34411719652712</v>
      </c>
      <c r="N21" s="220">
        <f t="shared" si="5"/>
        <v>8729.9783189980826</v>
      </c>
    </row>
    <row r="22" spans="1:14" x14ac:dyDescent="0.25">
      <c r="A22" s="117" t="s">
        <v>213</v>
      </c>
      <c r="B22" s="108">
        <v>925.17428680121827</v>
      </c>
      <c r="C22" s="108">
        <v>621.20236417155365</v>
      </c>
      <c r="D22" s="108">
        <v>474.63611118990849</v>
      </c>
      <c r="E22" s="108">
        <v>365.99799731776466</v>
      </c>
      <c r="F22" s="108">
        <v>437.82078560363647</v>
      </c>
      <c r="G22" s="108">
        <v>656.79973544644315</v>
      </c>
      <c r="H22" s="108">
        <v>874.96033263123263</v>
      </c>
      <c r="I22" s="108">
        <v>908.90227881234534</v>
      </c>
      <c r="J22" s="108">
        <v>1026.4688063871472</v>
      </c>
      <c r="K22" s="108">
        <v>840.31350147693468</v>
      </c>
      <c r="L22" s="108">
        <v>421.1728646903253</v>
      </c>
      <c r="M22" s="108">
        <v>437.47689764532169</v>
      </c>
      <c r="N22" s="220">
        <f t="shared" si="5"/>
        <v>7990.9259621738329</v>
      </c>
    </row>
    <row r="23" spans="1:14" x14ac:dyDescent="0.25">
      <c r="A23" s="114" t="s">
        <v>151</v>
      </c>
      <c r="B23" s="108">
        <v>1340.9387721556798</v>
      </c>
      <c r="C23" s="108">
        <v>1187.7846500105679</v>
      </c>
      <c r="D23" s="108">
        <v>1095.0242397885447</v>
      </c>
      <c r="E23" s="108">
        <v>1154.4796097728554</v>
      </c>
      <c r="F23" s="108">
        <v>1208.3997107132755</v>
      </c>
      <c r="G23" s="108">
        <v>1579.122250580215</v>
      </c>
      <c r="H23" s="108">
        <v>1723.4417598716784</v>
      </c>
      <c r="I23" s="108">
        <v>1720.776573028533</v>
      </c>
      <c r="J23" s="108">
        <v>1701.5592763213228</v>
      </c>
      <c r="K23" s="108">
        <v>1473.937715578166</v>
      </c>
      <c r="L23" s="108">
        <v>1226.1745534506006</v>
      </c>
      <c r="M23" s="108">
        <v>1177.367835852403</v>
      </c>
      <c r="N23" s="220">
        <f t="shared" si="5"/>
        <v>16589.006947123846</v>
      </c>
    </row>
    <row r="24" spans="1:14" x14ac:dyDescent="0.25">
      <c r="A24" s="114" t="s">
        <v>228</v>
      </c>
      <c r="B24" s="108">
        <v>21454.493964567086</v>
      </c>
      <c r="C24" s="108">
        <v>18867.443041899824</v>
      </c>
      <c r="D24" s="108">
        <v>19003.670826450398</v>
      </c>
      <c r="E24" s="108">
        <v>19905.385792706133</v>
      </c>
      <c r="F24" s="108">
        <v>20367.503498716553</v>
      </c>
      <c r="G24" s="108">
        <v>25865.351118589064</v>
      </c>
      <c r="H24" s="108">
        <v>27003.888989860574</v>
      </c>
      <c r="I24" s="108">
        <v>26912.710753315288</v>
      </c>
      <c r="J24" s="108">
        <v>27078.911728109273</v>
      </c>
      <c r="K24" s="108">
        <v>23205.135076094459</v>
      </c>
      <c r="L24" s="108">
        <v>20402.558011587978</v>
      </c>
      <c r="M24" s="108">
        <v>19027.904170021498</v>
      </c>
      <c r="N24" s="220">
        <f t="shared" si="5"/>
        <v>269094.95697191812</v>
      </c>
    </row>
    <row r="25" spans="1:14" x14ac:dyDescent="0.25">
      <c r="A25" s="114"/>
      <c r="B25" s="108"/>
      <c r="C25" s="108"/>
      <c r="D25" s="108"/>
      <c r="E25" s="108"/>
      <c r="F25" s="108"/>
      <c r="G25" s="108"/>
      <c r="H25" s="108"/>
      <c r="I25" s="108"/>
      <c r="J25" s="108"/>
      <c r="K25" s="108"/>
      <c r="L25" s="108"/>
      <c r="M25" s="108"/>
    </row>
    <row r="26" spans="1:14" x14ac:dyDescent="0.25">
      <c r="A26" s="189" t="s">
        <v>229</v>
      </c>
      <c r="B26" s="108"/>
      <c r="C26" s="108"/>
      <c r="D26" s="108"/>
      <c r="E26" s="108"/>
      <c r="F26" s="108"/>
      <c r="G26" s="108"/>
      <c r="H26" s="108"/>
      <c r="I26" s="108"/>
      <c r="J26" s="108"/>
      <c r="K26" s="108"/>
      <c r="L26" s="108"/>
      <c r="M26" s="108"/>
    </row>
    <row r="27" spans="1:14" x14ac:dyDescent="0.25">
      <c r="A27" s="114" t="s">
        <v>228</v>
      </c>
      <c r="B27" s="108">
        <v>76.255702825025139</v>
      </c>
      <c r="C27" s="108">
        <v>74.530890413854024</v>
      </c>
      <c r="D27" s="108">
        <v>72.055092057626638</v>
      </c>
      <c r="E27" s="108">
        <v>73.686479758288201</v>
      </c>
      <c r="F27" s="108">
        <v>73.573577059271912</v>
      </c>
      <c r="G27" s="108">
        <v>77.251452030112745</v>
      </c>
      <c r="H27" s="108">
        <v>79.470310752670969</v>
      </c>
      <c r="I27" s="108">
        <v>79.263909905969825</v>
      </c>
      <c r="J27" s="108">
        <v>70.486983910139656</v>
      </c>
      <c r="K27" s="108">
        <v>77.175457835181703</v>
      </c>
      <c r="L27" s="108">
        <v>69.989718100492453</v>
      </c>
      <c r="M27" s="108">
        <v>67.570039117093472</v>
      </c>
      <c r="N27" s="220">
        <f t="shared" ref="N27" si="6">SUM(B27:M27)</f>
        <v>891.30961376572691</v>
      </c>
    </row>
    <row r="28" spans="1:14" x14ac:dyDescent="0.25">
      <c r="A28" s="114"/>
      <c r="B28" s="108"/>
      <c r="C28" s="108"/>
      <c r="D28" s="108"/>
      <c r="E28" s="108"/>
      <c r="F28" s="108"/>
      <c r="G28" s="108"/>
      <c r="H28" s="108"/>
      <c r="I28" s="108"/>
      <c r="J28" s="108"/>
      <c r="K28" s="108"/>
      <c r="L28" s="108"/>
      <c r="M28" s="108"/>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B1" workbookViewId="0">
      <selection activeCell="P7" sqref="P7"/>
    </sheetView>
  </sheetViews>
  <sheetFormatPr defaultRowHeight="15" x14ac:dyDescent="0.25"/>
  <cols>
    <col min="1" max="1" width="23.5703125" bestFit="1" customWidth="1"/>
    <col min="2" max="13" width="11.5703125" bestFit="1" customWidth="1"/>
    <col min="14" max="14" width="12.5703125" bestFit="1" customWidth="1"/>
    <col min="16" max="16" width="24.7109375" customWidth="1"/>
  </cols>
  <sheetData>
    <row r="1" spans="1:16" x14ac:dyDescent="0.25">
      <c r="B1" s="217">
        <v>2019</v>
      </c>
      <c r="C1" s="217">
        <v>2019</v>
      </c>
      <c r="D1" s="217">
        <v>2019</v>
      </c>
      <c r="E1" s="217">
        <v>2019</v>
      </c>
      <c r="F1" s="217">
        <v>2019</v>
      </c>
      <c r="G1" s="217">
        <v>2019</v>
      </c>
      <c r="H1" s="217">
        <v>2019</v>
      </c>
      <c r="I1" s="217">
        <v>2019</v>
      </c>
      <c r="J1" s="217">
        <v>2019</v>
      </c>
      <c r="K1" s="217">
        <v>2019</v>
      </c>
      <c r="L1" s="217">
        <v>2019</v>
      </c>
      <c r="M1" s="217">
        <v>2019</v>
      </c>
      <c r="N1" s="218" t="s">
        <v>295</v>
      </c>
    </row>
    <row r="2" spans="1:16" x14ac:dyDescent="0.25">
      <c r="B2" s="217">
        <v>1</v>
      </c>
      <c r="C2" s="217">
        <v>2</v>
      </c>
      <c r="D2" s="217">
        <v>3</v>
      </c>
      <c r="E2" s="217">
        <v>4</v>
      </c>
      <c r="F2" s="217">
        <v>5</v>
      </c>
      <c r="G2" s="217">
        <v>6</v>
      </c>
      <c r="H2" s="217">
        <v>7</v>
      </c>
      <c r="I2" s="217">
        <v>8</v>
      </c>
      <c r="J2" s="217">
        <v>9</v>
      </c>
      <c r="K2" s="217">
        <v>10</v>
      </c>
      <c r="L2" s="217">
        <v>11</v>
      </c>
      <c r="M2" s="217">
        <v>12</v>
      </c>
      <c r="N2" s="219"/>
    </row>
    <row r="4" spans="1:16" x14ac:dyDescent="0.25">
      <c r="A4" s="113" t="s">
        <v>286</v>
      </c>
      <c r="B4" s="108"/>
      <c r="C4" s="108"/>
      <c r="D4" s="108"/>
      <c r="E4" s="108"/>
      <c r="F4" s="108"/>
      <c r="G4" s="108"/>
      <c r="H4" s="108"/>
      <c r="I4" s="108"/>
      <c r="J4" s="108"/>
      <c r="K4" s="108"/>
      <c r="L4" s="108"/>
      <c r="M4" s="108"/>
    </row>
    <row r="5" spans="1:16" x14ac:dyDescent="0.25">
      <c r="A5" s="114" t="s">
        <v>149</v>
      </c>
      <c r="B5" s="118">
        <v>24596</v>
      </c>
      <c r="C5" s="118">
        <v>24638</v>
      </c>
      <c r="D5" s="118">
        <v>24691</v>
      </c>
      <c r="E5" s="118">
        <v>24727</v>
      </c>
      <c r="F5" s="118">
        <v>24782</v>
      </c>
      <c r="G5" s="118">
        <v>24790</v>
      </c>
      <c r="H5" s="118">
        <v>24811</v>
      </c>
      <c r="I5" s="118">
        <v>24844</v>
      </c>
      <c r="J5" s="118">
        <v>24862</v>
      </c>
      <c r="K5" s="118">
        <v>24839</v>
      </c>
      <c r="L5" s="118">
        <v>24848</v>
      </c>
      <c r="M5" s="118">
        <v>24833</v>
      </c>
      <c r="N5" s="29">
        <f>AVERAGE(B5:M5)</f>
        <v>24771.75</v>
      </c>
    </row>
    <row r="6" spans="1:16" x14ac:dyDescent="0.25">
      <c r="A6" s="117" t="s">
        <v>287</v>
      </c>
      <c r="B6" s="118">
        <v>24596</v>
      </c>
      <c r="C6" s="118">
        <v>24638</v>
      </c>
      <c r="D6" s="118">
        <v>24691</v>
      </c>
      <c r="E6" s="118">
        <v>24727</v>
      </c>
      <c r="F6" s="118">
        <v>24782</v>
      </c>
      <c r="G6" s="118">
        <v>24790</v>
      </c>
      <c r="H6" s="118">
        <v>24811</v>
      </c>
      <c r="I6" s="118">
        <v>24844</v>
      </c>
      <c r="J6" s="118">
        <v>24862</v>
      </c>
      <c r="K6" s="118">
        <v>24839</v>
      </c>
      <c r="L6" s="118">
        <v>24848</v>
      </c>
      <c r="M6" s="118">
        <v>24833</v>
      </c>
      <c r="N6" s="29">
        <f t="shared" ref="N6:N9" si="0">AVERAGE(B6:M6)</f>
        <v>24771.75</v>
      </c>
    </row>
    <row r="7" spans="1:16" ht="45" x14ac:dyDescent="0.25">
      <c r="A7" s="117" t="s">
        <v>288</v>
      </c>
      <c r="B7" s="108">
        <v>10881</v>
      </c>
      <c r="C7" s="108">
        <v>9827</v>
      </c>
      <c r="D7" s="108">
        <v>7584</v>
      </c>
      <c r="E7" s="108">
        <v>6735</v>
      </c>
      <c r="F7" s="108">
        <v>8034</v>
      </c>
      <c r="G7" s="108">
        <v>12877</v>
      </c>
      <c r="H7" s="108">
        <v>15498</v>
      </c>
      <c r="I7" s="108">
        <v>14633</v>
      </c>
      <c r="J7" s="108">
        <v>14173</v>
      </c>
      <c r="K7" s="108">
        <v>11521</v>
      </c>
      <c r="L7" s="108">
        <v>6830</v>
      </c>
      <c r="M7" s="108">
        <v>8235</v>
      </c>
      <c r="N7" s="29">
        <f t="shared" si="0"/>
        <v>10569</v>
      </c>
      <c r="O7" s="221">
        <f>N7/N6</f>
        <v>0.42665536346846711</v>
      </c>
      <c r="P7" s="222" t="s">
        <v>296</v>
      </c>
    </row>
    <row r="8" spans="1:16" x14ac:dyDescent="0.25">
      <c r="A8" s="114" t="s">
        <v>151</v>
      </c>
      <c r="B8" s="108">
        <v>3794</v>
      </c>
      <c r="C8" s="108">
        <v>3785</v>
      </c>
      <c r="D8" s="108">
        <v>3767</v>
      </c>
      <c r="E8" s="108">
        <v>3760</v>
      </c>
      <c r="F8" s="108">
        <v>3774</v>
      </c>
      <c r="G8" s="108">
        <v>3767</v>
      </c>
      <c r="H8" s="108">
        <v>3753</v>
      </c>
      <c r="I8" s="108">
        <v>3758</v>
      </c>
      <c r="J8" s="108">
        <v>3751</v>
      </c>
      <c r="K8" s="108">
        <v>3749</v>
      </c>
      <c r="L8" s="108">
        <v>3756</v>
      </c>
      <c r="M8" s="108">
        <v>3753</v>
      </c>
      <c r="N8" s="29">
        <f t="shared" si="0"/>
        <v>3763.9166666666665</v>
      </c>
    </row>
    <row r="9" spans="1:16" x14ac:dyDescent="0.25">
      <c r="A9" s="114" t="s">
        <v>228</v>
      </c>
      <c r="B9" s="108">
        <v>652</v>
      </c>
      <c r="C9" s="108">
        <v>655</v>
      </c>
      <c r="D9" s="108">
        <v>661</v>
      </c>
      <c r="E9" s="108">
        <v>660</v>
      </c>
      <c r="F9" s="108">
        <v>662</v>
      </c>
      <c r="G9" s="108">
        <v>668</v>
      </c>
      <c r="H9" s="108">
        <v>670</v>
      </c>
      <c r="I9" s="108">
        <v>679</v>
      </c>
      <c r="J9" s="108">
        <v>694</v>
      </c>
      <c r="K9" s="108">
        <v>690</v>
      </c>
      <c r="L9" s="108">
        <v>693</v>
      </c>
      <c r="M9" s="108">
        <v>697</v>
      </c>
      <c r="N9" s="29">
        <f t="shared" si="0"/>
        <v>673.41666666666663</v>
      </c>
    </row>
    <row r="10" spans="1:16" x14ac:dyDescent="0.25">
      <c r="A10" s="113" t="s">
        <v>289</v>
      </c>
      <c r="B10" s="124">
        <f t="shared" ref="B10:N10" si="1">SUM(B8:B9)+B5</f>
        <v>29042</v>
      </c>
      <c r="C10" s="124">
        <f t="shared" si="1"/>
        <v>29078</v>
      </c>
      <c r="D10" s="124">
        <f t="shared" si="1"/>
        <v>29119</v>
      </c>
      <c r="E10" s="124">
        <f t="shared" si="1"/>
        <v>29147</v>
      </c>
      <c r="F10" s="124">
        <f t="shared" si="1"/>
        <v>29218</v>
      </c>
      <c r="G10" s="124">
        <f t="shared" si="1"/>
        <v>29225</v>
      </c>
      <c r="H10" s="124">
        <f t="shared" si="1"/>
        <v>29234</v>
      </c>
      <c r="I10" s="124">
        <f t="shared" si="1"/>
        <v>29281</v>
      </c>
      <c r="J10" s="124">
        <f t="shared" si="1"/>
        <v>29307</v>
      </c>
      <c r="K10" s="124">
        <f t="shared" si="1"/>
        <v>29278</v>
      </c>
      <c r="L10" s="124">
        <f t="shared" si="1"/>
        <v>29297</v>
      </c>
      <c r="M10" s="124">
        <f t="shared" si="1"/>
        <v>29283</v>
      </c>
      <c r="N10" s="124">
        <f t="shared" si="1"/>
        <v>29209.083333333332</v>
      </c>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0"/>
  <sheetViews>
    <sheetView zoomScale="73" zoomScaleNormal="73" workbookViewId="0">
      <pane xSplit="1" ySplit="2" topLeftCell="B3" activePane="bottomRight" state="frozen"/>
      <selection activeCell="K80" sqref="K80"/>
      <selection pane="topRight" activeCell="K80" sqref="K80"/>
      <selection pane="bottomLeft" activeCell="K80" sqref="K80"/>
      <selection pane="bottomRight" activeCell="K80" sqref="K80"/>
    </sheetView>
  </sheetViews>
  <sheetFormatPr defaultRowHeight="15" outlineLevelRow="1" x14ac:dyDescent="0.25"/>
  <cols>
    <col min="1" max="1" width="61.140625" style="71" bestFit="1" customWidth="1"/>
    <col min="2" max="2" width="19.5703125" bestFit="1" customWidth="1"/>
    <col min="3" max="3" width="22.28515625" bestFit="1" customWidth="1"/>
    <col min="4" max="4" width="21.28515625" customWidth="1"/>
    <col min="5" max="7" width="15.140625" customWidth="1"/>
    <col min="8" max="9" width="21.28515625" customWidth="1"/>
    <col min="10" max="10" width="20" bestFit="1" customWidth="1"/>
    <col min="11" max="11" width="27.42578125" hidden="1" customWidth="1"/>
    <col min="12" max="12" width="26.7109375" hidden="1" customWidth="1"/>
    <col min="13" max="13" width="20" bestFit="1" customWidth="1"/>
    <col min="14" max="14" width="19.5703125" bestFit="1" customWidth="1"/>
    <col min="15" max="17" width="26.7109375" bestFit="1" customWidth="1"/>
  </cols>
  <sheetData>
    <row r="1" spans="1:14" x14ac:dyDescent="0.25">
      <c r="B1" s="93"/>
      <c r="C1" s="93"/>
      <c r="D1" s="93"/>
      <c r="E1" s="93"/>
      <c r="F1" s="93"/>
      <c r="G1" s="93"/>
      <c r="H1" s="93"/>
      <c r="I1" s="93"/>
      <c r="J1" s="93"/>
      <c r="K1" s="71"/>
      <c r="L1" s="71"/>
      <c r="M1" s="93"/>
    </row>
    <row r="2" spans="1:14" ht="105" x14ac:dyDescent="0.25">
      <c r="B2" s="73" t="s">
        <v>209</v>
      </c>
      <c r="C2" s="73" t="s">
        <v>231</v>
      </c>
      <c r="D2" s="94" t="s">
        <v>232</v>
      </c>
      <c r="E2" s="94" t="s">
        <v>233</v>
      </c>
      <c r="F2" s="94" t="s">
        <v>234</v>
      </c>
      <c r="G2" s="94" t="s">
        <v>235</v>
      </c>
      <c r="H2" s="94" t="s">
        <v>236</v>
      </c>
      <c r="I2" s="94" t="s">
        <v>237</v>
      </c>
      <c r="J2" s="73" t="s">
        <v>238</v>
      </c>
      <c r="K2" s="72" t="s">
        <v>239</v>
      </c>
      <c r="L2" s="74" t="s">
        <v>240</v>
      </c>
      <c r="M2" s="73" t="s">
        <v>210</v>
      </c>
      <c r="N2" t="s">
        <v>241</v>
      </c>
    </row>
    <row r="3" spans="1:14" x14ac:dyDescent="0.25">
      <c r="A3" s="75" t="s">
        <v>211</v>
      </c>
      <c r="B3" s="77"/>
      <c r="C3" s="77"/>
      <c r="D3" s="77"/>
      <c r="E3" s="77"/>
      <c r="F3" s="77"/>
      <c r="G3" s="77"/>
      <c r="H3" s="77"/>
      <c r="I3" s="77"/>
      <c r="J3" s="77"/>
      <c r="K3" s="76"/>
      <c r="L3" s="76"/>
      <c r="M3" s="77"/>
    </row>
    <row r="4" spans="1:14" x14ac:dyDescent="0.25">
      <c r="A4" s="71" t="s">
        <v>149</v>
      </c>
      <c r="B4" s="80">
        <v>11943881.119999899</v>
      </c>
      <c r="C4" s="80">
        <v>-317151</v>
      </c>
      <c r="D4" s="80">
        <f>B4+C4</f>
        <v>11626730.119999899</v>
      </c>
      <c r="E4" s="80">
        <v>403879</v>
      </c>
      <c r="F4" s="80">
        <f>-270819/12*12</f>
        <v>-270819</v>
      </c>
      <c r="G4" s="80">
        <v>-11532.244230070151</v>
      </c>
      <c r="H4" s="80">
        <f>-924561</f>
        <v>-924561</v>
      </c>
      <c r="I4" s="80"/>
      <c r="J4" s="80">
        <f t="shared" ref="J4:J11" si="0">SUM(D4:I4)</f>
        <v>10823696.875769828</v>
      </c>
      <c r="K4" s="95" t="e">
        <f>#REF!</f>
        <v>#REF!</v>
      </c>
      <c r="L4" s="78" t="e">
        <f>J4-K4</f>
        <v>#REF!</v>
      </c>
      <c r="M4" s="80" t="e">
        <f>#REF!</f>
        <v>#REF!</v>
      </c>
      <c r="N4" s="20" t="e">
        <f>J4-M4</f>
        <v>#REF!</v>
      </c>
    </row>
    <row r="5" spans="1:14" x14ac:dyDescent="0.25">
      <c r="A5" s="71" t="s">
        <v>212</v>
      </c>
      <c r="B5" s="81">
        <v>8392716.9324520826</v>
      </c>
      <c r="C5" s="81">
        <v>-248105</v>
      </c>
      <c r="D5" s="81">
        <f t="shared" ref="D5:D11" si="1">B5+C5</f>
        <v>8144611.9324520826</v>
      </c>
      <c r="E5" s="81">
        <f>$E$4*$F$29</f>
        <v>283797.37607115798</v>
      </c>
      <c r="F5" s="81">
        <f>$F$4*$F$29</f>
        <v>-190298.88058110207</v>
      </c>
      <c r="G5" s="81">
        <f>$G$4*$F$29</f>
        <v>-8103.4682484250488</v>
      </c>
      <c r="H5" s="81">
        <f>-227486</f>
        <v>-227486</v>
      </c>
      <c r="I5" s="81"/>
      <c r="J5" s="81">
        <f t="shared" si="0"/>
        <v>8002520.959693714</v>
      </c>
      <c r="K5" s="82" t="e">
        <f>#REF!</f>
        <v>#REF!</v>
      </c>
      <c r="L5" s="82" t="e">
        <f>J5-K5</f>
        <v>#REF!</v>
      </c>
      <c r="M5" s="81" t="e">
        <f>#REF!</f>
        <v>#REF!</v>
      </c>
      <c r="N5" s="20" t="e">
        <f t="shared" ref="N5:N23" si="2">J5-M5</f>
        <v>#REF!</v>
      </c>
    </row>
    <row r="6" spans="1:14" x14ac:dyDescent="0.25">
      <c r="A6" s="71" t="s">
        <v>213</v>
      </c>
      <c r="B6" s="83">
        <v>3551164.1875478155</v>
      </c>
      <c r="C6" s="83">
        <v>-69046</v>
      </c>
      <c r="D6" s="83">
        <f t="shared" si="1"/>
        <v>3482118.1875478155</v>
      </c>
      <c r="E6" s="83">
        <f>$E$4*$F$30</f>
        <v>120081.62392884205</v>
      </c>
      <c r="F6" s="83">
        <f>$F$4*$F$30</f>
        <v>-80520.119418897928</v>
      </c>
      <c r="G6" s="83">
        <f>$G$4*$F$30</f>
        <v>-3428.775981645103</v>
      </c>
      <c r="H6" s="83">
        <f>H4-H5</f>
        <v>-697075</v>
      </c>
      <c r="I6" s="83"/>
      <c r="J6" s="83">
        <f t="shared" si="0"/>
        <v>2821175.9160761144</v>
      </c>
      <c r="K6" s="84" t="e">
        <f>#REF!</f>
        <v>#REF!</v>
      </c>
      <c r="L6" s="84" t="e">
        <f t="shared" ref="L6" si="3">J6-K6</f>
        <v>#REF!</v>
      </c>
      <c r="M6" s="83" t="e">
        <f>#REF!</f>
        <v>#REF!</v>
      </c>
      <c r="N6" s="20" t="e">
        <f t="shared" si="2"/>
        <v>#REF!</v>
      </c>
    </row>
    <row r="7" spans="1:14" x14ac:dyDescent="0.25">
      <c r="A7" s="71" t="s">
        <v>214</v>
      </c>
      <c r="B7" s="85">
        <v>2468526.5599999921</v>
      </c>
      <c r="C7" s="85">
        <v>-68455</v>
      </c>
      <c r="D7" s="85">
        <f t="shared" si="1"/>
        <v>2400071.5599999921</v>
      </c>
      <c r="E7" s="85">
        <v>127105</v>
      </c>
      <c r="F7" s="85">
        <f>-143807/12*12</f>
        <v>-143807</v>
      </c>
      <c r="G7" s="85">
        <v>-1427.4683100031689</v>
      </c>
      <c r="H7" s="85"/>
      <c r="I7" s="85">
        <v>-74565</v>
      </c>
      <c r="J7" s="85">
        <f t="shared" si="0"/>
        <v>2307377.091689989</v>
      </c>
      <c r="K7" s="79" t="e">
        <f>#REF!</f>
        <v>#REF!</v>
      </c>
      <c r="L7" s="79" t="e">
        <f>J7-K7</f>
        <v>#REF!</v>
      </c>
      <c r="M7" s="85" t="e">
        <f>#REF!</f>
        <v>#REF!</v>
      </c>
      <c r="N7" s="20" t="e">
        <f t="shared" si="2"/>
        <v>#REF!</v>
      </c>
    </row>
    <row r="8" spans="1:14" x14ac:dyDescent="0.25">
      <c r="A8" s="71" t="s">
        <v>175</v>
      </c>
      <c r="B8" s="85">
        <v>3397654.959999999</v>
      </c>
      <c r="C8" s="85">
        <v>-101343</v>
      </c>
      <c r="D8" s="85">
        <f t="shared" si="1"/>
        <v>3296311.959999999</v>
      </c>
      <c r="E8" s="85">
        <v>166894</v>
      </c>
      <c r="F8" s="85">
        <f>-72982/12*12</f>
        <v>-72982</v>
      </c>
      <c r="G8" s="85">
        <v>206.12920666579157</v>
      </c>
      <c r="H8" s="85"/>
      <c r="I8" s="85">
        <v>4848</v>
      </c>
      <c r="J8" s="85">
        <f t="shared" si="0"/>
        <v>3395278.0892066648</v>
      </c>
      <c r="K8" s="79" t="e">
        <f>#REF!</f>
        <v>#REF!</v>
      </c>
      <c r="L8" s="79" t="e">
        <f t="shared" ref="L8:L22" si="4">J8-K8</f>
        <v>#REF!</v>
      </c>
      <c r="M8" s="85" t="e">
        <f>#REF!</f>
        <v>#REF!</v>
      </c>
      <c r="N8" s="20" t="e">
        <f t="shared" si="2"/>
        <v>#REF!</v>
      </c>
    </row>
    <row r="9" spans="1:14" x14ac:dyDescent="0.25">
      <c r="A9" s="71" t="s">
        <v>215</v>
      </c>
      <c r="B9" s="85">
        <v>1159153.51</v>
      </c>
      <c r="C9" s="85">
        <v>-129717</v>
      </c>
      <c r="D9" s="85">
        <f t="shared" si="1"/>
        <v>1029436.51</v>
      </c>
      <c r="E9" s="85">
        <v>70758</v>
      </c>
      <c r="F9" s="85"/>
      <c r="G9" s="85">
        <v>4828.2599999999511</v>
      </c>
      <c r="H9" s="85"/>
      <c r="I9" s="85">
        <v>5143</v>
      </c>
      <c r="J9" s="85">
        <f t="shared" si="0"/>
        <v>1110165.77</v>
      </c>
      <c r="K9" s="79" t="e">
        <f>#REF!</f>
        <v>#REF!</v>
      </c>
      <c r="L9" s="79" t="e">
        <f>J9-K9</f>
        <v>#REF!</v>
      </c>
      <c r="M9" s="85" t="e">
        <f>#REF!</f>
        <v>#REF!</v>
      </c>
      <c r="N9" s="20" t="e">
        <f t="shared" si="2"/>
        <v>#REF!</v>
      </c>
    </row>
    <row r="10" spans="1:14" x14ac:dyDescent="0.25">
      <c r="A10" s="71" t="s">
        <v>216</v>
      </c>
      <c r="B10" s="85">
        <v>483552.36</v>
      </c>
      <c r="C10" s="85">
        <v>-14506</v>
      </c>
      <c r="D10" s="85">
        <f t="shared" si="1"/>
        <v>469046.36</v>
      </c>
      <c r="E10" s="85"/>
      <c r="F10" s="85"/>
      <c r="G10" s="85"/>
      <c r="H10" s="85"/>
      <c r="I10" s="85"/>
      <c r="J10" s="85">
        <f t="shared" si="0"/>
        <v>469046.36</v>
      </c>
      <c r="K10" s="79" t="e">
        <f>#REF!</f>
        <v>#REF!</v>
      </c>
      <c r="L10" s="79" t="e">
        <f t="shared" si="4"/>
        <v>#REF!</v>
      </c>
      <c r="M10" s="85" t="e">
        <f>#REF!</f>
        <v>#REF!</v>
      </c>
      <c r="N10" s="20" t="e">
        <f t="shared" si="2"/>
        <v>#REF!</v>
      </c>
    </row>
    <row r="11" spans="1:14" x14ac:dyDescent="0.25">
      <c r="A11" s="71" t="s">
        <v>217</v>
      </c>
      <c r="B11" s="85">
        <v>1596152.6600000074</v>
      </c>
      <c r="C11" s="85">
        <v>-69404</v>
      </c>
      <c r="D11" s="85">
        <f t="shared" si="1"/>
        <v>1526748.6600000074</v>
      </c>
      <c r="E11" s="85">
        <v>171762</v>
      </c>
      <c r="F11" s="85"/>
      <c r="G11" s="85">
        <f>-'Margin Input_Forecast'!AN53</f>
        <v>-0.25000000046566129</v>
      </c>
      <c r="H11" s="85"/>
      <c r="I11" s="85"/>
      <c r="J11" s="85">
        <f t="shared" si="0"/>
        <v>1698510.4100000069</v>
      </c>
      <c r="K11" s="79" t="e">
        <f>#REF!</f>
        <v>#REF!</v>
      </c>
      <c r="L11" s="79" t="e">
        <f t="shared" si="4"/>
        <v>#REF!</v>
      </c>
      <c r="M11" s="85" t="e">
        <f>#REF!</f>
        <v>#REF!</v>
      </c>
      <c r="N11" s="20" t="e">
        <f t="shared" si="2"/>
        <v>#REF!</v>
      </c>
    </row>
    <row r="12" spans="1:14" x14ac:dyDescent="0.25">
      <c r="A12" s="86" t="s">
        <v>218</v>
      </c>
      <c r="B12" s="82">
        <f>+SUM(B4,B7:B11)</f>
        <v>21048921.169999897</v>
      </c>
      <c r="C12" s="82">
        <f t="shared" ref="C12:I12" si="5">+SUM(C4,C7:C11)</f>
        <v>-700576</v>
      </c>
      <c r="D12" s="82">
        <f>+SUM(D4,D7:D11)</f>
        <v>20348345.169999897</v>
      </c>
      <c r="E12" s="82">
        <f t="shared" si="5"/>
        <v>940398</v>
      </c>
      <c r="F12" s="82">
        <f t="shared" si="5"/>
        <v>-487608</v>
      </c>
      <c r="G12" s="82">
        <f t="shared" si="5"/>
        <v>-7925.5733334080433</v>
      </c>
      <c r="H12" s="82">
        <f t="shared" si="5"/>
        <v>-924561</v>
      </c>
      <c r="I12" s="82">
        <f t="shared" si="5"/>
        <v>-64574</v>
      </c>
      <c r="J12" s="82">
        <f>+SUM(J4,J7:J11)</f>
        <v>19804074.596666489</v>
      </c>
      <c r="K12" s="82" t="e">
        <f>+SUM(K4,K7:K11)</f>
        <v>#REF!</v>
      </c>
      <c r="L12" s="82" t="e">
        <f>+SUM(L4,L7:L11)</f>
        <v>#REF!</v>
      </c>
      <c r="M12" s="82" t="e">
        <f>#REF!</f>
        <v>#REF!</v>
      </c>
      <c r="N12" s="20" t="e">
        <f t="shared" si="2"/>
        <v>#REF!</v>
      </c>
    </row>
    <row r="13" spans="1:14" x14ac:dyDescent="0.25">
      <c r="A13" s="86" t="s">
        <v>219</v>
      </c>
      <c r="B13" s="85" t="e">
        <f>944359.88+581721-B14</f>
        <v>#REF!</v>
      </c>
      <c r="C13" s="85"/>
      <c r="D13" s="85" t="e">
        <f>B13+C13</f>
        <v>#REF!</v>
      </c>
      <c r="E13" s="85">
        <v>-581721</v>
      </c>
      <c r="F13" s="85"/>
      <c r="G13" s="85"/>
      <c r="H13" s="85"/>
      <c r="I13" s="85"/>
      <c r="J13" s="85" t="e">
        <f>SUM(D13:I13)</f>
        <v>#REF!</v>
      </c>
      <c r="K13" s="79" t="e">
        <f>#REF!</f>
        <v>#REF!</v>
      </c>
      <c r="L13" s="79" t="e">
        <f t="shared" si="4"/>
        <v>#REF!</v>
      </c>
      <c r="M13" s="85" t="e">
        <f>#REF!</f>
        <v>#REF!</v>
      </c>
      <c r="N13" s="20" t="e">
        <f t="shared" si="2"/>
        <v>#REF!</v>
      </c>
    </row>
    <row r="14" spans="1:14" x14ac:dyDescent="0.25">
      <c r="A14" s="86" t="s">
        <v>220</v>
      </c>
      <c r="B14" s="85" t="e">
        <f>#REF!</f>
        <v>#REF!</v>
      </c>
      <c r="C14" s="85"/>
      <c r="D14" s="85" t="e">
        <f>B14+C14</f>
        <v>#REF!</v>
      </c>
      <c r="E14" s="85"/>
      <c r="F14" s="85"/>
      <c r="G14" s="85"/>
      <c r="H14" s="85"/>
      <c r="I14" s="85"/>
      <c r="J14" s="85" t="e">
        <f>SUM(D14:I14)</f>
        <v>#REF!</v>
      </c>
      <c r="K14" s="79" t="e">
        <f>#REF!</f>
        <v>#REF!</v>
      </c>
      <c r="L14" s="79" t="e">
        <f t="shared" si="4"/>
        <v>#REF!</v>
      </c>
      <c r="M14" s="85" t="e">
        <f>#REF!</f>
        <v>#REF!</v>
      </c>
      <c r="N14" s="20" t="e">
        <f t="shared" si="2"/>
        <v>#REF!</v>
      </c>
    </row>
    <row r="15" spans="1:14" x14ac:dyDescent="0.25">
      <c r="A15" s="86" t="s">
        <v>221</v>
      </c>
      <c r="B15" s="83">
        <v>130352.05000010761</v>
      </c>
      <c r="C15" s="83"/>
      <c r="D15" s="83">
        <f t="shared" ref="D15:D17" si="6">B15+C15</f>
        <v>130352.05000010761</v>
      </c>
      <c r="E15" s="83"/>
      <c r="F15" s="83"/>
      <c r="G15" s="83"/>
      <c r="H15" s="83"/>
      <c r="I15" s="83"/>
      <c r="J15" s="83">
        <f>SUM(D15:I15)</f>
        <v>130352.05000010761</v>
      </c>
      <c r="K15" s="84" t="e">
        <f>#REF!</f>
        <v>#REF!</v>
      </c>
      <c r="L15" s="84" t="e">
        <f t="shared" si="4"/>
        <v>#REF!</v>
      </c>
      <c r="M15" s="83" t="e">
        <f>#REF!</f>
        <v>#REF!</v>
      </c>
      <c r="N15" s="20" t="e">
        <f t="shared" si="2"/>
        <v>#REF!</v>
      </c>
    </row>
    <row r="16" spans="1:14" x14ac:dyDescent="0.25">
      <c r="A16" s="86" t="s">
        <v>242</v>
      </c>
      <c r="B16" s="85" t="e">
        <f>SUM(B13:B15)</f>
        <v>#REF!</v>
      </c>
      <c r="C16" s="85"/>
      <c r="D16" s="85" t="e">
        <f t="shared" si="6"/>
        <v>#REF!</v>
      </c>
      <c r="E16" s="85">
        <f t="shared" ref="E16:I16" si="7">SUM(E13:E15)</f>
        <v>-581721</v>
      </c>
      <c r="F16" s="85">
        <f t="shared" si="7"/>
        <v>0</v>
      </c>
      <c r="G16" s="85">
        <f t="shared" si="7"/>
        <v>0</v>
      </c>
      <c r="H16" s="85">
        <f t="shared" si="7"/>
        <v>0</v>
      </c>
      <c r="I16" s="85">
        <f t="shared" si="7"/>
        <v>0</v>
      </c>
      <c r="J16" s="80" t="e">
        <f>SUM(J13:J15)</f>
        <v>#REF!</v>
      </c>
      <c r="K16" s="80" t="e">
        <f>SUM(K13:K15)</f>
        <v>#REF!</v>
      </c>
      <c r="L16" s="79" t="e">
        <f t="shared" si="4"/>
        <v>#REF!</v>
      </c>
      <c r="M16" s="80" t="e">
        <f>#REF!</f>
        <v>#REF!</v>
      </c>
      <c r="N16" s="20" t="e">
        <f t="shared" si="2"/>
        <v>#REF!</v>
      </c>
    </row>
    <row r="17" spans="1:14" x14ac:dyDescent="0.25">
      <c r="A17" s="88" t="s">
        <v>222</v>
      </c>
      <c r="B17" s="82" t="e">
        <f>SUM(B12:B12,B16)</f>
        <v>#REF!</v>
      </c>
      <c r="C17" s="82">
        <f t="shared" ref="C17:I17" si="8">SUM(C12:C12,C16)</f>
        <v>-700576</v>
      </c>
      <c r="D17" s="82" t="e">
        <f t="shared" si="6"/>
        <v>#REF!</v>
      </c>
      <c r="E17" s="82">
        <f t="shared" si="8"/>
        <v>358677</v>
      </c>
      <c r="F17" s="82">
        <f t="shared" si="8"/>
        <v>-487608</v>
      </c>
      <c r="G17" s="82">
        <f t="shared" si="8"/>
        <v>-7925.5733334080433</v>
      </c>
      <c r="H17" s="82">
        <f t="shared" si="8"/>
        <v>-924561</v>
      </c>
      <c r="I17" s="82">
        <f t="shared" si="8"/>
        <v>-64574</v>
      </c>
      <c r="J17" s="82" t="e">
        <f>SUM(J12,J16)</f>
        <v>#REF!</v>
      </c>
      <c r="K17" s="82" t="e">
        <f>SUM(K12,K16)</f>
        <v>#REF!</v>
      </c>
      <c r="L17" s="82" t="e">
        <f t="shared" si="4"/>
        <v>#REF!</v>
      </c>
      <c r="M17" s="82" t="e">
        <f>#REF!</f>
        <v>#REF!</v>
      </c>
      <c r="N17" s="20" t="e">
        <f t="shared" si="2"/>
        <v>#REF!</v>
      </c>
    </row>
    <row r="18" spans="1:14" x14ac:dyDescent="0.25">
      <c r="A18" s="88"/>
      <c r="B18" s="89"/>
      <c r="C18" s="89"/>
      <c r="D18" s="89"/>
      <c r="E18" s="89"/>
      <c r="F18" s="89"/>
      <c r="G18" s="89"/>
      <c r="H18" s="89"/>
      <c r="I18" s="89"/>
      <c r="J18" s="89">
        <f>SUM(D18:I18)</f>
        <v>0</v>
      </c>
      <c r="K18" s="87" t="e">
        <f>#REF!</f>
        <v>#REF!</v>
      </c>
      <c r="L18" s="87" t="e">
        <f t="shared" si="4"/>
        <v>#REF!</v>
      </c>
      <c r="M18" s="89" t="e">
        <f>#REF!</f>
        <v>#REF!</v>
      </c>
      <c r="N18" s="20" t="e">
        <f t="shared" si="2"/>
        <v>#REF!</v>
      </c>
    </row>
    <row r="19" spans="1:14" x14ac:dyDescent="0.25">
      <c r="A19" s="86" t="s">
        <v>223</v>
      </c>
      <c r="B19" s="85">
        <v>-844899</v>
      </c>
      <c r="C19" s="85">
        <v>844899</v>
      </c>
      <c r="D19" s="85"/>
      <c r="E19" s="85"/>
      <c r="F19" s="85"/>
      <c r="G19" s="85"/>
      <c r="H19" s="85"/>
      <c r="I19" s="85"/>
      <c r="J19" s="85">
        <f>SUM(D19:I19)</f>
        <v>0</v>
      </c>
      <c r="K19" s="87" t="e">
        <f>#REF!</f>
        <v>#REF!</v>
      </c>
      <c r="L19" s="79" t="e">
        <f t="shared" si="4"/>
        <v>#REF!</v>
      </c>
      <c r="M19" s="85" t="e">
        <f>#REF!</f>
        <v>#REF!</v>
      </c>
      <c r="N19" s="20" t="e">
        <f t="shared" si="2"/>
        <v>#REF!</v>
      </c>
    </row>
    <row r="20" spans="1:14" x14ac:dyDescent="0.25">
      <c r="A20" s="86" t="s">
        <v>224</v>
      </c>
      <c r="B20" s="89"/>
      <c r="C20" s="89"/>
      <c r="D20" s="89"/>
      <c r="E20" s="89"/>
      <c r="F20" s="89"/>
      <c r="G20" s="89"/>
      <c r="H20" s="89"/>
      <c r="I20" s="89"/>
      <c r="J20" s="89">
        <f>SUM(D20:I20)</f>
        <v>0</v>
      </c>
      <c r="K20" s="87" t="e">
        <f>#REF!</f>
        <v>#REF!</v>
      </c>
      <c r="L20" s="87" t="e">
        <f t="shared" si="4"/>
        <v>#REF!</v>
      </c>
      <c r="M20" s="89" t="e">
        <f>#REF!</f>
        <v>#REF!</v>
      </c>
      <c r="N20" s="20" t="e">
        <f t="shared" si="2"/>
        <v>#REF!</v>
      </c>
    </row>
    <row r="21" spans="1:14" x14ac:dyDescent="0.25">
      <c r="A21" s="86" t="s">
        <v>225</v>
      </c>
      <c r="B21" s="89"/>
      <c r="C21" s="89"/>
      <c r="D21" s="89"/>
      <c r="E21" s="89"/>
      <c r="F21" s="89"/>
      <c r="G21" s="89"/>
      <c r="H21" s="89"/>
      <c r="I21" s="89"/>
      <c r="J21" s="89">
        <f>SUM(D21:I21)</f>
        <v>0</v>
      </c>
      <c r="K21" s="87" t="e">
        <f>#REF!</f>
        <v>#REF!</v>
      </c>
      <c r="L21" s="87" t="e">
        <f t="shared" si="4"/>
        <v>#REF!</v>
      </c>
      <c r="M21" s="89" t="e">
        <f>#REF!</f>
        <v>#REF!</v>
      </c>
      <c r="N21" s="20" t="e">
        <f t="shared" si="2"/>
        <v>#REF!</v>
      </c>
    </row>
    <row r="22" spans="1:14" x14ac:dyDescent="0.25">
      <c r="A22" s="86" t="s">
        <v>226</v>
      </c>
      <c r="B22" s="89"/>
      <c r="C22" s="89"/>
      <c r="D22" s="89"/>
      <c r="E22" s="89"/>
      <c r="F22" s="89"/>
      <c r="G22" s="89"/>
      <c r="H22" s="89"/>
      <c r="I22" s="89"/>
      <c r="J22" s="89">
        <f>SUM(D22:I22)</f>
        <v>0</v>
      </c>
      <c r="K22" s="87" t="e">
        <f>#REF!</f>
        <v>#REF!</v>
      </c>
      <c r="L22" s="87" t="e">
        <f t="shared" si="4"/>
        <v>#REF!</v>
      </c>
      <c r="M22" s="89" t="e">
        <f>#REF!</f>
        <v>#REF!</v>
      </c>
      <c r="N22" s="20" t="e">
        <f t="shared" si="2"/>
        <v>#REF!</v>
      </c>
    </row>
    <row r="23" spans="1:14" ht="15.75" thickBot="1" x14ac:dyDescent="0.3">
      <c r="A23" s="90" t="s">
        <v>227</v>
      </c>
      <c r="B23" s="91" t="e">
        <f>SUM(B17:B22)</f>
        <v>#REF!</v>
      </c>
      <c r="C23" s="91">
        <f>SUM(C17:C22)</f>
        <v>144323</v>
      </c>
      <c r="D23" s="91" t="e">
        <f>SUM(D17:D22)</f>
        <v>#REF!</v>
      </c>
      <c r="E23" s="91">
        <f t="shared" ref="E23:I23" si="9">SUM(E17:E22)</f>
        <v>358677</v>
      </c>
      <c r="F23" s="91">
        <f t="shared" si="9"/>
        <v>-487608</v>
      </c>
      <c r="G23" s="91">
        <f t="shared" si="9"/>
        <v>-7925.5733334080433</v>
      </c>
      <c r="H23" s="91">
        <f t="shared" si="9"/>
        <v>-924561</v>
      </c>
      <c r="I23" s="91">
        <f t="shared" si="9"/>
        <v>-64574</v>
      </c>
      <c r="J23" s="91" t="e">
        <f>SUM(J17:J19)</f>
        <v>#REF!</v>
      </c>
      <c r="K23" s="91" t="e">
        <f>SUM(K17:K19)</f>
        <v>#REF!</v>
      </c>
      <c r="L23" s="91" t="e">
        <f>J23-K23</f>
        <v>#REF!</v>
      </c>
      <c r="M23" s="91" t="e">
        <f>#REF!</f>
        <v>#REF!</v>
      </c>
      <c r="N23" s="20" t="e">
        <f t="shared" si="2"/>
        <v>#REF!</v>
      </c>
    </row>
    <row r="24" spans="1:14" x14ac:dyDescent="0.25">
      <c r="A24" s="71" t="s">
        <v>243</v>
      </c>
      <c r="H24" s="92"/>
      <c r="I24" s="92"/>
      <c r="J24" s="20"/>
      <c r="M24" s="20"/>
    </row>
    <row r="25" spans="1:14" x14ac:dyDescent="0.25">
      <c r="A25" s="71" t="s">
        <v>244</v>
      </c>
      <c r="H25" s="92"/>
      <c r="I25" s="92"/>
      <c r="N25" s="96" t="e">
        <f>M23/J23</f>
        <v>#REF!</v>
      </c>
    </row>
    <row r="27" spans="1:14" hidden="1" outlineLevel="1" x14ac:dyDescent="0.25">
      <c r="B27" t="s">
        <v>245</v>
      </c>
      <c r="C27" s="19">
        <v>-844899</v>
      </c>
      <c r="K27" s="97"/>
    </row>
    <row r="28" spans="1:14" hidden="1" outlineLevel="1" x14ac:dyDescent="0.25">
      <c r="K28" s="97"/>
    </row>
    <row r="29" spans="1:14" hidden="1" outlineLevel="1" x14ac:dyDescent="0.25">
      <c r="B29" t="s">
        <v>246</v>
      </c>
      <c r="C29" t="s">
        <v>247</v>
      </c>
      <c r="D29" t="s">
        <v>248</v>
      </c>
      <c r="E29" t="s">
        <v>212</v>
      </c>
      <c r="F29" s="96">
        <f>B5/B4</f>
        <v>0.70267920855295263</v>
      </c>
      <c r="K29" s="98"/>
    </row>
    <row r="30" spans="1:14" hidden="1" outlineLevel="1" x14ac:dyDescent="0.25">
      <c r="B30" t="s">
        <v>149</v>
      </c>
      <c r="C30" s="96">
        <f>B4/$B$12</f>
        <v>0.56743436034256178</v>
      </c>
      <c r="D30" s="65">
        <f t="shared" ref="D30:D35" si="10">$C$27*C30</f>
        <v>-479424.72361907014</v>
      </c>
      <c r="E30" t="s">
        <v>213</v>
      </c>
      <c r="F30" s="96">
        <f>1-F29</f>
        <v>0.29732079144704737</v>
      </c>
      <c r="L30" s="65"/>
    </row>
    <row r="31" spans="1:14" hidden="1" outlineLevel="1" x14ac:dyDescent="0.25">
      <c r="B31" t="s">
        <v>214</v>
      </c>
      <c r="C31" s="96">
        <f>B7/$B$12</f>
        <v>0.11727568078492662</v>
      </c>
      <c r="D31" s="65">
        <f t="shared" si="10"/>
        <v>-99086.105419503714</v>
      </c>
      <c r="L31" s="65"/>
    </row>
    <row r="32" spans="1:14" hidden="1" outlineLevel="1" x14ac:dyDescent="0.25">
      <c r="B32" t="s">
        <v>175</v>
      </c>
      <c r="C32" s="96">
        <f>B8/$B$12</f>
        <v>0.16141705945682991</v>
      </c>
      <c r="D32" s="65">
        <f t="shared" si="10"/>
        <v>-136381.11211801614</v>
      </c>
      <c r="L32" s="65"/>
    </row>
    <row r="33" spans="2:13" hidden="1" outlineLevel="1" x14ac:dyDescent="0.25">
      <c r="B33" t="s">
        <v>215</v>
      </c>
      <c r="C33" s="96">
        <f>B9/$B$12</f>
        <v>5.5069497416907552E-2</v>
      </c>
      <c r="D33" s="65">
        <f t="shared" si="10"/>
        <v>-46528.163298047773</v>
      </c>
      <c r="L33" s="65"/>
    </row>
    <row r="34" spans="2:13" hidden="1" outlineLevel="1" x14ac:dyDescent="0.25">
      <c r="B34" t="s">
        <v>216</v>
      </c>
      <c r="C34" s="96">
        <f>B10/$B$12</f>
        <v>2.2972785925446191E-2</v>
      </c>
      <c r="D34" s="65">
        <f t="shared" si="10"/>
        <v>-19409.68385562356</v>
      </c>
      <c r="L34" s="65"/>
    </row>
    <row r="35" spans="2:13" hidden="1" outlineLevel="1" x14ac:dyDescent="0.25">
      <c r="B35" t="s">
        <v>217</v>
      </c>
      <c r="C35" s="96">
        <f>B11/$B$12</f>
        <v>7.5830616073327958E-2</v>
      </c>
      <c r="D35" s="99">
        <f t="shared" si="10"/>
        <v>-64069.211689738717</v>
      </c>
      <c r="L35" s="100"/>
    </row>
    <row r="36" spans="2:13" hidden="1" outlineLevel="1" x14ac:dyDescent="0.25">
      <c r="D36" s="65">
        <f>SUM(D30:D35)</f>
        <v>-844899</v>
      </c>
      <c r="E36" s="65"/>
      <c r="L36" s="65"/>
    </row>
    <row r="37" spans="2:13" hidden="1" outlineLevel="1" x14ac:dyDescent="0.25">
      <c r="E37" s="65"/>
    </row>
    <row r="38" spans="2:13" hidden="1" outlineLevel="1" x14ac:dyDescent="0.25">
      <c r="C38" s="28">
        <v>-589680</v>
      </c>
    </row>
    <row r="39" spans="2:13" hidden="1" outlineLevel="1" x14ac:dyDescent="0.25"/>
    <row r="40" spans="2:13" hidden="1" outlineLevel="1" x14ac:dyDescent="0.25">
      <c r="B40" t="s">
        <v>246</v>
      </c>
      <c r="C40" t="s">
        <v>247</v>
      </c>
      <c r="E40" t="s">
        <v>212</v>
      </c>
      <c r="F40" s="101">
        <v>0.70267920855295263</v>
      </c>
      <c r="G40" s="30">
        <f>$D$41*F40</f>
        <v>-235119.76128173072</v>
      </c>
    </row>
    <row r="41" spans="2:13" hidden="1" outlineLevel="1" x14ac:dyDescent="0.25">
      <c r="B41" t="s">
        <v>149</v>
      </c>
      <c r="C41" s="101">
        <v>0.56743436034256178</v>
      </c>
      <c r="D41" s="30">
        <f t="shared" ref="D41:D46" si="11">C41*$C$38</f>
        <v>-334604.69360680185</v>
      </c>
      <c r="E41" t="s">
        <v>213</v>
      </c>
      <c r="F41" s="101">
        <v>0.29732079144704737</v>
      </c>
      <c r="G41" s="30">
        <f>$D$41*F41</f>
        <v>-99484.932325071117</v>
      </c>
    </row>
    <row r="42" spans="2:13" hidden="1" outlineLevel="1" x14ac:dyDescent="0.25">
      <c r="B42" t="s">
        <v>214</v>
      </c>
      <c r="C42" s="101">
        <v>0.11727568078492662</v>
      </c>
      <c r="D42" s="30">
        <f t="shared" si="11"/>
        <v>-69155.123445255522</v>
      </c>
    </row>
    <row r="43" spans="2:13" hidden="1" outlineLevel="1" x14ac:dyDescent="0.25">
      <c r="B43" t="s">
        <v>175</v>
      </c>
      <c r="C43" s="101">
        <v>0.16141705945682991</v>
      </c>
      <c r="D43" s="30">
        <f t="shared" si="11"/>
        <v>-95184.411620503466</v>
      </c>
    </row>
    <row r="44" spans="2:13" hidden="1" outlineLevel="1" x14ac:dyDescent="0.25">
      <c r="B44" t="s">
        <v>215</v>
      </c>
      <c r="C44" s="101">
        <v>5.5069497416907552E-2</v>
      </c>
      <c r="D44" s="30">
        <f t="shared" si="11"/>
        <v>-32473.381236802044</v>
      </c>
    </row>
    <row r="45" spans="2:13" hidden="1" outlineLevel="1" x14ac:dyDescent="0.25">
      <c r="B45" t="s">
        <v>216</v>
      </c>
      <c r="C45" s="101">
        <v>2.2972785925446191E-2</v>
      </c>
      <c r="D45" s="30">
        <f t="shared" si="11"/>
        <v>-13546.59240451711</v>
      </c>
    </row>
    <row r="46" spans="2:13" hidden="1" outlineLevel="1" x14ac:dyDescent="0.25">
      <c r="B46" t="s">
        <v>217</v>
      </c>
      <c r="C46" s="101">
        <v>7.5830616073327958E-2</v>
      </c>
      <c r="D46" s="30">
        <f t="shared" si="11"/>
        <v>-44715.79768612003</v>
      </c>
    </row>
    <row r="47" spans="2:13" hidden="1" outlineLevel="1" x14ac:dyDescent="0.25"/>
    <row r="48" spans="2:13" collapsed="1" x14ac:dyDescent="0.25">
      <c r="J48" s="19" t="e">
        <f>#REF!</f>
        <v>#REF!</v>
      </c>
      <c r="M48" s="19"/>
    </row>
    <row r="50" spans="10:13" x14ac:dyDescent="0.25">
      <c r="J50" s="20" t="e">
        <f>J48-J23</f>
        <v>#REF!</v>
      </c>
      <c r="M50" s="20"/>
    </row>
  </sheetData>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K648"/>
  <sheetViews>
    <sheetView zoomScale="80" zoomScaleNormal="80" workbookViewId="0">
      <pane xSplit="1" ySplit="3" topLeftCell="AW4" activePane="bottomRight" state="frozen"/>
      <selection activeCell="K80" sqref="K80"/>
      <selection pane="topRight" activeCell="K80" sqref="K80"/>
      <selection pane="bottomLeft" activeCell="K80" sqref="K80"/>
      <selection pane="bottomRight" activeCell="K80" sqref="K80"/>
    </sheetView>
  </sheetViews>
  <sheetFormatPr defaultRowHeight="15" outlineLevelCol="1" x14ac:dyDescent="0.25"/>
  <cols>
    <col min="1" max="1" width="57" style="181" bestFit="1" customWidth="1"/>
    <col min="2" max="16" width="11" style="181" bestFit="1" customWidth="1" outlineLevel="1"/>
    <col min="17" max="17" width="11.5703125" style="181" bestFit="1" customWidth="1" outlineLevel="1"/>
    <col min="18" max="25" width="11" style="181" bestFit="1" customWidth="1" outlineLevel="1"/>
    <col min="26" max="37" width="13.42578125" style="182" bestFit="1" customWidth="1"/>
    <col min="38" max="38" width="23.7109375" style="182" bestFit="1" customWidth="1"/>
    <col min="39" max="39" width="20.5703125" style="182" bestFit="1" customWidth="1"/>
    <col min="40" max="40" width="37.85546875" style="182" bestFit="1" customWidth="1"/>
    <col min="41" max="41" width="13.42578125" style="183" bestFit="1" customWidth="1"/>
    <col min="42" max="45" width="13.42578125" style="184" bestFit="1" customWidth="1"/>
    <col min="46" max="46" width="13" style="184" bestFit="1" customWidth="1"/>
    <col min="47" max="47" width="14.28515625" style="184" bestFit="1" customWidth="1"/>
    <col min="48" max="49" width="14.28515625" style="183" bestFit="1" customWidth="1"/>
    <col min="50" max="50" width="15.85546875" style="185" bestFit="1" customWidth="1"/>
    <col min="51" max="51" width="15.85546875" style="186" bestFit="1" customWidth="1"/>
    <col min="52" max="52" width="15.85546875" style="183" bestFit="1" customWidth="1"/>
    <col min="53" max="53" width="12.140625" style="183" bestFit="1" customWidth="1"/>
    <col min="54" max="54" width="13.42578125" style="183" bestFit="1" customWidth="1"/>
    <col min="55" max="55" width="12.140625" style="183" bestFit="1" customWidth="1"/>
    <col min="56" max="56" width="12.140625" style="103" bestFit="1" customWidth="1"/>
    <col min="57" max="57" width="12.140625" style="104" bestFit="1" customWidth="1"/>
    <col min="58" max="64" width="12.140625" style="181" bestFit="1" customWidth="1"/>
    <col min="65" max="88" width="12.140625" style="187" bestFit="1" customWidth="1"/>
    <col min="89" max="113" width="12.140625" style="187" bestFit="1" customWidth="1" outlineLevel="1"/>
    <col min="114" max="114" width="13.42578125" style="187" bestFit="1" customWidth="1" outlineLevel="1"/>
    <col min="115" max="124" width="12.140625" style="187" bestFit="1" customWidth="1" outlineLevel="1"/>
    <col min="125" max="271" width="9.140625" style="187"/>
    <col min="272" max="16384" width="9.140625" style="181"/>
  </cols>
  <sheetData>
    <row r="1" spans="1:271" s="102" customFormat="1" x14ac:dyDescent="0.25">
      <c r="B1" s="102">
        <v>2016</v>
      </c>
      <c r="C1" s="102">
        <v>2016</v>
      </c>
      <c r="D1" s="102">
        <v>2016</v>
      </c>
      <c r="E1" s="102">
        <v>2016</v>
      </c>
      <c r="F1" s="102">
        <v>2016</v>
      </c>
      <c r="G1" s="102">
        <v>2016</v>
      </c>
      <c r="H1" s="102">
        <v>2016</v>
      </c>
      <c r="I1" s="102">
        <v>2016</v>
      </c>
      <c r="J1" s="102">
        <v>2016</v>
      </c>
      <c r="K1" s="102">
        <v>2016</v>
      </c>
      <c r="L1" s="102">
        <v>2016</v>
      </c>
      <c r="M1" s="102">
        <v>2016</v>
      </c>
      <c r="N1" s="102">
        <v>2017</v>
      </c>
      <c r="O1" s="102">
        <v>2017</v>
      </c>
      <c r="P1" s="102">
        <v>2017</v>
      </c>
      <c r="Q1" s="102">
        <v>2017</v>
      </c>
      <c r="R1" s="102">
        <v>2017</v>
      </c>
      <c r="S1" s="102">
        <v>2017</v>
      </c>
      <c r="T1" s="102">
        <v>2017</v>
      </c>
      <c r="U1" s="102">
        <v>2017</v>
      </c>
      <c r="V1" s="102">
        <v>2017</v>
      </c>
      <c r="W1" s="102">
        <v>2017</v>
      </c>
      <c r="X1" s="102">
        <v>2017</v>
      </c>
      <c r="Y1" s="102">
        <v>2017</v>
      </c>
      <c r="Z1" s="102">
        <v>2018</v>
      </c>
      <c r="AA1" s="102">
        <v>2018</v>
      </c>
      <c r="AB1" s="102">
        <v>2018</v>
      </c>
      <c r="AC1" s="102">
        <v>2018</v>
      </c>
      <c r="AD1" s="102">
        <v>2018</v>
      </c>
      <c r="AE1" s="102">
        <v>2018</v>
      </c>
      <c r="AF1" s="102">
        <v>2018</v>
      </c>
      <c r="AG1" s="102">
        <v>2018</v>
      </c>
      <c r="AH1" s="102">
        <v>2018</v>
      </c>
      <c r="AI1" s="102">
        <v>2018</v>
      </c>
      <c r="AJ1" s="102">
        <v>2018</v>
      </c>
      <c r="AK1" s="102">
        <v>2018</v>
      </c>
      <c r="AO1" s="102">
        <v>2019</v>
      </c>
      <c r="AP1" s="102">
        <v>2019</v>
      </c>
      <c r="AQ1" s="102">
        <v>2019</v>
      </c>
      <c r="AR1" s="102">
        <v>2019</v>
      </c>
      <c r="AS1" s="102">
        <v>2019</v>
      </c>
      <c r="AT1" s="102">
        <v>2019</v>
      </c>
      <c r="AU1" s="102">
        <v>2019</v>
      </c>
      <c r="AV1" s="102">
        <v>2019</v>
      </c>
      <c r="AW1" s="102">
        <v>2019</v>
      </c>
      <c r="AX1" s="103">
        <v>2019</v>
      </c>
      <c r="AY1" s="104">
        <v>2019</v>
      </c>
      <c r="AZ1" s="102">
        <v>2019</v>
      </c>
      <c r="BA1" s="102">
        <v>2020</v>
      </c>
      <c r="BB1" s="102">
        <v>2020</v>
      </c>
      <c r="BC1" s="102">
        <v>2020</v>
      </c>
      <c r="BD1" s="102">
        <v>2020</v>
      </c>
      <c r="BE1" s="102">
        <v>2020</v>
      </c>
      <c r="BF1" s="102">
        <v>2020</v>
      </c>
      <c r="BG1" s="102">
        <v>2020</v>
      </c>
      <c r="BH1" s="102">
        <v>2020</v>
      </c>
      <c r="BI1" s="102">
        <v>2020</v>
      </c>
      <c r="BJ1" s="102">
        <v>2020</v>
      </c>
      <c r="BK1" s="102">
        <v>2020</v>
      </c>
      <c r="BL1" s="102">
        <v>2020</v>
      </c>
      <c r="BM1" s="105">
        <v>2021</v>
      </c>
      <c r="BN1" s="105">
        <v>2021</v>
      </c>
      <c r="BO1" s="105">
        <v>2021</v>
      </c>
      <c r="BP1" s="105">
        <v>2021</v>
      </c>
      <c r="BQ1" s="105">
        <v>2021</v>
      </c>
      <c r="BR1" s="105">
        <v>2021</v>
      </c>
      <c r="BS1" s="105">
        <v>2021</v>
      </c>
      <c r="BT1" s="105">
        <v>2021</v>
      </c>
      <c r="BU1" s="105">
        <v>2021</v>
      </c>
      <c r="BV1" s="105">
        <v>2021</v>
      </c>
      <c r="BW1" s="105">
        <v>2021</v>
      </c>
      <c r="BX1" s="105">
        <v>2021</v>
      </c>
      <c r="BY1" s="105">
        <v>2022</v>
      </c>
      <c r="BZ1" s="105">
        <v>2022</v>
      </c>
      <c r="CA1" s="105">
        <v>2022</v>
      </c>
      <c r="CB1" s="105">
        <v>2022</v>
      </c>
      <c r="CC1" s="105">
        <v>2022</v>
      </c>
      <c r="CD1" s="105">
        <v>2022</v>
      </c>
      <c r="CE1" s="105">
        <v>2022</v>
      </c>
      <c r="CF1" s="105">
        <v>2022</v>
      </c>
      <c r="CG1" s="105">
        <v>2022</v>
      </c>
      <c r="CH1" s="105">
        <v>2022</v>
      </c>
      <c r="CI1" s="105">
        <v>2022</v>
      </c>
      <c r="CJ1" s="105">
        <v>2022</v>
      </c>
      <c r="CK1" s="105">
        <v>2023</v>
      </c>
      <c r="CL1" s="105">
        <v>2023</v>
      </c>
      <c r="CM1" s="105">
        <v>2023</v>
      </c>
      <c r="CN1" s="105">
        <v>2023</v>
      </c>
      <c r="CO1" s="105">
        <v>2023</v>
      </c>
      <c r="CP1" s="105">
        <v>2023</v>
      </c>
      <c r="CQ1" s="105">
        <v>2023</v>
      </c>
      <c r="CR1" s="105">
        <v>2023</v>
      </c>
      <c r="CS1" s="105">
        <v>2023</v>
      </c>
      <c r="CT1" s="105">
        <v>2023</v>
      </c>
      <c r="CU1" s="105">
        <v>2023</v>
      </c>
      <c r="CV1" s="105">
        <v>2023</v>
      </c>
      <c r="CW1" s="105">
        <v>2024</v>
      </c>
      <c r="CX1" s="105">
        <v>2024</v>
      </c>
      <c r="CY1" s="105">
        <v>2024</v>
      </c>
      <c r="CZ1" s="105">
        <v>2024</v>
      </c>
      <c r="DA1" s="105">
        <v>2024</v>
      </c>
      <c r="DB1" s="105">
        <v>2024</v>
      </c>
      <c r="DC1" s="105">
        <v>2024</v>
      </c>
      <c r="DD1" s="105">
        <v>2024</v>
      </c>
      <c r="DE1" s="105">
        <v>2024</v>
      </c>
      <c r="DF1" s="105">
        <v>2024</v>
      </c>
      <c r="DG1" s="105">
        <v>2024</v>
      </c>
      <c r="DH1" s="105">
        <v>2024</v>
      </c>
      <c r="DI1" s="105">
        <v>2025</v>
      </c>
      <c r="DJ1" s="105">
        <v>2025</v>
      </c>
      <c r="DK1" s="105">
        <v>2025</v>
      </c>
      <c r="DL1" s="105">
        <v>2025</v>
      </c>
      <c r="DM1" s="105">
        <v>2025</v>
      </c>
      <c r="DN1" s="105">
        <v>2025</v>
      </c>
      <c r="DO1" s="105">
        <v>2025</v>
      </c>
      <c r="DP1" s="105">
        <v>2025</v>
      </c>
      <c r="DQ1" s="105">
        <v>2025</v>
      </c>
      <c r="DR1" s="105">
        <v>2025</v>
      </c>
      <c r="DS1" s="105">
        <v>2025</v>
      </c>
      <c r="DT1" s="105">
        <v>2025</v>
      </c>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c r="IV1" s="105"/>
      <c r="IW1" s="105"/>
      <c r="IX1" s="105"/>
      <c r="IY1" s="105"/>
      <c r="IZ1" s="105"/>
      <c r="JA1" s="105"/>
      <c r="JB1" s="105"/>
      <c r="JC1" s="105"/>
      <c r="JD1" s="105"/>
      <c r="JE1" s="105"/>
      <c r="JF1" s="105"/>
      <c r="JG1" s="105"/>
      <c r="JH1" s="105"/>
      <c r="JI1" s="105"/>
      <c r="JJ1" s="105"/>
      <c r="JK1" s="105"/>
    </row>
    <row r="2" spans="1:271" s="102" customFormat="1" x14ac:dyDescent="0.25">
      <c r="B2" s="102">
        <v>1</v>
      </c>
      <c r="C2" s="102">
        <v>2</v>
      </c>
      <c r="D2" s="102">
        <v>3</v>
      </c>
      <c r="E2" s="102">
        <v>4</v>
      </c>
      <c r="F2" s="102">
        <v>5</v>
      </c>
      <c r="G2" s="102">
        <v>6</v>
      </c>
      <c r="H2" s="102">
        <v>7</v>
      </c>
      <c r="I2" s="102">
        <v>8</v>
      </c>
      <c r="J2" s="102">
        <v>9</v>
      </c>
      <c r="K2" s="102">
        <v>10</v>
      </c>
      <c r="L2" s="102">
        <v>11</v>
      </c>
      <c r="M2" s="102">
        <v>12</v>
      </c>
      <c r="N2" s="102">
        <v>1</v>
      </c>
      <c r="O2" s="102">
        <v>2</v>
      </c>
      <c r="P2" s="102">
        <v>3</v>
      </c>
      <c r="Q2" s="102">
        <v>4</v>
      </c>
      <c r="R2" s="102">
        <v>5</v>
      </c>
      <c r="S2" s="102">
        <v>6</v>
      </c>
      <c r="T2" s="102">
        <v>7</v>
      </c>
      <c r="U2" s="102">
        <v>8</v>
      </c>
      <c r="V2" s="102">
        <v>9</v>
      </c>
      <c r="W2" s="102">
        <v>10</v>
      </c>
      <c r="X2" s="102">
        <v>11</v>
      </c>
      <c r="Y2" s="102">
        <v>12</v>
      </c>
      <c r="Z2" s="102">
        <v>1</v>
      </c>
      <c r="AA2" s="102">
        <v>2</v>
      </c>
      <c r="AB2" s="102">
        <v>3</v>
      </c>
      <c r="AC2" s="102">
        <v>4</v>
      </c>
      <c r="AD2" s="102">
        <v>5</v>
      </c>
      <c r="AE2" s="102">
        <v>6</v>
      </c>
      <c r="AF2" s="102">
        <v>7</v>
      </c>
      <c r="AG2" s="102">
        <v>8</v>
      </c>
      <c r="AH2" s="102">
        <v>9</v>
      </c>
      <c r="AI2" s="102">
        <v>10</v>
      </c>
      <c r="AJ2" s="102">
        <v>11</v>
      </c>
      <c r="AK2" s="102">
        <v>12</v>
      </c>
      <c r="AO2" s="102">
        <v>1</v>
      </c>
      <c r="AP2" s="102">
        <v>2</v>
      </c>
      <c r="AQ2" s="102">
        <v>3</v>
      </c>
      <c r="AR2" s="102">
        <v>4</v>
      </c>
      <c r="AS2" s="102">
        <v>5</v>
      </c>
      <c r="AT2" s="102">
        <v>6</v>
      </c>
      <c r="AU2" s="102">
        <v>7</v>
      </c>
      <c r="AV2" s="102">
        <v>8</v>
      </c>
      <c r="AW2" s="102">
        <v>9</v>
      </c>
      <c r="AX2" s="103">
        <v>10</v>
      </c>
      <c r="AY2" s="104">
        <v>11</v>
      </c>
      <c r="AZ2" s="102">
        <v>12</v>
      </c>
      <c r="BA2" s="102">
        <v>1</v>
      </c>
      <c r="BB2" s="102">
        <v>2</v>
      </c>
      <c r="BC2" s="102">
        <v>3</v>
      </c>
      <c r="BD2" s="102">
        <v>4</v>
      </c>
      <c r="BE2" s="102">
        <v>5</v>
      </c>
      <c r="BF2" s="102">
        <v>6</v>
      </c>
      <c r="BG2" s="102">
        <v>7</v>
      </c>
      <c r="BH2" s="102">
        <v>8</v>
      </c>
      <c r="BI2" s="102">
        <v>9</v>
      </c>
      <c r="BJ2" s="102">
        <v>10</v>
      </c>
      <c r="BK2" s="102">
        <v>11</v>
      </c>
      <c r="BL2" s="102">
        <v>12</v>
      </c>
      <c r="BM2" s="105">
        <v>1</v>
      </c>
      <c r="BN2" s="105">
        <v>2</v>
      </c>
      <c r="BO2" s="105">
        <v>3</v>
      </c>
      <c r="BP2" s="105">
        <v>4</v>
      </c>
      <c r="BQ2" s="105">
        <v>5</v>
      </c>
      <c r="BR2" s="105">
        <v>6</v>
      </c>
      <c r="BS2" s="105">
        <v>7</v>
      </c>
      <c r="BT2" s="105">
        <v>8</v>
      </c>
      <c r="BU2" s="105">
        <v>9</v>
      </c>
      <c r="BV2" s="105">
        <v>10</v>
      </c>
      <c r="BW2" s="105">
        <v>11</v>
      </c>
      <c r="BX2" s="105">
        <v>12</v>
      </c>
      <c r="BY2" s="105">
        <v>1</v>
      </c>
      <c r="BZ2" s="105">
        <v>2</v>
      </c>
      <c r="CA2" s="105">
        <v>3</v>
      </c>
      <c r="CB2" s="105">
        <v>4</v>
      </c>
      <c r="CC2" s="105">
        <v>5</v>
      </c>
      <c r="CD2" s="105">
        <v>6</v>
      </c>
      <c r="CE2" s="105">
        <v>7</v>
      </c>
      <c r="CF2" s="105">
        <v>8</v>
      </c>
      <c r="CG2" s="105">
        <v>9</v>
      </c>
      <c r="CH2" s="105">
        <v>10</v>
      </c>
      <c r="CI2" s="105">
        <v>11</v>
      </c>
      <c r="CJ2" s="105">
        <v>12</v>
      </c>
      <c r="CK2" s="105">
        <v>1</v>
      </c>
      <c r="CL2" s="105">
        <v>2</v>
      </c>
      <c r="CM2" s="105">
        <v>3</v>
      </c>
      <c r="CN2" s="105">
        <v>4</v>
      </c>
      <c r="CO2" s="105">
        <v>5</v>
      </c>
      <c r="CP2" s="105">
        <v>6</v>
      </c>
      <c r="CQ2" s="105">
        <v>7</v>
      </c>
      <c r="CR2" s="105">
        <v>8</v>
      </c>
      <c r="CS2" s="105">
        <v>9</v>
      </c>
      <c r="CT2" s="105">
        <v>10</v>
      </c>
      <c r="CU2" s="105">
        <v>11</v>
      </c>
      <c r="CV2" s="105">
        <v>12</v>
      </c>
      <c r="CW2" s="105">
        <v>1</v>
      </c>
      <c r="CX2" s="105">
        <v>2</v>
      </c>
      <c r="CY2" s="105">
        <v>3</v>
      </c>
      <c r="CZ2" s="105">
        <v>4</v>
      </c>
      <c r="DA2" s="105">
        <v>5</v>
      </c>
      <c r="DB2" s="105">
        <v>6</v>
      </c>
      <c r="DC2" s="105">
        <v>7</v>
      </c>
      <c r="DD2" s="105">
        <v>8</v>
      </c>
      <c r="DE2" s="105">
        <v>9</v>
      </c>
      <c r="DF2" s="105">
        <v>10</v>
      </c>
      <c r="DG2" s="105">
        <v>11</v>
      </c>
      <c r="DH2" s="105">
        <v>12</v>
      </c>
      <c r="DI2" s="105">
        <v>1</v>
      </c>
      <c r="DJ2" s="105">
        <v>2</v>
      </c>
      <c r="DK2" s="105">
        <v>3</v>
      </c>
      <c r="DL2" s="105">
        <v>4</v>
      </c>
      <c r="DM2" s="105">
        <v>5</v>
      </c>
      <c r="DN2" s="105">
        <v>6</v>
      </c>
      <c r="DO2" s="105">
        <v>7</v>
      </c>
      <c r="DP2" s="105">
        <v>8</v>
      </c>
      <c r="DQ2" s="105">
        <v>9</v>
      </c>
      <c r="DR2" s="105">
        <v>10</v>
      </c>
      <c r="DS2" s="105">
        <v>11</v>
      </c>
      <c r="DT2" s="105">
        <v>12</v>
      </c>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row>
    <row r="3" spans="1:271" s="112" customFormat="1" x14ac:dyDescent="0.2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7"/>
      <c r="AA3" s="107"/>
      <c r="AB3" s="107"/>
      <c r="AC3" s="107"/>
      <c r="AD3" s="107"/>
      <c r="AE3" s="107"/>
      <c r="AF3" s="107"/>
      <c r="AG3" s="107"/>
      <c r="AH3" s="107"/>
      <c r="AI3" s="107"/>
      <c r="AJ3" s="107"/>
      <c r="AK3" s="107"/>
      <c r="AL3" s="107"/>
      <c r="AM3" s="107"/>
      <c r="AN3" s="107"/>
      <c r="AO3" s="107"/>
      <c r="AP3" s="108"/>
      <c r="AQ3" s="108"/>
      <c r="AR3" s="108"/>
      <c r="AS3" s="108"/>
      <c r="AT3" s="109"/>
      <c r="AU3" s="109"/>
      <c r="AV3" s="107"/>
      <c r="AW3" s="107"/>
      <c r="AX3" s="110"/>
      <c r="AY3" s="111"/>
      <c r="AZ3" s="107"/>
      <c r="BA3" s="107"/>
      <c r="BB3" s="107"/>
      <c r="BC3" s="107"/>
      <c r="BD3" s="108"/>
      <c r="BE3" s="108"/>
      <c r="BF3" s="108"/>
      <c r="BG3" s="108"/>
      <c r="BH3" s="108"/>
      <c r="BI3" s="108"/>
      <c r="BJ3" s="108"/>
      <c r="BK3" s="108"/>
      <c r="BL3" s="108"/>
    </row>
    <row r="4" spans="1:271" s="112" customFormat="1" x14ac:dyDescent="0.25">
      <c r="A4" s="113" t="s">
        <v>211</v>
      </c>
      <c r="B4" s="113"/>
      <c r="C4" s="113"/>
      <c r="D4" s="113"/>
      <c r="E4" s="113"/>
      <c r="F4" s="113"/>
      <c r="G4" s="113"/>
      <c r="H4" s="113"/>
      <c r="I4" s="113"/>
      <c r="J4" s="113"/>
      <c r="K4" s="113"/>
      <c r="L4" s="113"/>
      <c r="M4" s="113"/>
      <c r="N4" s="113"/>
      <c r="O4" s="113"/>
      <c r="P4" s="113"/>
      <c r="Q4" s="113"/>
      <c r="R4" s="113"/>
      <c r="S4" s="113"/>
      <c r="T4" s="113"/>
      <c r="U4" s="113"/>
      <c r="V4" s="113"/>
      <c r="W4" s="113"/>
      <c r="X4" s="113"/>
      <c r="Y4" s="113"/>
      <c r="Z4" s="107"/>
      <c r="AA4" s="107"/>
      <c r="AB4" s="107"/>
      <c r="AC4" s="107"/>
      <c r="AD4" s="107"/>
      <c r="AE4" s="107"/>
      <c r="AF4" s="107"/>
      <c r="AG4" s="107"/>
      <c r="AH4" s="107"/>
      <c r="AI4" s="107"/>
      <c r="AJ4" s="107"/>
      <c r="AK4" s="107"/>
      <c r="AL4" s="107"/>
      <c r="AM4" s="107"/>
      <c r="AN4" s="107"/>
      <c r="AO4" s="107"/>
      <c r="AP4" s="108"/>
      <c r="AQ4" s="108"/>
      <c r="AR4" s="108"/>
      <c r="AS4" s="108"/>
      <c r="AT4" s="108"/>
      <c r="AU4" s="108"/>
      <c r="AV4" s="107"/>
      <c r="AW4" s="107"/>
      <c r="AX4" s="110"/>
      <c r="AY4" s="111"/>
      <c r="AZ4" s="107"/>
      <c r="BA4" s="107"/>
      <c r="BB4" s="107"/>
      <c r="BC4" s="107"/>
      <c r="BD4" s="108"/>
      <c r="BE4" s="108"/>
      <c r="BF4" s="108"/>
      <c r="BG4" s="108"/>
      <c r="BH4" s="108"/>
      <c r="BI4" s="108"/>
      <c r="BJ4" s="108"/>
      <c r="BK4" s="108"/>
      <c r="BL4" s="108"/>
    </row>
    <row r="5" spans="1:271" s="112" customFormat="1" x14ac:dyDescent="0.25">
      <c r="A5" s="114" t="s">
        <v>149</v>
      </c>
      <c r="B5" s="114"/>
      <c r="C5" s="114"/>
      <c r="D5" s="114"/>
      <c r="E5" s="114"/>
      <c r="F5" s="114"/>
      <c r="G5" s="114"/>
      <c r="H5" s="114"/>
      <c r="I5" s="114"/>
      <c r="J5" s="114"/>
      <c r="K5" s="114"/>
      <c r="L5" s="114"/>
      <c r="M5" s="114"/>
      <c r="N5" s="114"/>
      <c r="O5" s="114"/>
      <c r="P5" s="114"/>
      <c r="Q5" s="114"/>
      <c r="R5" s="114"/>
      <c r="S5" s="114"/>
      <c r="T5" s="114"/>
      <c r="U5" s="114"/>
      <c r="V5" s="114"/>
      <c r="W5" s="114"/>
      <c r="X5" s="114"/>
      <c r="Y5" s="114"/>
      <c r="Z5" s="115">
        <f t="shared" ref="Z5:AK10" si="0">Z45+Z73</f>
        <v>905847.12914222083</v>
      </c>
      <c r="AA5" s="115">
        <f t="shared" si="0"/>
        <v>820667.59199270257</v>
      </c>
      <c r="AB5" s="115">
        <f t="shared" si="0"/>
        <v>766846.94792092894</v>
      </c>
      <c r="AC5" s="115">
        <f t="shared" si="0"/>
        <v>803343.16486419679</v>
      </c>
      <c r="AD5" s="115">
        <f t="shared" si="0"/>
        <v>812400.2435416996</v>
      </c>
      <c r="AE5" s="115">
        <f t="shared" si="0"/>
        <v>1067824.9661290727</v>
      </c>
      <c r="AF5" s="115">
        <f t="shared" si="0"/>
        <v>1087039.9013962331</v>
      </c>
      <c r="AG5" s="115">
        <f t="shared" si="0"/>
        <v>1098614.8100510351</v>
      </c>
      <c r="AH5" s="115">
        <f t="shared" si="0"/>
        <v>1104394.4902449525</v>
      </c>
      <c r="AI5" s="115">
        <f>AI45+AI73</f>
        <v>995358.5599686841</v>
      </c>
      <c r="AJ5" s="115">
        <f t="shared" ref="AJ5:AK5" si="1">AJ45+AJ73</f>
        <v>839280.02010694193</v>
      </c>
      <c r="AK5" s="115">
        <f t="shared" si="1"/>
        <v>880038.67451778078</v>
      </c>
      <c r="AL5" s="115"/>
      <c r="AM5" s="115"/>
      <c r="AN5" s="115"/>
      <c r="AO5" s="107">
        <f>AO6+AO7</f>
        <v>1050231.4664700001</v>
      </c>
      <c r="AP5" s="108">
        <f t="shared" ref="AP5:DA5" si="2">AP6+AP7</f>
        <v>930058.32073000004</v>
      </c>
      <c r="AQ5" s="108">
        <f t="shared" si="2"/>
        <v>754580.43915999995</v>
      </c>
      <c r="AR5" s="108">
        <f t="shared" si="2"/>
        <v>762718.01588000008</v>
      </c>
      <c r="AS5" s="108">
        <f t="shared" si="2"/>
        <v>909967.91688999999</v>
      </c>
      <c r="AT5" s="108">
        <f t="shared" si="2"/>
        <v>1211281.11307</v>
      </c>
      <c r="AU5" s="108">
        <f t="shared" si="2"/>
        <v>1195256.9321443001</v>
      </c>
      <c r="AV5" s="108">
        <f t="shared" si="2"/>
        <v>1205648.4643399999</v>
      </c>
      <c r="AW5" s="108">
        <f t="shared" si="2"/>
        <v>1230154.95153</v>
      </c>
      <c r="AX5" s="116">
        <f t="shared" si="2"/>
        <v>1067276.17331</v>
      </c>
      <c r="AY5" s="111">
        <f t="shared" si="2"/>
        <v>806356.00536994729</v>
      </c>
      <c r="AZ5" s="107">
        <f t="shared" si="2"/>
        <v>856649.67135322979</v>
      </c>
      <c r="BA5" s="107">
        <f t="shared" si="2"/>
        <v>801994.74130193389</v>
      </c>
      <c r="BB5" s="107">
        <f t="shared" si="2"/>
        <v>824038.35971806897</v>
      </c>
      <c r="BC5" s="107">
        <f t="shared" si="2"/>
        <v>813641.7551592543</v>
      </c>
      <c r="BD5" s="107">
        <f t="shared" si="2"/>
        <v>832519.59224282624</v>
      </c>
      <c r="BE5" s="107">
        <f t="shared" si="2"/>
        <v>882617.01059502759</v>
      </c>
      <c r="BF5" s="107">
        <f t="shared" si="2"/>
        <v>1029942.2359348373</v>
      </c>
      <c r="BG5" s="107">
        <f t="shared" si="2"/>
        <v>1030979.3767618934</v>
      </c>
      <c r="BH5" s="107">
        <f t="shared" si="2"/>
        <v>1030174.2382769133</v>
      </c>
      <c r="BI5" s="107">
        <f t="shared" si="2"/>
        <v>1009911.0749159425</v>
      </c>
      <c r="BJ5" s="107">
        <f t="shared" si="2"/>
        <v>977515.96824696753</v>
      </c>
      <c r="BK5" s="107">
        <f t="shared" si="2"/>
        <v>821701.31624236214</v>
      </c>
      <c r="BL5" s="107">
        <f t="shared" si="2"/>
        <v>858435.08914621174</v>
      </c>
      <c r="BM5" s="107">
        <f>BM6+BM7</f>
        <v>801994.74130193389</v>
      </c>
      <c r="BN5" s="107">
        <f t="shared" si="2"/>
        <v>824038.35971806897</v>
      </c>
      <c r="BO5" s="107">
        <f t="shared" si="2"/>
        <v>813641.7551592543</v>
      </c>
      <c r="BP5" s="107">
        <f t="shared" si="2"/>
        <v>832519.59224282624</v>
      </c>
      <c r="BQ5" s="107">
        <f t="shared" si="2"/>
        <v>882617.01059502759</v>
      </c>
      <c r="BR5" s="107">
        <f t="shared" si="2"/>
        <v>1029942.2359348373</v>
      </c>
      <c r="BS5" s="107">
        <f t="shared" si="2"/>
        <v>1030979.3767618934</v>
      </c>
      <c r="BT5" s="107">
        <f t="shared" si="2"/>
        <v>1030174.2382769133</v>
      </c>
      <c r="BU5" s="107">
        <f t="shared" si="2"/>
        <v>1009911.0749159425</v>
      </c>
      <c r="BV5" s="107">
        <f t="shared" si="2"/>
        <v>977515.96824696753</v>
      </c>
      <c r="BW5" s="107">
        <f t="shared" si="2"/>
        <v>821701.31624236214</v>
      </c>
      <c r="BX5" s="107">
        <f t="shared" si="2"/>
        <v>858435.08914621174</v>
      </c>
      <c r="BY5" s="107">
        <f t="shared" si="2"/>
        <v>842983.4891807253</v>
      </c>
      <c r="BZ5" s="107">
        <f t="shared" si="2"/>
        <v>852525.67214300425</v>
      </c>
      <c r="CA5" s="107">
        <f t="shared" si="2"/>
        <v>777365.36000052141</v>
      </c>
      <c r="CB5" s="107">
        <f t="shared" si="2"/>
        <v>795745.27457922627</v>
      </c>
      <c r="CC5" s="107">
        <f t="shared" si="2"/>
        <v>874677.67277973157</v>
      </c>
      <c r="CD5" s="107">
        <f t="shared" si="2"/>
        <v>1086247.3430011435</v>
      </c>
      <c r="CE5" s="107">
        <f t="shared" si="2"/>
        <v>1072701.1540025477</v>
      </c>
      <c r="CF5" s="107">
        <f t="shared" si="2"/>
        <v>1069737.6474775095</v>
      </c>
      <c r="CG5" s="107">
        <f t="shared" si="2"/>
        <v>1056489.3693755942</v>
      </c>
      <c r="CH5" s="107">
        <f t="shared" si="2"/>
        <v>960451.62160600314</v>
      </c>
      <c r="CI5" s="107">
        <f t="shared" si="2"/>
        <v>808220.71519635268</v>
      </c>
      <c r="CJ5" s="107">
        <f t="shared" si="2"/>
        <v>850088.53049115627</v>
      </c>
      <c r="CK5" s="107">
        <f t="shared" si="2"/>
        <v>844015.84839310707</v>
      </c>
      <c r="CL5" s="107">
        <f>CL6+CL7</f>
        <v>860707.37148314482</v>
      </c>
      <c r="CM5" s="107">
        <f t="shared" si="2"/>
        <v>784353.44636880828</v>
      </c>
      <c r="CN5" s="107">
        <f t="shared" si="2"/>
        <v>805663.9717030637</v>
      </c>
      <c r="CO5" s="107">
        <f t="shared" si="2"/>
        <v>890639.84280993394</v>
      </c>
      <c r="CP5" s="107">
        <f t="shared" si="2"/>
        <v>1096602.419023036</v>
      </c>
      <c r="CQ5" s="107">
        <f t="shared" si="2"/>
        <v>1074666.1489105513</v>
      </c>
      <c r="CR5" s="107">
        <f t="shared" si="2"/>
        <v>1072505.2189565452</v>
      </c>
      <c r="CS5" s="107">
        <f t="shared" si="2"/>
        <v>1059407.9151106826</v>
      </c>
      <c r="CT5" s="107">
        <f t="shared" si="2"/>
        <v>962502.12108626089</v>
      </c>
      <c r="CU5" s="107">
        <f t="shared" si="2"/>
        <v>818251.39586877206</v>
      </c>
      <c r="CV5" s="107">
        <f t="shared" si="2"/>
        <v>847129.28146197274</v>
      </c>
      <c r="CW5" s="107">
        <f t="shared" si="2"/>
        <v>824541.82374808553</v>
      </c>
      <c r="CX5" s="107">
        <f t="shared" si="2"/>
        <v>845516.52123527974</v>
      </c>
      <c r="CY5" s="107">
        <f t="shared" si="2"/>
        <v>809391.632728072</v>
      </c>
      <c r="CZ5" s="107">
        <f t="shared" si="2"/>
        <v>819244.92867888336</v>
      </c>
      <c r="DA5" s="107">
        <f t="shared" si="2"/>
        <v>867730.63626756798</v>
      </c>
      <c r="DB5" s="107">
        <f t="shared" ref="DB5:DT5" si="3">DB6+DB7</f>
        <v>971770.5600559935</v>
      </c>
      <c r="DC5" s="107">
        <f t="shared" si="3"/>
        <v>1003244.3108431762</v>
      </c>
      <c r="DD5" s="107">
        <f t="shared" si="3"/>
        <v>1063963.8859571167</v>
      </c>
      <c r="DE5" s="107">
        <f t="shared" si="3"/>
        <v>1051650.6977728535</v>
      </c>
      <c r="DF5" s="107">
        <f t="shared" si="3"/>
        <v>1005267.7688853254</v>
      </c>
      <c r="DG5" s="107">
        <f t="shared" si="3"/>
        <v>878969.24048257421</v>
      </c>
      <c r="DH5" s="107">
        <f t="shared" si="3"/>
        <v>850772.15182993887</v>
      </c>
      <c r="DI5" s="107">
        <f t="shared" si="3"/>
        <v>806378.08132148057</v>
      </c>
      <c r="DJ5" s="107">
        <f t="shared" si="3"/>
        <v>852164.42587360856</v>
      </c>
      <c r="DK5" s="107">
        <f t="shared" si="3"/>
        <v>801021.56936260441</v>
      </c>
      <c r="DL5" s="107">
        <f t="shared" si="3"/>
        <v>836584.091857141</v>
      </c>
      <c r="DM5" s="107">
        <f t="shared" si="3"/>
        <v>880745.45624638745</v>
      </c>
      <c r="DN5" s="107">
        <f t="shared" si="3"/>
        <v>963869.41425111284</v>
      </c>
      <c r="DO5" s="107">
        <f t="shared" si="3"/>
        <v>938387.83943699789</v>
      </c>
      <c r="DP5" s="107">
        <f t="shared" si="3"/>
        <v>1019840.3750524435</v>
      </c>
      <c r="DQ5" s="107">
        <f t="shared" si="3"/>
        <v>1063195.0307100392</v>
      </c>
      <c r="DR5" s="107">
        <f t="shared" si="3"/>
        <v>1005161.7852483749</v>
      </c>
      <c r="DS5" s="107">
        <f t="shared" si="3"/>
        <v>900952.92595220869</v>
      </c>
      <c r="DT5" s="107">
        <f t="shared" si="3"/>
        <v>907452.99880520487</v>
      </c>
    </row>
    <row r="6" spans="1:271" s="112" customFormat="1" x14ac:dyDescent="0.25">
      <c r="A6" s="117" t="s">
        <v>212</v>
      </c>
      <c r="B6" s="117"/>
      <c r="C6" s="117"/>
      <c r="D6" s="117"/>
      <c r="E6" s="117"/>
      <c r="F6" s="117"/>
      <c r="G6" s="117"/>
      <c r="H6" s="117"/>
      <c r="I6" s="117"/>
      <c r="J6" s="117"/>
      <c r="K6" s="117"/>
      <c r="L6" s="117"/>
      <c r="M6" s="117"/>
      <c r="N6" s="117"/>
      <c r="O6" s="117"/>
      <c r="P6" s="117"/>
      <c r="Q6" s="117"/>
      <c r="R6" s="117"/>
      <c r="S6" s="117"/>
      <c r="T6" s="117"/>
      <c r="U6" s="117"/>
      <c r="V6" s="117"/>
      <c r="W6" s="117"/>
      <c r="X6" s="117"/>
      <c r="Y6" s="117"/>
      <c r="Z6" s="115">
        <f t="shared" si="0"/>
        <v>706487.41000165255</v>
      </c>
      <c r="AA6" s="115">
        <f t="shared" si="0"/>
        <v>713594.41605489934</v>
      </c>
      <c r="AB6" s="115">
        <f t="shared" si="0"/>
        <v>683767.70320112573</v>
      </c>
      <c r="AC6" s="115">
        <f t="shared" si="0"/>
        <v>696122.3663548436</v>
      </c>
      <c r="AD6" s="115">
        <f t="shared" si="0"/>
        <v>694050.85908715054</v>
      </c>
      <c r="AE6" s="115">
        <f t="shared" si="0"/>
        <v>764312.15811690036</v>
      </c>
      <c r="AF6" s="115">
        <f t="shared" si="0"/>
        <v>764251.67811690038</v>
      </c>
      <c r="AG6" s="115">
        <f t="shared" si="0"/>
        <v>771213.2302377997</v>
      </c>
      <c r="AH6" s="115">
        <f t="shared" si="0"/>
        <v>771865.83191999712</v>
      </c>
      <c r="AI6" s="115">
        <f t="shared" si="0"/>
        <v>753430.03501995723</v>
      </c>
      <c r="AJ6" s="115">
        <f t="shared" si="0"/>
        <v>704147.03426815849</v>
      </c>
      <c r="AK6" s="115">
        <f t="shared" si="0"/>
        <v>715748.65531966765</v>
      </c>
      <c r="AL6" s="115"/>
      <c r="AM6" s="115"/>
      <c r="AN6" s="115"/>
      <c r="AO6" s="107">
        <f t="shared" ref="AO6:CZ10" si="4">AO46+AO74</f>
        <v>726189.58086165274</v>
      </c>
      <c r="AP6" s="118">
        <f t="shared" si="4"/>
        <v>729200.67708489927</v>
      </c>
      <c r="AQ6" s="108">
        <f t="shared" si="4"/>
        <v>670025.47807000007</v>
      </c>
      <c r="AR6" s="108">
        <f t="shared" si="4"/>
        <v>677756.93064000004</v>
      </c>
      <c r="AS6" s="108">
        <f t="shared" si="4"/>
        <v>713016.84423000005</v>
      </c>
      <c r="AT6" s="118">
        <f t="shared" si="4"/>
        <v>773834.50162</v>
      </c>
      <c r="AU6" s="118">
        <f t="shared" si="4"/>
        <v>776713.24364860007</v>
      </c>
      <c r="AV6" s="118">
        <f t="shared" si="4"/>
        <v>778525.03345569992</v>
      </c>
      <c r="AW6" s="118">
        <f t="shared" si="4"/>
        <v>780795.09794000001</v>
      </c>
      <c r="AX6" s="119">
        <f t="shared" si="4"/>
        <v>757864.64798999997</v>
      </c>
      <c r="AY6" s="111">
        <f t="shared" si="4"/>
        <v>692079.26551314222</v>
      </c>
      <c r="AZ6" s="107">
        <f t="shared" si="4"/>
        <v>703208.49615708471</v>
      </c>
      <c r="BA6" s="107">
        <f t="shared" si="4"/>
        <v>688193.53528413479</v>
      </c>
      <c r="BB6" s="107">
        <f t="shared" si="4"/>
        <v>688779.09575826046</v>
      </c>
      <c r="BC6" s="107">
        <f t="shared" si="4"/>
        <v>680672.8558796111</v>
      </c>
      <c r="BD6" s="107">
        <f t="shared" si="4"/>
        <v>691748.32263608114</v>
      </c>
      <c r="BE6" s="107">
        <f t="shared" si="4"/>
        <v>702412.68553895922</v>
      </c>
      <c r="BF6" s="107">
        <f t="shared" si="4"/>
        <v>747676.74547330197</v>
      </c>
      <c r="BG6" s="107">
        <f t="shared" si="4"/>
        <v>747665.1222204474</v>
      </c>
      <c r="BH6" s="107">
        <f t="shared" si="4"/>
        <v>748260.00632203044</v>
      </c>
      <c r="BI6" s="107">
        <f t="shared" si="4"/>
        <v>748683.0024333084</v>
      </c>
      <c r="BJ6" s="107">
        <f t="shared" si="4"/>
        <v>746293.56487758935</v>
      </c>
      <c r="BK6" s="107">
        <f t="shared" si="4"/>
        <v>697973.06081523211</v>
      </c>
      <c r="BL6" s="107">
        <f t="shared" si="4"/>
        <v>711274.86565767322</v>
      </c>
      <c r="BM6" s="107">
        <f>BM46+BM74</f>
        <v>688193.53528413479</v>
      </c>
      <c r="BN6" s="107">
        <f t="shared" si="4"/>
        <v>688779.09575826046</v>
      </c>
      <c r="BO6" s="107">
        <f t="shared" si="4"/>
        <v>680672.8558796111</v>
      </c>
      <c r="BP6" s="107">
        <f t="shared" si="4"/>
        <v>691748.32263608114</v>
      </c>
      <c r="BQ6" s="107">
        <f t="shared" si="4"/>
        <v>702412.68553895922</v>
      </c>
      <c r="BR6" s="107">
        <f t="shared" si="4"/>
        <v>747676.74547330197</v>
      </c>
      <c r="BS6" s="107">
        <f t="shared" si="4"/>
        <v>747665.1222204474</v>
      </c>
      <c r="BT6" s="107">
        <f t="shared" si="4"/>
        <v>748260.00632203044</v>
      </c>
      <c r="BU6" s="107">
        <f t="shared" si="4"/>
        <v>748683.0024333084</v>
      </c>
      <c r="BV6" s="107">
        <f t="shared" si="4"/>
        <v>746293.56487758935</v>
      </c>
      <c r="BW6" s="107">
        <f t="shared" si="4"/>
        <v>697973.06081523211</v>
      </c>
      <c r="BX6" s="107">
        <f t="shared" si="4"/>
        <v>711274.86565767322</v>
      </c>
      <c r="BY6" s="107">
        <f t="shared" si="4"/>
        <v>701261.85829785396</v>
      </c>
      <c r="BZ6" s="107">
        <f t="shared" si="4"/>
        <v>704272.72712282091</v>
      </c>
      <c r="CA6" s="107">
        <f t="shared" si="4"/>
        <v>675718.05787015252</v>
      </c>
      <c r="CB6" s="107">
        <f t="shared" si="4"/>
        <v>685952.44908789743</v>
      </c>
      <c r="CC6" s="107">
        <f t="shared" si="4"/>
        <v>700839.99410937808</v>
      </c>
      <c r="CD6" s="107">
        <f t="shared" si="4"/>
        <v>757906.33923010505</v>
      </c>
      <c r="CE6" s="107">
        <f t="shared" si="4"/>
        <v>759108.64942749985</v>
      </c>
      <c r="CF6" s="107">
        <f t="shared" si="4"/>
        <v>763047.57611612417</v>
      </c>
      <c r="CG6" s="107">
        <f t="shared" si="4"/>
        <v>763136.24041751889</v>
      </c>
      <c r="CH6" s="107">
        <f t="shared" si="4"/>
        <v>745871.70871572359</v>
      </c>
      <c r="CI6" s="107">
        <f t="shared" si="4"/>
        <v>697413.69249582384</v>
      </c>
      <c r="CJ6" s="107">
        <f t="shared" si="4"/>
        <v>709773.27905250154</v>
      </c>
      <c r="CK6" s="107">
        <f t="shared" si="4"/>
        <v>705439.681406572</v>
      </c>
      <c r="CL6" s="107">
        <f>CL46+CL74</f>
        <v>707442.09442747524</v>
      </c>
      <c r="CM6" s="107">
        <f t="shared" si="4"/>
        <v>679050.88397745858</v>
      </c>
      <c r="CN6" s="107">
        <f t="shared" si="4"/>
        <v>687755.81713851192</v>
      </c>
      <c r="CO6" s="107">
        <f t="shared" si="4"/>
        <v>708169.86477983138</v>
      </c>
      <c r="CP6" s="107">
        <f t="shared" si="4"/>
        <v>762774.310581367</v>
      </c>
      <c r="CQ6" s="107">
        <f t="shared" si="4"/>
        <v>763848.01223953115</v>
      </c>
      <c r="CR6" s="107">
        <f t="shared" si="4"/>
        <v>766207.64984248159</v>
      </c>
      <c r="CS6" s="107">
        <f t="shared" si="4"/>
        <v>766443.81738150783</v>
      </c>
      <c r="CT6" s="107">
        <f t="shared" si="4"/>
        <v>751623.51408230013</v>
      </c>
      <c r="CU6" s="107">
        <f t="shared" si="4"/>
        <v>698525.87270635483</v>
      </c>
      <c r="CV6" s="107">
        <f t="shared" si="4"/>
        <v>710977.81914404035</v>
      </c>
      <c r="CW6" s="107">
        <f t="shared" si="4"/>
        <v>703434.05227015354</v>
      </c>
      <c r="CX6" s="107">
        <f t="shared" si="4"/>
        <v>703796.33201832615</v>
      </c>
      <c r="CY6" s="107">
        <f t="shared" si="4"/>
        <v>682093.19426339003</v>
      </c>
      <c r="CZ6" s="107">
        <f t="shared" si="4"/>
        <v>692119.48184903234</v>
      </c>
      <c r="DA6" s="107">
        <f t="shared" ref="DA6:DT10" si="5">DA46+DA74</f>
        <v>707549.01177493739</v>
      </c>
      <c r="DB6" s="107">
        <f t="shared" si="5"/>
        <v>760227.85400903353</v>
      </c>
      <c r="DC6" s="107">
        <f t="shared" si="5"/>
        <v>761412.15729524498</v>
      </c>
      <c r="DD6" s="107">
        <f t="shared" si="5"/>
        <v>763307.83924274193</v>
      </c>
      <c r="DE6" s="107">
        <f t="shared" si="5"/>
        <v>763595.42103771272</v>
      </c>
      <c r="DF6" s="107">
        <f t="shared" si="5"/>
        <v>752698.72448103142</v>
      </c>
      <c r="DG6" s="107">
        <f t="shared" si="5"/>
        <v>702016.42577581224</v>
      </c>
      <c r="DH6" s="107">
        <f t="shared" si="5"/>
        <v>714968.46437064069</v>
      </c>
      <c r="DI6" s="107">
        <f t="shared" si="5"/>
        <v>709585.76806894457</v>
      </c>
      <c r="DJ6" s="107">
        <f t="shared" si="5"/>
        <v>710169.35961533943</v>
      </c>
      <c r="DK6" s="107">
        <f t="shared" si="5"/>
        <v>682285.81429709541</v>
      </c>
      <c r="DL6" s="107">
        <f t="shared" si="5"/>
        <v>691880.10289582401</v>
      </c>
      <c r="DM6" s="107">
        <f t="shared" si="5"/>
        <v>708819.67504572088</v>
      </c>
      <c r="DN6" s="107">
        <f t="shared" si="5"/>
        <v>763992.48498580139</v>
      </c>
      <c r="DO6" s="107">
        <f t="shared" si="5"/>
        <v>765473.38456630451</v>
      </c>
      <c r="DP6" s="107">
        <f t="shared" si="5"/>
        <v>768498.08263471769</v>
      </c>
      <c r="DQ6" s="107">
        <f t="shared" si="5"/>
        <v>768293.52296714205</v>
      </c>
      <c r="DR6" s="107">
        <f t="shared" si="5"/>
        <v>754349.50556365948</v>
      </c>
      <c r="DS6" s="107">
        <f t="shared" si="5"/>
        <v>703645.74867942673</v>
      </c>
      <c r="DT6" s="107">
        <f t="shared" si="5"/>
        <v>716089.60078415298</v>
      </c>
    </row>
    <row r="7" spans="1:271" s="112" customFormat="1" x14ac:dyDescent="0.25">
      <c r="A7" s="117" t="s">
        <v>213</v>
      </c>
      <c r="B7" s="117"/>
      <c r="C7" s="117"/>
      <c r="D7" s="117"/>
      <c r="E7" s="117"/>
      <c r="F7" s="117"/>
      <c r="G7" s="117"/>
      <c r="H7" s="117"/>
      <c r="I7" s="117"/>
      <c r="J7" s="117"/>
      <c r="K7" s="117"/>
      <c r="L7" s="117"/>
      <c r="M7" s="117"/>
      <c r="N7" s="117"/>
      <c r="O7" s="117"/>
      <c r="P7" s="117"/>
      <c r="Q7" s="117"/>
      <c r="R7" s="117"/>
      <c r="S7" s="117"/>
      <c r="T7" s="117"/>
      <c r="U7" s="117"/>
      <c r="V7" s="117"/>
      <c r="W7" s="117"/>
      <c r="X7" s="117"/>
      <c r="Y7" s="117"/>
      <c r="Z7" s="115">
        <f t="shared" si="0"/>
        <v>199359.71914056822</v>
      </c>
      <c r="AA7" s="115">
        <f t="shared" si="0"/>
        <v>107073.17593780321</v>
      </c>
      <c r="AB7" s="115">
        <f t="shared" si="0"/>
        <v>83079.244719803173</v>
      </c>
      <c r="AC7" s="115">
        <f t="shared" si="0"/>
        <v>107220.79850935322</v>
      </c>
      <c r="AD7" s="115">
        <f t="shared" si="0"/>
        <v>118349.38445454913</v>
      </c>
      <c r="AE7" s="115">
        <f t="shared" si="0"/>
        <v>303512.80801217229</v>
      </c>
      <c r="AF7" s="115">
        <f t="shared" si="0"/>
        <v>322788.22327933274</v>
      </c>
      <c r="AG7" s="115">
        <f t="shared" si="0"/>
        <v>327401.57981323544</v>
      </c>
      <c r="AH7" s="115">
        <f t="shared" si="0"/>
        <v>332528.6583249555</v>
      </c>
      <c r="AI7" s="115">
        <f t="shared" si="0"/>
        <v>241928.5249487269</v>
      </c>
      <c r="AJ7" s="115">
        <f t="shared" si="0"/>
        <v>135132.98583878358</v>
      </c>
      <c r="AK7" s="115">
        <f t="shared" si="0"/>
        <v>164290.01919811318</v>
      </c>
      <c r="AL7" s="115"/>
      <c r="AM7" s="115"/>
      <c r="AN7" s="115"/>
      <c r="AO7" s="107">
        <f t="shared" si="4"/>
        <v>324041.88560834731</v>
      </c>
      <c r="AP7" s="108">
        <f t="shared" si="4"/>
        <v>200857.6436451007</v>
      </c>
      <c r="AQ7" s="108">
        <f t="shared" si="4"/>
        <v>84554.96108999991</v>
      </c>
      <c r="AR7" s="108">
        <f t="shared" si="4"/>
        <v>84961.085240000029</v>
      </c>
      <c r="AS7" s="108">
        <f t="shared" si="4"/>
        <v>196951.07266000001</v>
      </c>
      <c r="AT7" s="108">
        <f t="shared" si="4"/>
        <v>437446.61145000008</v>
      </c>
      <c r="AU7" s="108">
        <f t="shared" si="4"/>
        <v>418543.68849570001</v>
      </c>
      <c r="AV7" s="108">
        <f t="shared" si="4"/>
        <v>427123.43088430003</v>
      </c>
      <c r="AW7" s="108">
        <f t="shared" si="4"/>
        <v>449359.85358999996</v>
      </c>
      <c r="AX7" s="116">
        <f t="shared" si="4"/>
        <v>309411.52531999996</v>
      </c>
      <c r="AY7" s="111">
        <f t="shared" si="4"/>
        <v>114276.73985680511</v>
      </c>
      <c r="AZ7" s="107">
        <f t="shared" si="4"/>
        <v>153441.17519614502</v>
      </c>
      <c r="BA7" s="107">
        <f t="shared" si="4"/>
        <v>113801.20601779906</v>
      </c>
      <c r="BB7" s="107">
        <f t="shared" si="4"/>
        <v>135259.26395980857</v>
      </c>
      <c r="BC7" s="107">
        <f t="shared" si="4"/>
        <v>132968.89927964323</v>
      </c>
      <c r="BD7" s="107">
        <f t="shared" si="4"/>
        <v>140771.26960674513</v>
      </c>
      <c r="BE7" s="107">
        <f t="shared" si="4"/>
        <v>180204.32505606831</v>
      </c>
      <c r="BF7" s="107">
        <f t="shared" si="4"/>
        <v>282265.49046153529</v>
      </c>
      <c r="BG7" s="107">
        <f t="shared" si="4"/>
        <v>283314.25454144599</v>
      </c>
      <c r="BH7" s="107">
        <f t="shared" si="4"/>
        <v>281914.23195488291</v>
      </c>
      <c r="BI7" s="107">
        <f t="shared" si="4"/>
        <v>261228.07248263416</v>
      </c>
      <c r="BJ7" s="107">
        <f t="shared" si="4"/>
        <v>231222.40336937812</v>
      </c>
      <c r="BK7" s="107">
        <f t="shared" si="4"/>
        <v>123728.25542713</v>
      </c>
      <c r="BL7" s="107">
        <f t="shared" si="4"/>
        <v>147160.22348853847</v>
      </c>
      <c r="BM7" s="107">
        <f t="shared" si="4"/>
        <v>113801.20601779906</v>
      </c>
      <c r="BN7" s="107">
        <f t="shared" si="4"/>
        <v>135259.26395980857</v>
      </c>
      <c r="BO7" s="107">
        <f t="shared" si="4"/>
        <v>132968.89927964323</v>
      </c>
      <c r="BP7" s="107">
        <f t="shared" si="4"/>
        <v>140771.26960674513</v>
      </c>
      <c r="BQ7" s="107">
        <f t="shared" si="4"/>
        <v>180204.32505606831</v>
      </c>
      <c r="BR7" s="107">
        <f t="shared" si="4"/>
        <v>282265.49046153529</v>
      </c>
      <c r="BS7" s="107">
        <f t="shared" si="4"/>
        <v>283314.25454144599</v>
      </c>
      <c r="BT7" s="107">
        <f t="shared" si="4"/>
        <v>281914.23195488291</v>
      </c>
      <c r="BU7" s="107">
        <f t="shared" si="4"/>
        <v>261228.07248263416</v>
      </c>
      <c r="BV7" s="107">
        <f t="shared" si="4"/>
        <v>231222.40336937812</v>
      </c>
      <c r="BW7" s="107">
        <f t="shared" si="4"/>
        <v>123728.25542713</v>
      </c>
      <c r="BX7" s="107">
        <f t="shared" si="4"/>
        <v>147160.22348853847</v>
      </c>
      <c r="BY7" s="107">
        <f t="shared" si="4"/>
        <v>141721.6308828714</v>
      </c>
      <c r="BZ7" s="107">
        <f t="shared" si="4"/>
        <v>148252.94502018334</v>
      </c>
      <c r="CA7" s="107">
        <f t="shared" si="4"/>
        <v>101647.30213036892</v>
      </c>
      <c r="CB7" s="107">
        <f t="shared" si="4"/>
        <v>109792.8254913289</v>
      </c>
      <c r="CC7" s="107">
        <f t="shared" si="4"/>
        <v>173837.67867035349</v>
      </c>
      <c r="CD7" s="107">
        <f t="shared" si="4"/>
        <v>328341.00377103849</v>
      </c>
      <c r="CE7" s="107">
        <f t="shared" si="4"/>
        <v>313592.50457504799</v>
      </c>
      <c r="CF7" s="107">
        <f t="shared" si="4"/>
        <v>306690.07136138517</v>
      </c>
      <c r="CG7" s="107">
        <f t="shared" si="4"/>
        <v>293353.12895807525</v>
      </c>
      <c r="CH7" s="107">
        <f t="shared" si="4"/>
        <v>214579.91289027955</v>
      </c>
      <c r="CI7" s="107">
        <f t="shared" si="4"/>
        <v>110807.02270052885</v>
      </c>
      <c r="CJ7" s="107">
        <f t="shared" si="4"/>
        <v>140315.25143865478</v>
      </c>
      <c r="CK7" s="107">
        <f t="shared" si="4"/>
        <v>138576.16698653501</v>
      </c>
      <c r="CL7" s="107">
        <f t="shared" si="4"/>
        <v>153265.27705566963</v>
      </c>
      <c r="CM7" s="107">
        <f t="shared" si="4"/>
        <v>105302.56239134967</v>
      </c>
      <c r="CN7" s="107">
        <f t="shared" si="4"/>
        <v>117908.15456455181</v>
      </c>
      <c r="CO7" s="107">
        <f t="shared" si="4"/>
        <v>182469.97803010256</v>
      </c>
      <c r="CP7" s="107">
        <f t="shared" si="4"/>
        <v>333828.10844166897</v>
      </c>
      <c r="CQ7" s="107">
        <f t="shared" si="4"/>
        <v>310818.13667102018</v>
      </c>
      <c r="CR7" s="107">
        <f t="shared" si="4"/>
        <v>306297.56911406363</v>
      </c>
      <c r="CS7" s="107">
        <f t="shared" si="4"/>
        <v>292964.09772917471</v>
      </c>
      <c r="CT7" s="107">
        <f t="shared" si="4"/>
        <v>210878.60700396079</v>
      </c>
      <c r="CU7" s="107">
        <f t="shared" si="4"/>
        <v>119725.5231624172</v>
      </c>
      <c r="CV7" s="107">
        <f t="shared" si="4"/>
        <v>136151.46231793234</v>
      </c>
      <c r="CW7" s="107">
        <f t="shared" si="4"/>
        <v>121107.77147793199</v>
      </c>
      <c r="CX7" s="107">
        <f t="shared" si="4"/>
        <v>141720.18921695353</v>
      </c>
      <c r="CY7" s="107">
        <f t="shared" si="4"/>
        <v>127298.43846468194</v>
      </c>
      <c r="CZ7" s="107">
        <f t="shared" si="4"/>
        <v>127125.44682985103</v>
      </c>
      <c r="DA7" s="107">
        <f t="shared" si="5"/>
        <v>160181.62449263054</v>
      </c>
      <c r="DB7" s="107">
        <f t="shared" si="5"/>
        <v>211542.70604695997</v>
      </c>
      <c r="DC7" s="107">
        <f t="shared" si="5"/>
        <v>241832.15354793123</v>
      </c>
      <c r="DD7" s="107">
        <f t="shared" si="5"/>
        <v>300656.04671437491</v>
      </c>
      <c r="DE7" s="107">
        <f t="shared" si="5"/>
        <v>288055.27673514077</v>
      </c>
      <c r="DF7" s="107">
        <f t="shared" si="5"/>
        <v>252569.04440429393</v>
      </c>
      <c r="DG7" s="107">
        <f t="shared" si="5"/>
        <v>176952.81470676194</v>
      </c>
      <c r="DH7" s="107">
        <f t="shared" si="5"/>
        <v>135803.68745929812</v>
      </c>
      <c r="DI7" s="107">
        <f t="shared" si="5"/>
        <v>96792.313252535998</v>
      </c>
      <c r="DJ7" s="107">
        <f t="shared" si="5"/>
        <v>141995.06625826907</v>
      </c>
      <c r="DK7" s="107">
        <f t="shared" si="5"/>
        <v>118735.75506550899</v>
      </c>
      <c r="DL7" s="107">
        <f t="shared" si="5"/>
        <v>144703.98896131702</v>
      </c>
      <c r="DM7" s="107">
        <f t="shared" si="5"/>
        <v>171925.78120066656</v>
      </c>
      <c r="DN7" s="107">
        <f t="shared" si="5"/>
        <v>199876.92926531148</v>
      </c>
      <c r="DO7" s="107">
        <f t="shared" si="5"/>
        <v>172914.45487069341</v>
      </c>
      <c r="DP7" s="107">
        <f t="shared" si="5"/>
        <v>251342.29241772572</v>
      </c>
      <c r="DQ7" s="107">
        <f t="shared" si="5"/>
        <v>294901.50774289703</v>
      </c>
      <c r="DR7" s="107">
        <f t="shared" si="5"/>
        <v>250812.27968471541</v>
      </c>
      <c r="DS7" s="107">
        <f t="shared" si="5"/>
        <v>197307.17727278196</v>
      </c>
      <c r="DT7" s="107">
        <f t="shared" si="5"/>
        <v>191363.39802105189</v>
      </c>
    </row>
    <row r="8" spans="1:271" s="112" customFormat="1" x14ac:dyDescent="0.25">
      <c r="A8" s="120" t="s">
        <v>151</v>
      </c>
      <c r="B8" s="120"/>
      <c r="C8" s="120"/>
      <c r="D8" s="120"/>
      <c r="E8" s="120"/>
      <c r="F8" s="120"/>
      <c r="G8" s="120"/>
      <c r="H8" s="120"/>
      <c r="I8" s="120"/>
      <c r="J8" s="120"/>
      <c r="K8" s="120"/>
      <c r="L8" s="120"/>
      <c r="M8" s="120"/>
      <c r="N8" s="120"/>
      <c r="O8" s="120"/>
      <c r="P8" s="120"/>
      <c r="Q8" s="120"/>
      <c r="R8" s="120"/>
      <c r="S8" s="120"/>
      <c r="T8" s="120"/>
      <c r="U8" s="120"/>
      <c r="V8" s="120"/>
      <c r="W8" s="120"/>
      <c r="X8" s="120"/>
      <c r="Y8" s="120"/>
      <c r="Z8" s="115">
        <f t="shared" si="0"/>
        <v>190413.26871133398</v>
      </c>
      <c r="AA8" s="115">
        <f t="shared" si="0"/>
        <v>190003.68032960265</v>
      </c>
      <c r="AB8" s="115">
        <f t="shared" si="0"/>
        <v>177810.96437748935</v>
      </c>
      <c r="AC8" s="115">
        <f t="shared" si="0"/>
        <v>183266.35520524511</v>
      </c>
      <c r="AD8" s="115">
        <f t="shared" si="0"/>
        <v>186097.06981708153</v>
      </c>
      <c r="AE8" s="115">
        <f t="shared" si="0"/>
        <v>219297.93378554765</v>
      </c>
      <c r="AF8" s="115">
        <f t="shared" si="0"/>
        <v>231884.79724611557</v>
      </c>
      <c r="AG8" s="115">
        <f t="shared" si="0"/>
        <v>226721.15334361256</v>
      </c>
      <c r="AH8" s="115">
        <f t="shared" si="0"/>
        <v>228432.41536007143</v>
      </c>
      <c r="AI8" s="115">
        <f t="shared" si="0"/>
        <v>214331.6540628295</v>
      </c>
      <c r="AJ8" s="115">
        <f t="shared" si="0"/>
        <v>194417.5104517719</v>
      </c>
      <c r="AK8" s="115">
        <f t="shared" si="0"/>
        <v>185733.0944210123</v>
      </c>
      <c r="AL8" s="115"/>
      <c r="AM8" s="115"/>
      <c r="AN8" s="115"/>
      <c r="AO8" s="107">
        <f t="shared" si="4"/>
        <v>205212.66784000001</v>
      </c>
      <c r="AP8" s="107">
        <f t="shared" si="4"/>
        <v>183062.88815999997</v>
      </c>
      <c r="AQ8" s="108">
        <f t="shared" si="4"/>
        <v>171543.93036</v>
      </c>
      <c r="AR8" s="108">
        <f t="shared" si="4"/>
        <v>174699.38912000001</v>
      </c>
      <c r="AS8" s="108">
        <f t="shared" si="4"/>
        <v>197993.10175999999</v>
      </c>
      <c r="AT8" s="107">
        <f t="shared" si="4"/>
        <v>238631.01671999999</v>
      </c>
      <c r="AU8" s="107">
        <f t="shared" si="4"/>
        <v>229632.44555999996</v>
      </c>
      <c r="AV8" s="107">
        <f t="shared" si="4"/>
        <v>242200.17196000001</v>
      </c>
      <c r="AW8" s="107">
        <f t="shared" si="4"/>
        <v>238989.66623999999</v>
      </c>
      <c r="AX8" s="110">
        <f t="shared" si="4"/>
        <v>227321.39827999999</v>
      </c>
      <c r="AY8" s="111">
        <f t="shared" si="4"/>
        <v>192555.25583162956</v>
      </c>
      <c r="AZ8" s="107">
        <f t="shared" si="4"/>
        <v>186410.39689352771</v>
      </c>
      <c r="BA8" s="107">
        <f t="shared" si="4"/>
        <v>185397.12436637492</v>
      </c>
      <c r="BB8" s="107">
        <f t="shared" si="4"/>
        <v>185992.88345754729</v>
      </c>
      <c r="BC8" s="107">
        <f t="shared" si="4"/>
        <v>177877.84392250958</v>
      </c>
      <c r="BD8" s="107">
        <f t="shared" si="4"/>
        <v>180826.00275849807</v>
      </c>
      <c r="BE8" s="107">
        <f t="shared" si="4"/>
        <v>198286.03218254604</v>
      </c>
      <c r="BF8" s="107">
        <f t="shared" si="4"/>
        <v>215787.51844239511</v>
      </c>
      <c r="BG8" s="107">
        <f t="shared" si="4"/>
        <v>214857.87647815456</v>
      </c>
      <c r="BH8" s="107">
        <f t="shared" si="4"/>
        <v>214924.27947560031</v>
      </c>
      <c r="BI8" s="107">
        <f t="shared" si="4"/>
        <v>215189.89146538332</v>
      </c>
      <c r="BJ8" s="107">
        <f t="shared" si="4"/>
        <v>210337.18037853221</v>
      </c>
      <c r="BK8" s="107">
        <f t="shared" si="4"/>
        <v>190590.07892506255</v>
      </c>
      <c r="BL8" s="107">
        <f t="shared" si="4"/>
        <v>181864.5955142405</v>
      </c>
      <c r="BM8" s="107">
        <f t="shared" si="4"/>
        <v>185397.12436637492</v>
      </c>
      <c r="BN8" s="107">
        <f t="shared" si="4"/>
        <v>185992.88345754729</v>
      </c>
      <c r="BO8" s="107">
        <f t="shared" si="4"/>
        <v>177877.84392250958</v>
      </c>
      <c r="BP8" s="107">
        <f t="shared" si="4"/>
        <v>180826.00275849807</v>
      </c>
      <c r="BQ8" s="107">
        <f t="shared" si="4"/>
        <v>198286.03218254604</v>
      </c>
      <c r="BR8" s="107">
        <f t="shared" si="4"/>
        <v>215787.51844239511</v>
      </c>
      <c r="BS8" s="107">
        <f t="shared" si="4"/>
        <v>214857.87647815456</v>
      </c>
      <c r="BT8" s="107">
        <f t="shared" si="4"/>
        <v>214924.27947560031</v>
      </c>
      <c r="BU8" s="107">
        <f t="shared" si="4"/>
        <v>215189.89146538332</v>
      </c>
      <c r="BV8" s="107">
        <f t="shared" si="4"/>
        <v>210337.18037853221</v>
      </c>
      <c r="BW8" s="107">
        <f t="shared" si="4"/>
        <v>190590.07892506255</v>
      </c>
      <c r="BX8" s="107">
        <f t="shared" si="4"/>
        <v>181864.5955142405</v>
      </c>
      <c r="BY8" s="107">
        <f t="shared" si="4"/>
        <v>184865.11108712238</v>
      </c>
      <c r="BZ8" s="107">
        <f t="shared" si="4"/>
        <v>186322.24113923172</v>
      </c>
      <c r="CA8" s="107">
        <f t="shared" si="4"/>
        <v>174465.88845030998</v>
      </c>
      <c r="CB8" s="107">
        <f t="shared" si="4"/>
        <v>179486.25441559125</v>
      </c>
      <c r="CC8" s="107">
        <f t="shared" si="4"/>
        <v>192621.08853482519</v>
      </c>
      <c r="CD8" s="107">
        <f t="shared" si="4"/>
        <v>220252.07804035395</v>
      </c>
      <c r="CE8" s="107">
        <f t="shared" si="4"/>
        <v>220118.8697822399</v>
      </c>
      <c r="CF8" s="107">
        <f t="shared" si="4"/>
        <v>222490.0694077794</v>
      </c>
      <c r="CG8" s="107">
        <f t="shared" si="4"/>
        <v>221883.3478858468</v>
      </c>
      <c r="CH8" s="107">
        <f t="shared" si="4"/>
        <v>210827.44855699234</v>
      </c>
      <c r="CI8" s="107">
        <f t="shared" si="4"/>
        <v>191079.13944200677</v>
      </c>
      <c r="CJ8" s="107">
        <f t="shared" si="4"/>
        <v>183104.30363014573</v>
      </c>
      <c r="CK8" s="107">
        <f t="shared" si="4"/>
        <v>184385.35259570531</v>
      </c>
      <c r="CL8" s="107">
        <f t="shared" si="4"/>
        <v>186686.34351432315</v>
      </c>
      <c r="CM8" s="107">
        <f t="shared" si="4"/>
        <v>175365.64027283512</v>
      </c>
      <c r="CN8" s="107">
        <f t="shared" si="4"/>
        <v>180001.82279698557</v>
      </c>
      <c r="CO8" s="107">
        <f t="shared" si="4"/>
        <v>196084.83155645116</v>
      </c>
      <c r="CP8" s="107">
        <f t="shared" si="4"/>
        <v>222578.99716215429</v>
      </c>
      <c r="CQ8" s="107">
        <f t="shared" si="4"/>
        <v>220201.02274471207</v>
      </c>
      <c r="CR8" s="107">
        <f t="shared" si="4"/>
        <v>224912.75528786055</v>
      </c>
      <c r="CS8" s="107">
        <f t="shared" si="4"/>
        <v>223837.36188800453</v>
      </c>
      <c r="CT8" s="107">
        <f t="shared" si="4"/>
        <v>214305.63066125434</v>
      </c>
      <c r="CU8" s="107">
        <f t="shared" si="4"/>
        <v>191221.22538783404</v>
      </c>
      <c r="CV8" s="107">
        <f t="shared" si="4"/>
        <v>183726.60018652288</v>
      </c>
      <c r="CW8" s="107">
        <f t="shared" si="4"/>
        <v>185213.69041371363</v>
      </c>
      <c r="CX8" s="107">
        <f t="shared" si="4"/>
        <v>186884.21892383732</v>
      </c>
      <c r="CY8" s="107">
        <f t="shared" si="4"/>
        <v>176936.31803799595</v>
      </c>
      <c r="CZ8" s="107">
        <f t="shared" si="4"/>
        <v>181153.98158247329</v>
      </c>
      <c r="DA8" s="107">
        <f t="shared" si="5"/>
        <v>196353.72543553278</v>
      </c>
      <c r="DB8" s="107">
        <f t="shared" si="5"/>
        <v>220371.56968669317</v>
      </c>
      <c r="DC8" s="107">
        <f t="shared" si="5"/>
        <v>220041.03937648187</v>
      </c>
      <c r="DD8" s="107">
        <f t="shared" si="5"/>
        <v>221614.24459768453</v>
      </c>
      <c r="DE8" s="107">
        <f t="shared" si="5"/>
        <v>221115.21484268579</v>
      </c>
      <c r="DF8" s="107">
        <f t="shared" si="5"/>
        <v>213104.81019135501</v>
      </c>
      <c r="DG8" s="107">
        <f t="shared" si="5"/>
        <v>191619.70298179684</v>
      </c>
      <c r="DH8" s="107">
        <f t="shared" si="5"/>
        <v>183767.15841495781</v>
      </c>
      <c r="DI8" s="107">
        <f t="shared" si="5"/>
        <v>185328.50054083642</v>
      </c>
      <c r="DJ8" s="107">
        <f t="shared" si="5"/>
        <v>186922.52906201672</v>
      </c>
      <c r="DK8" s="107">
        <f t="shared" si="5"/>
        <v>176223.48491722814</v>
      </c>
      <c r="DL8" s="107">
        <f t="shared" si="5"/>
        <v>181392.46515806107</v>
      </c>
      <c r="DM8" s="107">
        <f t="shared" si="5"/>
        <v>196023.74804243751</v>
      </c>
      <c r="DN8" s="107">
        <f t="shared" si="5"/>
        <v>221741.68054512079</v>
      </c>
      <c r="DO8" s="107">
        <f t="shared" si="5"/>
        <v>221352.46767551766</v>
      </c>
      <c r="DP8" s="107">
        <f t="shared" si="5"/>
        <v>224622.73884407087</v>
      </c>
      <c r="DQ8" s="107">
        <f t="shared" si="5"/>
        <v>223000.58262579364</v>
      </c>
      <c r="DR8" s="107">
        <f t="shared" si="5"/>
        <v>213615.05073370645</v>
      </c>
      <c r="DS8" s="107">
        <f t="shared" si="5"/>
        <v>192360.08015937076</v>
      </c>
      <c r="DT8" s="107">
        <f t="shared" si="5"/>
        <v>184207.51930946199</v>
      </c>
    </row>
    <row r="9" spans="1:271" s="112" customFormat="1" x14ac:dyDescent="0.25">
      <c r="A9" s="120" t="s">
        <v>228</v>
      </c>
      <c r="B9" s="120"/>
      <c r="C9" s="120"/>
      <c r="D9" s="120"/>
      <c r="E9" s="120"/>
      <c r="F9" s="120"/>
      <c r="G9" s="120"/>
      <c r="H9" s="120"/>
      <c r="I9" s="120"/>
      <c r="J9" s="120"/>
      <c r="K9" s="120"/>
      <c r="L9" s="120"/>
      <c r="M9" s="120"/>
      <c r="N9" s="120"/>
      <c r="O9" s="120"/>
      <c r="P9" s="120"/>
      <c r="Q9" s="120"/>
      <c r="R9" s="120"/>
      <c r="S9" s="120"/>
      <c r="T9" s="120"/>
      <c r="U9" s="120"/>
      <c r="V9" s="120"/>
      <c r="W9" s="120"/>
      <c r="X9" s="120"/>
      <c r="Y9" s="120"/>
      <c r="Z9" s="115">
        <f t="shared" si="0"/>
        <v>297960.49564285623</v>
      </c>
      <c r="AA9" s="115">
        <f t="shared" si="0"/>
        <v>295337.42921995063</v>
      </c>
      <c r="AB9" s="115">
        <f t="shared" si="0"/>
        <v>272502.76219448273</v>
      </c>
      <c r="AC9" s="115">
        <f t="shared" si="0"/>
        <v>274814.68614098034</v>
      </c>
      <c r="AD9" s="115">
        <f t="shared" si="0"/>
        <v>281584.93942963326</v>
      </c>
      <c r="AE9" s="115">
        <f t="shared" si="0"/>
        <v>309284.86181533983</v>
      </c>
      <c r="AF9" s="115">
        <f t="shared" si="0"/>
        <v>319711.14189060824</v>
      </c>
      <c r="AG9" s="115">
        <f t="shared" si="0"/>
        <v>321297.12610938388</v>
      </c>
      <c r="AH9" s="115">
        <f t="shared" si="0"/>
        <v>330104.1545726714</v>
      </c>
      <c r="AI9" s="115">
        <f t="shared" si="0"/>
        <v>324641.20684696519</v>
      </c>
      <c r="AJ9" s="115">
        <f t="shared" si="0"/>
        <v>313153.03778679902</v>
      </c>
      <c r="AK9" s="115">
        <f t="shared" si="0"/>
        <v>295384.36003432341</v>
      </c>
      <c r="AL9" s="115"/>
      <c r="AM9" s="115"/>
      <c r="AN9" s="115"/>
      <c r="AO9" s="107">
        <f t="shared" si="4"/>
        <v>292364.03022000002</v>
      </c>
      <c r="AP9" s="107">
        <f t="shared" si="4"/>
        <v>287054.75219999999</v>
      </c>
      <c r="AQ9" s="108">
        <f t="shared" si="4"/>
        <v>259271.51782000004</v>
      </c>
      <c r="AR9" s="108">
        <f t="shared" si="4"/>
        <v>269719.32229999994</v>
      </c>
      <c r="AS9" s="108">
        <f t="shared" si="4"/>
        <v>291992.62248000002</v>
      </c>
      <c r="AT9" s="107">
        <f t="shared" si="4"/>
        <v>333113.24789999996</v>
      </c>
      <c r="AU9" s="107">
        <f t="shared" si="4"/>
        <v>296386.06686000002</v>
      </c>
      <c r="AV9" s="107">
        <f t="shared" si="4"/>
        <v>317312.22614000004</v>
      </c>
      <c r="AW9" s="107">
        <f t="shared" si="4"/>
        <v>328741.96666000003</v>
      </c>
      <c r="AX9" s="110">
        <f t="shared" si="4"/>
        <v>312333.65468000004</v>
      </c>
      <c r="AY9" s="111">
        <f t="shared" si="4"/>
        <v>308564.06934555294</v>
      </c>
      <c r="AZ9" s="107">
        <f t="shared" si="4"/>
        <v>293042.21235074004</v>
      </c>
      <c r="BA9" s="107">
        <f t="shared" si="4"/>
        <v>269508.11967984564</v>
      </c>
      <c r="BB9" s="107">
        <f t="shared" si="4"/>
        <v>283964.09254436835</v>
      </c>
      <c r="BC9" s="107">
        <f t="shared" si="4"/>
        <v>270677.74024999252</v>
      </c>
      <c r="BD9" s="107">
        <f t="shared" si="4"/>
        <v>265962.7102811205</v>
      </c>
      <c r="BE9" s="107">
        <f t="shared" si="4"/>
        <v>286867.12136942375</v>
      </c>
      <c r="BF9" s="107">
        <f t="shared" si="4"/>
        <v>299505.77885968203</v>
      </c>
      <c r="BG9" s="107">
        <f t="shared" si="4"/>
        <v>301441.21411834063</v>
      </c>
      <c r="BH9" s="107">
        <f t="shared" si="4"/>
        <v>305152.49185272632</v>
      </c>
      <c r="BI9" s="107">
        <f t="shared" si="4"/>
        <v>299507.72139642341</v>
      </c>
      <c r="BJ9" s="107">
        <f t="shared" si="4"/>
        <v>315459.46409306733</v>
      </c>
      <c r="BK9" s="107">
        <f t="shared" si="4"/>
        <v>303388.5546685576</v>
      </c>
      <c r="BL9" s="107">
        <f t="shared" si="4"/>
        <v>285359.62809720426</v>
      </c>
      <c r="BM9" s="107">
        <f t="shared" si="4"/>
        <v>269508.11967984564</v>
      </c>
      <c r="BN9" s="107">
        <f t="shared" si="4"/>
        <v>283964.09254436835</v>
      </c>
      <c r="BO9" s="107">
        <f t="shared" si="4"/>
        <v>270677.74024999252</v>
      </c>
      <c r="BP9" s="107">
        <f t="shared" si="4"/>
        <v>265962.7102811205</v>
      </c>
      <c r="BQ9" s="107">
        <f t="shared" si="4"/>
        <v>286867.12136942375</v>
      </c>
      <c r="BR9" s="107">
        <f t="shared" si="4"/>
        <v>299505.77885968203</v>
      </c>
      <c r="BS9" s="107">
        <f t="shared" si="4"/>
        <v>301441.21411834063</v>
      </c>
      <c r="BT9" s="107">
        <f t="shared" si="4"/>
        <v>305152.49185272632</v>
      </c>
      <c r="BU9" s="107">
        <f t="shared" si="4"/>
        <v>299507.72139642341</v>
      </c>
      <c r="BV9" s="107">
        <f t="shared" si="4"/>
        <v>315459.46409306733</v>
      </c>
      <c r="BW9" s="107">
        <f t="shared" si="4"/>
        <v>303388.5546685576</v>
      </c>
      <c r="BX9" s="107">
        <f t="shared" si="4"/>
        <v>285359.62809720426</v>
      </c>
      <c r="BY9" s="107">
        <f t="shared" si="4"/>
        <v>282660.70592792035</v>
      </c>
      <c r="BZ9" s="107">
        <f t="shared" si="4"/>
        <v>289373.28066624032</v>
      </c>
      <c r="CA9" s="107">
        <f t="shared" si="4"/>
        <v>268346.55048687826</v>
      </c>
      <c r="CB9" s="107">
        <f t="shared" si="4"/>
        <v>269157.24688600836</v>
      </c>
      <c r="CC9" s="107">
        <f t="shared" si="4"/>
        <v>283810.19716746348</v>
      </c>
      <c r="CD9" s="107">
        <f t="shared" si="4"/>
        <v>305036.91898129834</v>
      </c>
      <c r="CE9" s="107">
        <f t="shared" si="4"/>
        <v>304385.7157990422</v>
      </c>
      <c r="CF9" s="107">
        <f t="shared" si="4"/>
        <v>314765.03770875983</v>
      </c>
      <c r="CG9" s="107">
        <f t="shared" si="4"/>
        <v>322475.64754360297</v>
      </c>
      <c r="CH9" s="107">
        <f t="shared" si="4"/>
        <v>322213.41535566939</v>
      </c>
      <c r="CI9" s="107">
        <f t="shared" si="4"/>
        <v>309764.23309305322</v>
      </c>
      <c r="CJ9" s="107">
        <f t="shared" si="4"/>
        <v>294962.95823254046</v>
      </c>
      <c r="CK9" s="107">
        <f t="shared" si="4"/>
        <v>275534.03884352423</v>
      </c>
      <c r="CL9" s="107">
        <f t="shared" si="4"/>
        <v>286288.7950519381</v>
      </c>
      <c r="CM9" s="107">
        <f t="shared" si="4"/>
        <v>265768.66148954479</v>
      </c>
      <c r="CN9" s="107">
        <f t="shared" si="4"/>
        <v>268039.15277959453</v>
      </c>
      <c r="CO9" s="107">
        <f t="shared" si="4"/>
        <v>284769.54089474829</v>
      </c>
      <c r="CP9" s="107">
        <f t="shared" si="4"/>
        <v>305597.51698294049</v>
      </c>
      <c r="CQ9" s="107">
        <f t="shared" si="4"/>
        <v>302704.53663577797</v>
      </c>
      <c r="CR9" s="107">
        <f t="shared" si="4"/>
        <v>315502.52721519984</v>
      </c>
      <c r="CS9" s="107">
        <f t="shared" si="4"/>
        <v>320537.06505266717</v>
      </c>
      <c r="CT9" s="107">
        <f t="shared" si="4"/>
        <v>322339.2618849607</v>
      </c>
      <c r="CU9" s="107">
        <f t="shared" si="4"/>
        <v>308305.12526368233</v>
      </c>
      <c r="CV9" s="107">
        <f t="shared" si="4"/>
        <v>289767.88776599127</v>
      </c>
      <c r="CW9" s="107">
        <f t="shared" si="4"/>
        <v>279312.52695920144</v>
      </c>
      <c r="CX9" s="107">
        <f t="shared" si="4"/>
        <v>289616.29348411853</v>
      </c>
      <c r="CY9" s="107">
        <f t="shared" si="4"/>
        <v>269526.78681335674</v>
      </c>
      <c r="CZ9" s="107">
        <f t="shared" si="4"/>
        <v>269153.3596579032</v>
      </c>
      <c r="DA9" s="107">
        <f t="shared" si="5"/>
        <v>287782.79189587641</v>
      </c>
      <c r="DB9" s="107">
        <f t="shared" si="5"/>
        <v>304941.10526264325</v>
      </c>
      <c r="DC9" s="107">
        <f t="shared" si="5"/>
        <v>304689.5224983329</v>
      </c>
      <c r="DD9" s="107">
        <f t="shared" si="5"/>
        <v>313510.11888243724</v>
      </c>
      <c r="DE9" s="107">
        <f t="shared" si="5"/>
        <v>314445.44025326223</v>
      </c>
      <c r="DF9" s="107">
        <f t="shared" si="5"/>
        <v>319591.88721016416</v>
      </c>
      <c r="DG9" s="107">
        <f t="shared" si="5"/>
        <v>308687.76303903892</v>
      </c>
      <c r="DH9" s="107">
        <f t="shared" si="5"/>
        <v>291166.17525085353</v>
      </c>
      <c r="DI9" s="107">
        <f t="shared" si="5"/>
        <v>284707.03595180181</v>
      </c>
      <c r="DJ9" s="107">
        <f t="shared" si="5"/>
        <v>293035.08816530008</v>
      </c>
      <c r="DK9" s="107">
        <f t="shared" si="5"/>
        <v>270976.19729181658</v>
      </c>
      <c r="DL9" s="107">
        <f t="shared" si="5"/>
        <v>269711.27940757037</v>
      </c>
      <c r="DM9" s="107">
        <f t="shared" si="5"/>
        <v>286778.91264203872</v>
      </c>
      <c r="DN9" s="107">
        <f t="shared" si="5"/>
        <v>307668.49932277272</v>
      </c>
      <c r="DO9" s="107">
        <f t="shared" si="5"/>
        <v>305367.50166444131</v>
      </c>
      <c r="DP9" s="107">
        <f t="shared" si="5"/>
        <v>315513.90990880097</v>
      </c>
      <c r="DQ9" s="107">
        <f t="shared" si="5"/>
        <v>318785.12046672165</v>
      </c>
      <c r="DR9" s="107">
        <f t="shared" si="5"/>
        <v>319608.48862509872</v>
      </c>
      <c r="DS9" s="107">
        <f t="shared" si="5"/>
        <v>308675.05440961313</v>
      </c>
      <c r="DT9" s="107">
        <f t="shared" si="5"/>
        <v>293301.50446216494</v>
      </c>
    </row>
    <row r="10" spans="1:271" s="112" customFormat="1" x14ac:dyDescent="0.25">
      <c r="A10" s="120" t="s">
        <v>215</v>
      </c>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15" t="e">
        <f t="shared" si="0"/>
        <v>#REF!</v>
      </c>
      <c r="AA10" s="115" t="e">
        <f t="shared" si="0"/>
        <v>#REF!</v>
      </c>
      <c r="AB10" s="115" t="e">
        <f t="shared" si="0"/>
        <v>#REF!</v>
      </c>
      <c r="AC10" s="115" t="e">
        <f t="shared" si="0"/>
        <v>#REF!</v>
      </c>
      <c r="AD10" s="115" t="e">
        <f t="shared" si="0"/>
        <v>#REF!</v>
      </c>
      <c r="AE10" s="115" t="e">
        <f t="shared" si="0"/>
        <v>#REF!</v>
      </c>
      <c r="AF10" s="115" t="e">
        <f t="shared" si="0"/>
        <v>#REF!</v>
      </c>
      <c r="AG10" s="115" t="e">
        <f t="shared" si="0"/>
        <v>#REF!</v>
      </c>
      <c r="AH10" s="115" t="e">
        <f t="shared" si="0"/>
        <v>#REF!</v>
      </c>
      <c r="AI10" s="115" t="e">
        <f t="shared" si="0"/>
        <v>#REF!</v>
      </c>
      <c r="AJ10" s="115" t="e">
        <f t="shared" si="0"/>
        <v>#REF!</v>
      </c>
      <c r="AK10" s="115" t="e">
        <f t="shared" si="0"/>
        <v>#REF!</v>
      </c>
      <c r="AL10" s="115"/>
      <c r="AM10" s="115"/>
      <c r="AN10" s="115"/>
      <c r="AO10" s="107" t="e">
        <f t="shared" si="4"/>
        <v>#REF!</v>
      </c>
      <c r="AP10" s="107" t="e">
        <f t="shared" ref="AP10:DA10" si="6">AP50+AP78</f>
        <v>#REF!</v>
      </c>
      <c r="AQ10" s="108" t="e">
        <f t="shared" si="6"/>
        <v>#REF!</v>
      </c>
      <c r="AR10" s="108" t="e">
        <f t="shared" si="6"/>
        <v>#REF!</v>
      </c>
      <c r="AS10" s="108" t="e">
        <f t="shared" si="6"/>
        <v>#REF!</v>
      </c>
      <c r="AT10" s="107" t="e">
        <f t="shared" si="6"/>
        <v>#REF!</v>
      </c>
      <c r="AU10" s="107" t="e">
        <f t="shared" si="6"/>
        <v>#REF!</v>
      </c>
      <c r="AV10" s="107" t="e">
        <f t="shared" si="6"/>
        <v>#REF!</v>
      </c>
      <c r="AW10" s="107" t="e">
        <f t="shared" si="6"/>
        <v>#REF!</v>
      </c>
      <c r="AX10" s="110" t="e">
        <f t="shared" si="6"/>
        <v>#REF!</v>
      </c>
      <c r="AY10" s="111" t="e">
        <f t="shared" si="6"/>
        <v>#REF!</v>
      </c>
      <c r="AZ10" s="107" t="e">
        <f t="shared" si="6"/>
        <v>#REF!</v>
      </c>
      <c r="BA10" s="107" t="e">
        <f t="shared" si="6"/>
        <v>#REF!</v>
      </c>
      <c r="BB10" s="107" t="e">
        <f t="shared" si="6"/>
        <v>#REF!</v>
      </c>
      <c r="BC10" s="107" t="e">
        <f t="shared" si="6"/>
        <v>#REF!</v>
      </c>
      <c r="BD10" s="107" t="e">
        <f t="shared" si="6"/>
        <v>#REF!</v>
      </c>
      <c r="BE10" s="107" t="e">
        <f t="shared" si="6"/>
        <v>#REF!</v>
      </c>
      <c r="BF10" s="107" t="e">
        <f t="shared" si="6"/>
        <v>#REF!</v>
      </c>
      <c r="BG10" s="107" t="e">
        <f t="shared" si="6"/>
        <v>#REF!</v>
      </c>
      <c r="BH10" s="107" t="e">
        <f t="shared" si="6"/>
        <v>#REF!</v>
      </c>
      <c r="BI10" s="107" t="e">
        <f t="shared" si="6"/>
        <v>#REF!</v>
      </c>
      <c r="BJ10" s="107" t="e">
        <f t="shared" si="6"/>
        <v>#REF!</v>
      </c>
      <c r="BK10" s="107" t="e">
        <f t="shared" si="6"/>
        <v>#REF!</v>
      </c>
      <c r="BL10" s="107" t="e">
        <f t="shared" si="6"/>
        <v>#REF!</v>
      </c>
      <c r="BM10" s="107" t="e">
        <f t="shared" si="6"/>
        <v>#REF!</v>
      </c>
      <c r="BN10" s="107" t="e">
        <f t="shared" si="6"/>
        <v>#REF!</v>
      </c>
      <c r="BO10" s="107" t="e">
        <f t="shared" si="6"/>
        <v>#REF!</v>
      </c>
      <c r="BP10" s="107" t="e">
        <f t="shared" si="6"/>
        <v>#REF!</v>
      </c>
      <c r="BQ10" s="107" t="e">
        <f t="shared" si="6"/>
        <v>#REF!</v>
      </c>
      <c r="BR10" s="107" t="e">
        <f t="shared" si="6"/>
        <v>#REF!</v>
      </c>
      <c r="BS10" s="107" t="e">
        <f t="shared" si="6"/>
        <v>#REF!</v>
      </c>
      <c r="BT10" s="107" t="e">
        <f t="shared" si="6"/>
        <v>#REF!</v>
      </c>
      <c r="BU10" s="107" t="e">
        <f t="shared" si="6"/>
        <v>#REF!</v>
      </c>
      <c r="BV10" s="107" t="e">
        <f t="shared" si="6"/>
        <v>#REF!</v>
      </c>
      <c r="BW10" s="107" t="e">
        <f t="shared" si="6"/>
        <v>#REF!</v>
      </c>
      <c r="BX10" s="107" t="e">
        <f t="shared" si="6"/>
        <v>#REF!</v>
      </c>
      <c r="BY10" s="107" t="e">
        <f t="shared" si="6"/>
        <v>#REF!</v>
      </c>
      <c r="BZ10" s="107" t="e">
        <f t="shared" si="6"/>
        <v>#REF!</v>
      </c>
      <c r="CA10" s="107" t="e">
        <f t="shared" si="6"/>
        <v>#REF!</v>
      </c>
      <c r="CB10" s="107" t="e">
        <f t="shared" si="6"/>
        <v>#REF!</v>
      </c>
      <c r="CC10" s="107" t="e">
        <f t="shared" si="6"/>
        <v>#REF!</v>
      </c>
      <c r="CD10" s="107" t="e">
        <f t="shared" si="6"/>
        <v>#REF!</v>
      </c>
      <c r="CE10" s="107" t="e">
        <f t="shared" si="6"/>
        <v>#REF!</v>
      </c>
      <c r="CF10" s="107" t="e">
        <f t="shared" si="6"/>
        <v>#REF!</v>
      </c>
      <c r="CG10" s="107" t="e">
        <f t="shared" si="6"/>
        <v>#REF!</v>
      </c>
      <c r="CH10" s="107" t="e">
        <f t="shared" si="6"/>
        <v>#REF!</v>
      </c>
      <c r="CI10" s="107" t="e">
        <f t="shared" si="6"/>
        <v>#REF!</v>
      </c>
      <c r="CJ10" s="107" t="e">
        <f t="shared" si="6"/>
        <v>#REF!</v>
      </c>
      <c r="CK10" s="107" t="e">
        <f t="shared" si="6"/>
        <v>#REF!</v>
      </c>
      <c r="CL10" s="107" t="e">
        <f t="shared" si="6"/>
        <v>#REF!</v>
      </c>
      <c r="CM10" s="107" t="e">
        <f t="shared" si="6"/>
        <v>#REF!</v>
      </c>
      <c r="CN10" s="107" t="e">
        <f t="shared" si="6"/>
        <v>#REF!</v>
      </c>
      <c r="CO10" s="107" t="e">
        <f t="shared" si="6"/>
        <v>#REF!</v>
      </c>
      <c r="CP10" s="107" t="e">
        <f t="shared" si="6"/>
        <v>#REF!</v>
      </c>
      <c r="CQ10" s="107" t="e">
        <f t="shared" si="6"/>
        <v>#REF!</v>
      </c>
      <c r="CR10" s="107" t="e">
        <f t="shared" si="6"/>
        <v>#REF!</v>
      </c>
      <c r="CS10" s="107" t="e">
        <f t="shared" si="6"/>
        <v>#REF!</v>
      </c>
      <c r="CT10" s="107" t="e">
        <f t="shared" si="6"/>
        <v>#REF!</v>
      </c>
      <c r="CU10" s="107" t="e">
        <f t="shared" si="6"/>
        <v>#REF!</v>
      </c>
      <c r="CV10" s="107" t="e">
        <f t="shared" si="6"/>
        <v>#REF!</v>
      </c>
      <c r="CW10" s="107" t="e">
        <f t="shared" si="6"/>
        <v>#REF!</v>
      </c>
      <c r="CX10" s="107" t="e">
        <f t="shared" si="6"/>
        <v>#REF!</v>
      </c>
      <c r="CY10" s="107" t="e">
        <f t="shared" si="6"/>
        <v>#REF!</v>
      </c>
      <c r="CZ10" s="107" t="e">
        <f t="shared" si="6"/>
        <v>#REF!</v>
      </c>
      <c r="DA10" s="107" t="e">
        <f t="shared" si="6"/>
        <v>#REF!</v>
      </c>
      <c r="DB10" s="107" t="e">
        <f t="shared" si="5"/>
        <v>#REF!</v>
      </c>
      <c r="DC10" s="107" t="e">
        <f t="shared" si="5"/>
        <v>#REF!</v>
      </c>
      <c r="DD10" s="107" t="e">
        <f t="shared" si="5"/>
        <v>#REF!</v>
      </c>
      <c r="DE10" s="107" t="e">
        <f t="shared" si="5"/>
        <v>#REF!</v>
      </c>
      <c r="DF10" s="107" t="e">
        <f t="shared" si="5"/>
        <v>#REF!</v>
      </c>
      <c r="DG10" s="107" t="e">
        <f t="shared" si="5"/>
        <v>#REF!</v>
      </c>
      <c r="DH10" s="107" t="e">
        <f t="shared" si="5"/>
        <v>#REF!</v>
      </c>
      <c r="DI10" s="107" t="e">
        <f t="shared" si="5"/>
        <v>#REF!</v>
      </c>
      <c r="DJ10" s="107" t="e">
        <f t="shared" si="5"/>
        <v>#REF!</v>
      </c>
      <c r="DK10" s="107" t="e">
        <f t="shared" si="5"/>
        <v>#REF!</v>
      </c>
      <c r="DL10" s="107" t="e">
        <f t="shared" si="5"/>
        <v>#REF!</v>
      </c>
      <c r="DM10" s="107" t="e">
        <f t="shared" si="5"/>
        <v>#REF!</v>
      </c>
      <c r="DN10" s="107" t="e">
        <f t="shared" si="5"/>
        <v>#REF!</v>
      </c>
      <c r="DO10" s="107" t="e">
        <f t="shared" si="5"/>
        <v>#REF!</v>
      </c>
      <c r="DP10" s="107" t="e">
        <f t="shared" si="5"/>
        <v>#REF!</v>
      </c>
      <c r="DQ10" s="107" t="e">
        <f t="shared" si="5"/>
        <v>#REF!</v>
      </c>
      <c r="DR10" s="107" t="e">
        <f t="shared" si="5"/>
        <v>#REF!</v>
      </c>
      <c r="DS10" s="107" t="e">
        <f t="shared" si="5"/>
        <v>#REF!</v>
      </c>
      <c r="DT10" s="107" t="e">
        <f t="shared" si="5"/>
        <v>#REF!</v>
      </c>
    </row>
    <row r="11" spans="1:271" s="112" customFormat="1" x14ac:dyDescent="0.25">
      <c r="A11" s="120" t="s">
        <v>249</v>
      </c>
      <c r="B11" s="120"/>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15">
        <f t="shared" ref="Z11:AH12" si="7">Z51</f>
        <v>16419.689999999995</v>
      </c>
      <c r="AA11" s="115">
        <f t="shared" si="7"/>
        <v>20309.46</v>
      </c>
      <c r="AB11" s="115">
        <f t="shared" si="7"/>
        <v>22922.28</v>
      </c>
      <c r="AC11" s="115">
        <f t="shared" si="7"/>
        <v>22588.050000000003</v>
      </c>
      <c r="AD11" s="115">
        <f t="shared" si="7"/>
        <v>10695.600000000002</v>
      </c>
      <c r="AE11" s="115">
        <f t="shared" si="7"/>
        <v>19608.870000000003</v>
      </c>
      <c r="AF11" s="115">
        <f t="shared" si="7"/>
        <v>36671.910000000003</v>
      </c>
      <c r="AG11" s="115">
        <f t="shared" si="7"/>
        <v>17636.700000000004</v>
      </c>
      <c r="AH11" s="115">
        <f t="shared" si="7"/>
        <v>21089.190000000002</v>
      </c>
      <c r="AI11" s="115">
        <f>AI51</f>
        <v>24217.410000000003</v>
      </c>
      <c r="AJ11" s="115">
        <f t="shared" ref="AJ11:AK12" si="8">AJ51</f>
        <v>22088.22</v>
      </c>
      <c r="AK11" s="115">
        <f t="shared" si="8"/>
        <v>20471.46</v>
      </c>
      <c r="AL11" s="115"/>
      <c r="AM11" s="115"/>
      <c r="AN11" s="115"/>
      <c r="AO11" s="107">
        <f t="shared" ref="AO11:CZ12" si="9">AO51</f>
        <v>21325.546666666665</v>
      </c>
      <c r="AP11" s="107">
        <f t="shared" si="9"/>
        <v>20669.308888888885</v>
      </c>
      <c r="AQ11" s="108">
        <f t="shared" si="9"/>
        <v>20693.965185185181</v>
      </c>
      <c r="AR11" s="108">
        <f t="shared" si="9"/>
        <v>18094.879999999997</v>
      </c>
      <c r="AS11" s="108">
        <f t="shared" si="9"/>
        <v>19819.38469135802</v>
      </c>
      <c r="AT11" s="107">
        <f t="shared" si="9"/>
        <v>19536.076625514397</v>
      </c>
      <c r="AU11" s="107">
        <f t="shared" si="9"/>
        <v>19150.113772290806</v>
      </c>
      <c r="AV11" s="107">
        <f t="shared" si="9"/>
        <v>19501.858363054409</v>
      </c>
      <c r="AW11" s="107">
        <f t="shared" si="9"/>
        <v>19396.01625361987</v>
      </c>
      <c r="AX11" s="110">
        <f t="shared" si="9"/>
        <v>19349.329462988364</v>
      </c>
      <c r="AY11" s="111">
        <f t="shared" si="9"/>
        <v>19386.305834730476</v>
      </c>
      <c r="AZ11" s="107">
        <f t="shared" si="9"/>
        <v>19386.305834730476</v>
      </c>
      <c r="BA11" s="107">
        <f t="shared" si="9"/>
        <v>19386.305834730476</v>
      </c>
      <c r="BB11" s="107">
        <f t="shared" si="9"/>
        <v>19386.305834730476</v>
      </c>
      <c r="BC11" s="107">
        <f t="shared" si="9"/>
        <v>19386.305834730476</v>
      </c>
      <c r="BD11" s="107">
        <f t="shared" si="9"/>
        <v>19386.305834730476</v>
      </c>
      <c r="BE11" s="107">
        <f t="shared" si="9"/>
        <v>19386.305834730476</v>
      </c>
      <c r="BF11" s="107">
        <f t="shared" si="9"/>
        <v>19386.305834730476</v>
      </c>
      <c r="BG11" s="107">
        <f t="shared" si="9"/>
        <v>19386.305834730476</v>
      </c>
      <c r="BH11" s="107">
        <f t="shared" si="9"/>
        <v>19386.305834730476</v>
      </c>
      <c r="BI11" s="107">
        <f t="shared" si="9"/>
        <v>19386.305834730476</v>
      </c>
      <c r="BJ11" s="107">
        <f t="shared" si="9"/>
        <v>19386.305834730476</v>
      </c>
      <c r="BK11" s="107">
        <f t="shared" si="9"/>
        <v>19386.305834730476</v>
      </c>
      <c r="BL11" s="107">
        <f t="shared" si="9"/>
        <v>19386.305834730476</v>
      </c>
      <c r="BM11" s="107">
        <f t="shared" si="9"/>
        <v>19386.305834730476</v>
      </c>
      <c r="BN11" s="107">
        <f t="shared" si="9"/>
        <v>19386.305834730476</v>
      </c>
      <c r="BO11" s="107">
        <f t="shared" si="9"/>
        <v>19386.305834730476</v>
      </c>
      <c r="BP11" s="107">
        <f t="shared" si="9"/>
        <v>19386.305834730476</v>
      </c>
      <c r="BQ11" s="107">
        <f t="shared" si="9"/>
        <v>19386.305834730476</v>
      </c>
      <c r="BR11" s="107">
        <f t="shared" si="9"/>
        <v>19386.305834730476</v>
      </c>
      <c r="BS11" s="107">
        <f t="shared" si="9"/>
        <v>19386.305834730476</v>
      </c>
      <c r="BT11" s="107">
        <f t="shared" si="9"/>
        <v>19386.305834730476</v>
      </c>
      <c r="BU11" s="107">
        <f t="shared" si="9"/>
        <v>19386.305834730476</v>
      </c>
      <c r="BV11" s="107">
        <f t="shared" si="9"/>
        <v>19386.305834730476</v>
      </c>
      <c r="BW11" s="107">
        <f t="shared" si="9"/>
        <v>19386.305834730476</v>
      </c>
      <c r="BX11" s="107">
        <f t="shared" si="9"/>
        <v>19386.305834730476</v>
      </c>
      <c r="BY11" s="107">
        <f t="shared" si="9"/>
        <v>19392.385658804553</v>
      </c>
      <c r="BZ11" s="107">
        <f t="shared" si="9"/>
        <v>19392.385658804553</v>
      </c>
      <c r="CA11" s="107">
        <f t="shared" si="9"/>
        <v>19392.385658804553</v>
      </c>
      <c r="CB11" s="107">
        <f t="shared" si="9"/>
        <v>19392.385658804553</v>
      </c>
      <c r="CC11" s="107">
        <f t="shared" si="9"/>
        <v>19392.385658804553</v>
      </c>
      <c r="CD11" s="107">
        <f t="shared" si="9"/>
        <v>19392.385658804553</v>
      </c>
      <c r="CE11" s="107">
        <f t="shared" si="9"/>
        <v>19392.385658804553</v>
      </c>
      <c r="CF11" s="107">
        <f t="shared" si="9"/>
        <v>19392.385658804553</v>
      </c>
      <c r="CG11" s="107">
        <f t="shared" si="9"/>
        <v>19392.385658804553</v>
      </c>
      <c r="CH11" s="107">
        <f t="shared" si="9"/>
        <v>19392.385658804553</v>
      </c>
      <c r="CI11" s="107">
        <f t="shared" si="9"/>
        <v>19392.385658804553</v>
      </c>
      <c r="CJ11" s="107">
        <f t="shared" si="9"/>
        <v>19392.385658804553</v>
      </c>
      <c r="CK11" s="107">
        <f t="shared" si="9"/>
        <v>20912.72</v>
      </c>
      <c r="CL11" s="107">
        <f t="shared" si="9"/>
        <v>20913.72</v>
      </c>
      <c r="CM11" s="107">
        <f t="shared" si="9"/>
        <v>20914.72</v>
      </c>
      <c r="CN11" s="107">
        <f t="shared" si="9"/>
        <v>20915.72</v>
      </c>
      <c r="CO11" s="107">
        <f t="shared" si="9"/>
        <v>20916.72</v>
      </c>
      <c r="CP11" s="107">
        <f t="shared" si="9"/>
        <v>20917.72</v>
      </c>
      <c r="CQ11" s="107">
        <f t="shared" si="9"/>
        <v>20918.72</v>
      </c>
      <c r="CR11" s="107">
        <f t="shared" si="9"/>
        <v>20919.72</v>
      </c>
      <c r="CS11" s="107">
        <f t="shared" si="9"/>
        <v>20920.72</v>
      </c>
      <c r="CT11" s="107">
        <f t="shared" si="9"/>
        <v>20921.72</v>
      </c>
      <c r="CU11" s="107">
        <f t="shared" si="9"/>
        <v>20922.72</v>
      </c>
      <c r="CV11" s="107">
        <f t="shared" si="9"/>
        <v>20923.72</v>
      </c>
      <c r="CW11" s="107">
        <f t="shared" si="9"/>
        <v>20924.72</v>
      </c>
      <c r="CX11" s="107">
        <f t="shared" si="9"/>
        <v>20925.72</v>
      </c>
      <c r="CY11" s="107">
        <f t="shared" si="9"/>
        <v>20926.72</v>
      </c>
      <c r="CZ11" s="107">
        <f t="shared" si="9"/>
        <v>20927.72</v>
      </c>
      <c r="DA11" s="107">
        <f t="shared" ref="DA11:DT12" si="10">DA51</f>
        <v>20928.72</v>
      </c>
      <c r="DB11" s="107">
        <f t="shared" si="10"/>
        <v>20929.72</v>
      </c>
      <c r="DC11" s="107">
        <f t="shared" si="10"/>
        <v>20930.72</v>
      </c>
      <c r="DD11" s="107">
        <f t="shared" si="10"/>
        <v>20931.72</v>
      </c>
      <c r="DE11" s="107">
        <f t="shared" si="10"/>
        <v>20932.72</v>
      </c>
      <c r="DF11" s="107">
        <f t="shared" si="10"/>
        <v>20933.72</v>
      </c>
      <c r="DG11" s="107">
        <f t="shared" si="10"/>
        <v>20934.72</v>
      </c>
      <c r="DH11" s="107">
        <f t="shared" si="10"/>
        <v>20935.72</v>
      </c>
      <c r="DI11" s="107">
        <f t="shared" si="10"/>
        <v>20936.72</v>
      </c>
      <c r="DJ11" s="107">
        <f t="shared" si="10"/>
        <v>20937.72</v>
      </c>
      <c r="DK11" s="107">
        <f t="shared" si="10"/>
        <v>20938.72</v>
      </c>
      <c r="DL11" s="107">
        <f t="shared" si="10"/>
        <v>20939.72</v>
      </c>
      <c r="DM11" s="107">
        <f t="shared" si="10"/>
        <v>20940.72</v>
      </c>
      <c r="DN11" s="107">
        <f t="shared" si="10"/>
        <v>20941.72</v>
      </c>
      <c r="DO11" s="107">
        <f t="shared" si="10"/>
        <v>20942.72</v>
      </c>
      <c r="DP11" s="107">
        <f t="shared" si="10"/>
        <v>20943.72</v>
      </c>
      <c r="DQ11" s="107">
        <f t="shared" si="10"/>
        <v>20944.72</v>
      </c>
      <c r="DR11" s="107">
        <f t="shared" si="10"/>
        <v>20945.72</v>
      </c>
      <c r="DS11" s="107">
        <f t="shared" si="10"/>
        <v>20946.72</v>
      </c>
      <c r="DT11" s="107">
        <f t="shared" si="10"/>
        <v>20947.72</v>
      </c>
    </row>
    <row r="12" spans="1:271" s="112" customFormat="1" x14ac:dyDescent="0.25">
      <c r="A12" s="120" t="s">
        <v>250</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15">
        <f t="shared" si="7"/>
        <v>19069.46</v>
      </c>
      <c r="AA12" s="115">
        <f t="shared" si="7"/>
        <v>19069.46</v>
      </c>
      <c r="AB12" s="115">
        <f t="shared" si="7"/>
        <v>19069.46</v>
      </c>
      <c r="AC12" s="115">
        <f t="shared" si="7"/>
        <v>19069.46</v>
      </c>
      <c r="AD12" s="115">
        <f t="shared" si="7"/>
        <v>19069.46</v>
      </c>
      <c r="AE12" s="115">
        <f t="shared" si="7"/>
        <v>19069.46</v>
      </c>
      <c r="AF12" s="115">
        <f t="shared" si="7"/>
        <v>19069.46</v>
      </c>
      <c r="AG12" s="115">
        <f t="shared" si="7"/>
        <v>19069.46</v>
      </c>
      <c r="AH12" s="115">
        <f t="shared" si="7"/>
        <v>19069.46</v>
      </c>
      <c r="AI12" s="115">
        <f>AI52</f>
        <v>19069.46</v>
      </c>
      <c r="AJ12" s="115">
        <f t="shared" si="8"/>
        <v>19069.46</v>
      </c>
      <c r="AK12" s="115">
        <f t="shared" si="8"/>
        <v>19069.46</v>
      </c>
      <c r="AL12" s="115"/>
      <c r="AM12" s="115"/>
      <c r="AN12" s="115"/>
      <c r="AO12" s="107">
        <f t="shared" si="9"/>
        <v>18524.939999999999</v>
      </c>
      <c r="AP12" s="107">
        <f t="shared" si="9"/>
        <v>18524.939999999999</v>
      </c>
      <c r="AQ12" s="108">
        <f t="shared" si="9"/>
        <v>18524.939999999999</v>
      </c>
      <c r="AR12" s="108">
        <f t="shared" si="9"/>
        <v>18524.939999999999</v>
      </c>
      <c r="AS12" s="108">
        <f t="shared" si="9"/>
        <v>18524.939999999999</v>
      </c>
      <c r="AT12" s="107">
        <f t="shared" si="9"/>
        <v>18524.939999999999</v>
      </c>
      <c r="AU12" s="107">
        <f t="shared" si="9"/>
        <v>18524.939999999999</v>
      </c>
      <c r="AV12" s="107">
        <f t="shared" si="9"/>
        <v>18524.939999999999</v>
      </c>
      <c r="AW12" s="107">
        <f t="shared" si="9"/>
        <v>18524.939999999999</v>
      </c>
      <c r="AX12" s="110">
        <f t="shared" si="9"/>
        <v>18524.939999999999</v>
      </c>
      <c r="AY12" s="111">
        <f t="shared" si="9"/>
        <v>18524.939999999999</v>
      </c>
      <c r="AZ12" s="107">
        <f t="shared" si="9"/>
        <v>18524.939999999999</v>
      </c>
      <c r="BA12" s="107">
        <f t="shared" si="9"/>
        <v>18524.939999999999</v>
      </c>
      <c r="BB12" s="107">
        <f t="shared" si="9"/>
        <v>18524.939999999999</v>
      </c>
      <c r="BC12" s="107">
        <f t="shared" si="9"/>
        <v>18524.939999999999</v>
      </c>
      <c r="BD12" s="107">
        <f t="shared" si="9"/>
        <v>18524.939999999999</v>
      </c>
      <c r="BE12" s="107">
        <f t="shared" si="9"/>
        <v>18524.939999999999</v>
      </c>
      <c r="BF12" s="107">
        <f t="shared" si="9"/>
        <v>18524.939999999999</v>
      </c>
      <c r="BG12" s="107">
        <f t="shared" si="9"/>
        <v>18524.939999999999</v>
      </c>
      <c r="BH12" s="107">
        <f t="shared" si="9"/>
        <v>18524.939999999999</v>
      </c>
      <c r="BI12" s="107">
        <f t="shared" si="9"/>
        <v>18524.939999999999</v>
      </c>
      <c r="BJ12" s="107">
        <f t="shared" si="9"/>
        <v>18524.939999999999</v>
      </c>
      <c r="BK12" s="107">
        <f t="shared" si="9"/>
        <v>18524.939999999999</v>
      </c>
      <c r="BL12" s="107">
        <f t="shared" si="9"/>
        <v>18524.939999999999</v>
      </c>
      <c r="BM12" s="107">
        <f t="shared" si="9"/>
        <v>18524.939999999999</v>
      </c>
      <c r="BN12" s="107">
        <f t="shared" si="9"/>
        <v>18524.939999999999</v>
      </c>
      <c r="BO12" s="107">
        <f t="shared" si="9"/>
        <v>18524.939999999999</v>
      </c>
      <c r="BP12" s="107">
        <f t="shared" si="9"/>
        <v>18524.939999999999</v>
      </c>
      <c r="BQ12" s="107">
        <f t="shared" si="9"/>
        <v>18524.939999999999</v>
      </c>
      <c r="BR12" s="107">
        <f t="shared" si="9"/>
        <v>18524.939999999999</v>
      </c>
      <c r="BS12" s="107">
        <f t="shared" si="9"/>
        <v>18524.939999999999</v>
      </c>
      <c r="BT12" s="107">
        <f t="shared" si="9"/>
        <v>18524.939999999999</v>
      </c>
      <c r="BU12" s="107">
        <f t="shared" si="9"/>
        <v>18524.939999999999</v>
      </c>
      <c r="BV12" s="107">
        <f t="shared" si="9"/>
        <v>18524.939999999999</v>
      </c>
      <c r="BW12" s="107">
        <f t="shared" si="9"/>
        <v>18524.939999999999</v>
      </c>
      <c r="BX12" s="107">
        <f t="shared" si="9"/>
        <v>18524.939999999999</v>
      </c>
      <c r="BY12" s="107">
        <f t="shared" si="9"/>
        <v>18524.939999999999</v>
      </c>
      <c r="BZ12" s="107">
        <f t="shared" si="9"/>
        <v>18524.939999999999</v>
      </c>
      <c r="CA12" s="107">
        <f t="shared" si="9"/>
        <v>18524.939999999999</v>
      </c>
      <c r="CB12" s="107">
        <f t="shared" si="9"/>
        <v>18524.939999999999</v>
      </c>
      <c r="CC12" s="107">
        <f t="shared" si="9"/>
        <v>18524.939999999999</v>
      </c>
      <c r="CD12" s="107">
        <f t="shared" si="9"/>
        <v>18524.939999999999</v>
      </c>
      <c r="CE12" s="107">
        <f t="shared" si="9"/>
        <v>18524.939999999999</v>
      </c>
      <c r="CF12" s="107">
        <f t="shared" si="9"/>
        <v>18524.939999999999</v>
      </c>
      <c r="CG12" s="107">
        <f t="shared" si="9"/>
        <v>18524.939999999999</v>
      </c>
      <c r="CH12" s="107">
        <f t="shared" si="9"/>
        <v>18524.939999999999</v>
      </c>
      <c r="CI12" s="107">
        <f t="shared" si="9"/>
        <v>18524.939999999999</v>
      </c>
      <c r="CJ12" s="107">
        <f t="shared" si="9"/>
        <v>18524.939999999999</v>
      </c>
      <c r="CK12" s="107">
        <f t="shared" si="9"/>
        <v>19069.46</v>
      </c>
      <c r="CL12" s="107">
        <f t="shared" si="9"/>
        <v>19069.46</v>
      </c>
      <c r="CM12" s="107">
        <f t="shared" si="9"/>
        <v>19069.46</v>
      </c>
      <c r="CN12" s="107">
        <f t="shared" si="9"/>
        <v>19069.46</v>
      </c>
      <c r="CO12" s="107">
        <f t="shared" si="9"/>
        <v>19069.46</v>
      </c>
      <c r="CP12" s="107">
        <f t="shared" si="9"/>
        <v>19069.46</v>
      </c>
      <c r="CQ12" s="107">
        <f t="shared" si="9"/>
        <v>19069.46</v>
      </c>
      <c r="CR12" s="107">
        <f t="shared" si="9"/>
        <v>19069.46</v>
      </c>
      <c r="CS12" s="107">
        <f t="shared" si="9"/>
        <v>19069.46</v>
      </c>
      <c r="CT12" s="107">
        <f t="shared" si="9"/>
        <v>19069.46</v>
      </c>
      <c r="CU12" s="107">
        <f t="shared" si="9"/>
        <v>19069.46</v>
      </c>
      <c r="CV12" s="107">
        <f t="shared" si="9"/>
        <v>19069.46</v>
      </c>
      <c r="CW12" s="107">
        <f t="shared" si="9"/>
        <v>19069.46</v>
      </c>
      <c r="CX12" s="107">
        <f t="shared" si="9"/>
        <v>19069.46</v>
      </c>
      <c r="CY12" s="107">
        <f t="shared" si="9"/>
        <v>19069.46</v>
      </c>
      <c r="CZ12" s="107">
        <f t="shared" si="9"/>
        <v>19069.46</v>
      </c>
      <c r="DA12" s="107">
        <f t="shared" si="10"/>
        <v>19069.46</v>
      </c>
      <c r="DB12" s="107">
        <f t="shared" si="10"/>
        <v>19069.46</v>
      </c>
      <c r="DC12" s="107">
        <f t="shared" si="10"/>
        <v>19069.46</v>
      </c>
      <c r="DD12" s="107">
        <f t="shared" si="10"/>
        <v>19069.46</v>
      </c>
      <c r="DE12" s="107">
        <f t="shared" si="10"/>
        <v>19069.46</v>
      </c>
      <c r="DF12" s="107">
        <f t="shared" si="10"/>
        <v>19069.46</v>
      </c>
      <c r="DG12" s="107">
        <f t="shared" si="10"/>
        <v>19069.46</v>
      </c>
      <c r="DH12" s="107">
        <f t="shared" si="10"/>
        <v>19069.46</v>
      </c>
      <c r="DI12" s="107">
        <f t="shared" si="10"/>
        <v>19069.46</v>
      </c>
      <c r="DJ12" s="107">
        <f t="shared" si="10"/>
        <v>19069.46</v>
      </c>
      <c r="DK12" s="107">
        <f t="shared" si="10"/>
        <v>19069.46</v>
      </c>
      <c r="DL12" s="107">
        <f t="shared" si="10"/>
        <v>19069.46</v>
      </c>
      <c r="DM12" s="107">
        <f t="shared" si="10"/>
        <v>19069.46</v>
      </c>
      <c r="DN12" s="107">
        <f t="shared" si="10"/>
        <v>19069.46</v>
      </c>
      <c r="DO12" s="107">
        <f t="shared" si="10"/>
        <v>19069.46</v>
      </c>
      <c r="DP12" s="107">
        <f t="shared" si="10"/>
        <v>19069.46</v>
      </c>
      <c r="DQ12" s="107">
        <f t="shared" si="10"/>
        <v>19069.46</v>
      </c>
      <c r="DR12" s="107">
        <f t="shared" si="10"/>
        <v>19069.46</v>
      </c>
      <c r="DS12" s="107">
        <f t="shared" si="10"/>
        <v>19069.46</v>
      </c>
      <c r="DT12" s="107">
        <f t="shared" si="10"/>
        <v>19069.46</v>
      </c>
    </row>
    <row r="13" spans="1:271" s="112" customFormat="1" x14ac:dyDescent="0.25">
      <c r="A13" s="120" t="s">
        <v>217</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15">
        <f>Z53+Z79+77.9000000068917</f>
        <v>144038.37000000689</v>
      </c>
      <c r="AA13" s="115">
        <f t="shared" ref="AA13:AH13" si="11">AA53+AA79</f>
        <v>143337.15000000002</v>
      </c>
      <c r="AB13" s="115">
        <f t="shared" si="11"/>
        <v>145199.16</v>
      </c>
      <c r="AC13" s="115">
        <f t="shared" si="11"/>
        <v>143775.29999999999</v>
      </c>
      <c r="AD13" s="115">
        <f t="shared" si="11"/>
        <v>144241.71000000002</v>
      </c>
      <c r="AE13" s="115">
        <f t="shared" si="11"/>
        <v>144072.94</v>
      </c>
      <c r="AF13" s="115">
        <f t="shared" si="11"/>
        <v>146625.25</v>
      </c>
      <c r="AG13" s="115">
        <f t="shared" si="11"/>
        <v>143330.1</v>
      </c>
      <c r="AH13" s="115">
        <f t="shared" si="11"/>
        <v>145575.03</v>
      </c>
      <c r="AI13" s="115">
        <f>AI53+AI79</f>
        <v>145016.6</v>
      </c>
      <c r="AJ13" s="115">
        <f t="shared" ref="AJ13:AK13" si="12">AJ53+AJ79</f>
        <v>145039.16</v>
      </c>
      <c r="AK13" s="115">
        <f t="shared" si="12"/>
        <v>145025.54</v>
      </c>
      <c r="AL13" s="115"/>
      <c r="AM13" s="115"/>
      <c r="AN13" s="115"/>
      <c r="AO13" s="107">
        <f>AO53+AO79</f>
        <v>137289.5</v>
      </c>
      <c r="AP13" s="107">
        <f>AP53+AP79</f>
        <v>138393.88</v>
      </c>
      <c r="AQ13" s="108">
        <f t="shared" ref="AQ13:DB13" si="13">AQ53+AQ79</f>
        <v>135515.82</v>
      </c>
      <c r="AR13" s="108">
        <f t="shared" si="13"/>
        <v>140714.26</v>
      </c>
      <c r="AS13" s="108">
        <f t="shared" si="13"/>
        <v>140545.84</v>
      </c>
      <c r="AT13" s="107">
        <f t="shared" si="13"/>
        <v>146672.11000000002</v>
      </c>
      <c r="AU13" s="107">
        <f t="shared" si="13"/>
        <v>140828.91999999998</v>
      </c>
      <c r="AV13" s="107">
        <f t="shared" si="13"/>
        <v>140374.74000000002</v>
      </c>
      <c r="AW13" s="107">
        <f t="shared" si="13"/>
        <v>133575.87</v>
      </c>
      <c r="AX13" s="110">
        <f t="shared" si="13"/>
        <v>134887.31</v>
      </c>
      <c r="AY13" s="111">
        <f t="shared" si="13"/>
        <v>140151.10385436646</v>
      </c>
      <c r="AZ13" s="107">
        <f t="shared" si="13"/>
        <v>140151.10385436646</v>
      </c>
      <c r="BA13" s="107">
        <f t="shared" si="13"/>
        <v>139299.00155379102</v>
      </c>
      <c r="BB13" s="107">
        <f t="shared" si="13"/>
        <v>139109.64548699648</v>
      </c>
      <c r="BC13" s="107">
        <f t="shared" si="13"/>
        <v>140009.08680427054</v>
      </c>
      <c r="BD13" s="107">
        <f t="shared" si="13"/>
        <v>140151.10385436646</v>
      </c>
      <c r="BE13" s="107">
        <f t="shared" si="13"/>
        <v>140293.12090446235</v>
      </c>
      <c r="BF13" s="107">
        <f t="shared" si="13"/>
        <v>139819.73073747603</v>
      </c>
      <c r="BG13" s="107">
        <f t="shared" si="13"/>
        <v>139725.05270407876</v>
      </c>
      <c r="BH13" s="107">
        <f t="shared" si="13"/>
        <v>139914.4087708733</v>
      </c>
      <c r="BI13" s="107">
        <f t="shared" si="13"/>
        <v>140435.13795455827</v>
      </c>
      <c r="BJ13" s="107">
        <f t="shared" si="13"/>
        <v>140415.41336426718</v>
      </c>
      <c r="BK13" s="107">
        <f t="shared" si="13"/>
        <v>140415.41336426718</v>
      </c>
      <c r="BL13" s="107">
        <f t="shared" si="13"/>
        <v>140104.42232401084</v>
      </c>
      <c r="BM13" s="107">
        <f t="shared" si="13"/>
        <v>140104.42232401084</v>
      </c>
      <c r="BN13" s="107">
        <f t="shared" si="13"/>
        <v>140104.42232401084</v>
      </c>
      <c r="BO13" s="107">
        <f t="shared" si="13"/>
        <v>140104.42232401084</v>
      </c>
      <c r="BP13" s="107">
        <f t="shared" si="13"/>
        <v>140104.42232401084</v>
      </c>
      <c r="BQ13" s="107">
        <f t="shared" si="13"/>
        <v>140104.42232401084</v>
      </c>
      <c r="BR13" s="107">
        <f t="shared" si="13"/>
        <v>140104.42232401084</v>
      </c>
      <c r="BS13" s="107">
        <f t="shared" si="13"/>
        <v>140104.42232401084</v>
      </c>
      <c r="BT13" s="107">
        <f t="shared" si="13"/>
        <v>140104.42232401084</v>
      </c>
      <c r="BU13" s="107">
        <f t="shared" si="13"/>
        <v>140104.42232401084</v>
      </c>
      <c r="BV13" s="107">
        <f t="shared" si="13"/>
        <v>140104.42232401084</v>
      </c>
      <c r="BW13" s="107">
        <f t="shared" si="13"/>
        <v>140104.42232401084</v>
      </c>
      <c r="BX13" s="107">
        <f t="shared" si="13"/>
        <v>140104.42232401084</v>
      </c>
      <c r="BY13" s="107">
        <f t="shared" si="13"/>
        <v>140530.47347429857</v>
      </c>
      <c r="BZ13" s="107">
        <f t="shared" si="13"/>
        <v>140530.47347429857</v>
      </c>
      <c r="CA13" s="107">
        <f t="shared" si="13"/>
        <v>140530.47347429857</v>
      </c>
      <c r="CB13" s="107">
        <f t="shared" si="13"/>
        <v>140530.47347429857</v>
      </c>
      <c r="CC13" s="107">
        <f t="shared" si="13"/>
        <v>140530.47347429857</v>
      </c>
      <c r="CD13" s="107">
        <f t="shared" si="13"/>
        <v>140530.47347429857</v>
      </c>
      <c r="CE13" s="107">
        <f t="shared" si="13"/>
        <v>140530.47347429857</v>
      </c>
      <c r="CF13" s="107">
        <f t="shared" si="13"/>
        <v>140530.47347429857</v>
      </c>
      <c r="CG13" s="107">
        <f t="shared" si="13"/>
        <v>140530.47347429857</v>
      </c>
      <c r="CH13" s="107">
        <f t="shared" si="13"/>
        <v>140530.47347429857</v>
      </c>
      <c r="CI13" s="107">
        <f t="shared" si="13"/>
        <v>140530.47347429857</v>
      </c>
      <c r="CJ13" s="107">
        <f t="shared" si="13"/>
        <v>140530.47347429857</v>
      </c>
      <c r="CK13" s="107">
        <f t="shared" si="13"/>
        <v>140767.16855779177</v>
      </c>
      <c r="CL13" s="107">
        <f t="shared" si="13"/>
        <v>140956.52462458631</v>
      </c>
      <c r="CM13" s="107">
        <f t="shared" si="13"/>
        <v>140956.52462458631</v>
      </c>
      <c r="CN13" s="107">
        <f t="shared" si="13"/>
        <v>140956.52462458631</v>
      </c>
      <c r="CO13" s="107">
        <f t="shared" si="13"/>
        <v>140956.52462458631</v>
      </c>
      <c r="CP13" s="107">
        <f t="shared" si="13"/>
        <v>140956.52462458631</v>
      </c>
      <c r="CQ13" s="107">
        <f t="shared" si="13"/>
        <v>140956.52462458631</v>
      </c>
      <c r="CR13" s="107">
        <f t="shared" si="13"/>
        <v>140956.52462458631</v>
      </c>
      <c r="CS13" s="107">
        <f t="shared" si="13"/>
        <v>140956.52462458631</v>
      </c>
      <c r="CT13" s="107">
        <f t="shared" si="13"/>
        <v>140956.52462458631</v>
      </c>
      <c r="CU13" s="107">
        <f t="shared" si="13"/>
        <v>140956.52462458631</v>
      </c>
      <c r="CV13" s="107">
        <f t="shared" si="13"/>
        <v>140956.52462458631</v>
      </c>
      <c r="CW13" s="107">
        <f t="shared" si="13"/>
        <v>141193.2197080795</v>
      </c>
      <c r="CX13" s="107">
        <f t="shared" si="13"/>
        <v>141193.2197080795</v>
      </c>
      <c r="CY13" s="107">
        <f t="shared" si="13"/>
        <v>141382.57577487404</v>
      </c>
      <c r="CZ13" s="107">
        <f t="shared" si="13"/>
        <v>141382.57577487404</v>
      </c>
      <c r="DA13" s="107">
        <f t="shared" si="13"/>
        <v>141382.57577487404</v>
      </c>
      <c r="DB13" s="107">
        <f t="shared" si="13"/>
        <v>141382.57577487404</v>
      </c>
      <c r="DC13" s="107">
        <f t="shared" ref="DC13:DT13" si="14">DC53+DC79</f>
        <v>141382.57577487404</v>
      </c>
      <c r="DD13" s="107">
        <f t="shared" si="14"/>
        <v>141382.57577487404</v>
      </c>
      <c r="DE13" s="107">
        <f t="shared" si="14"/>
        <v>141382.57577487404</v>
      </c>
      <c r="DF13" s="107">
        <f t="shared" si="14"/>
        <v>141382.57577487404</v>
      </c>
      <c r="DG13" s="107">
        <f t="shared" si="14"/>
        <v>141382.57577487404</v>
      </c>
      <c r="DH13" s="107">
        <f t="shared" si="14"/>
        <v>141382.57577487404</v>
      </c>
      <c r="DI13" s="107">
        <f t="shared" si="14"/>
        <v>141619.27085836724</v>
      </c>
      <c r="DJ13" s="107">
        <f t="shared" si="14"/>
        <v>141619.27085836724</v>
      </c>
      <c r="DK13" s="107">
        <f t="shared" si="14"/>
        <v>141619.27085836724</v>
      </c>
      <c r="DL13" s="107">
        <f t="shared" si="14"/>
        <v>141808.62692516175</v>
      </c>
      <c r="DM13" s="107">
        <f t="shared" si="14"/>
        <v>141808.62692516175</v>
      </c>
      <c r="DN13" s="107">
        <f t="shared" si="14"/>
        <v>141808.62692516175</v>
      </c>
      <c r="DO13" s="107">
        <f t="shared" si="14"/>
        <v>141808.62692516175</v>
      </c>
      <c r="DP13" s="107">
        <f t="shared" si="14"/>
        <v>141808.62692516175</v>
      </c>
      <c r="DQ13" s="107">
        <f t="shared" si="14"/>
        <v>141808.62692516175</v>
      </c>
      <c r="DR13" s="107">
        <f t="shared" si="14"/>
        <v>141808.62692516175</v>
      </c>
      <c r="DS13" s="107">
        <f t="shared" si="14"/>
        <v>141808.62692516175</v>
      </c>
      <c r="DT13" s="107">
        <f t="shared" si="14"/>
        <v>141808.62692516175</v>
      </c>
    </row>
    <row r="14" spans="1:271" s="127" customFormat="1" x14ac:dyDescent="0.25">
      <c r="A14" s="121" t="s">
        <v>251</v>
      </c>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2" t="e">
        <f t="shared" ref="Z14:AH14" si="15">SUM(Z6:Z13)</f>
        <v>#REF!</v>
      </c>
      <c r="AA14" s="122" t="e">
        <f t="shared" si="15"/>
        <v>#REF!</v>
      </c>
      <c r="AB14" s="122" t="e">
        <f t="shared" si="15"/>
        <v>#REF!</v>
      </c>
      <c r="AC14" s="122" t="e">
        <f t="shared" si="15"/>
        <v>#REF!</v>
      </c>
      <c r="AD14" s="122" t="e">
        <f t="shared" si="15"/>
        <v>#REF!</v>
      </c>
      <c r="AE14" s="122" t="e">
        <f t="shared" si="15"/>
        <v>#REF!</v>
      </c>
      <c r="AF14" s="122" t="e">
        <f t="shared" si="15"/>
        <v>#REF!</v>
      </c>
      <c r="AG14" s="122" t="e">
        <f t="shared" si="15"/>
        <v>#REF!</v>
      </c>
      <c r="AH14" s="122" t="e">
        <f t="shared" si="15"/>
        <v>#REF!</v>
      </c>
      <c r="AI14" s="122" t="e">
        <f>SUM(AI6:AI13)</f>
        <v>#REF!</v>
      </c>
      <c r="AJ14" s="122" t="e">
        <f t="shared" ref="AJ14:AK14" si="16">SUM(AJ6:AJ13)</f>
        <v>#REF!</v>
      </c>
      <c r="AK14" s="122" t="e">
        <f t="shared" si="16"/>
        <v>#REF!</v>
      </c>
      <c r="AL14" s="122"/>
      <c r="AM14" s="122"/>
      <c r="AN14" s="122"/>
      <c r="AO14" s="123" t="e">
        <f>SUM(AO5,AO8:AO13)</f>
        <v>#REF!</v>
      </c>
      <c r="AP14" s="124" t="e">
        <f t="shared" ref="AP14:DA14" si="17">SUM(AP5,AP8:AP13)</f>
        <v>#REF!</v>
      </c>
      <c r="AQ14" s="124" t="e">
        <f>SUM(AQ5,AQ8:AQ13)</f>
        <v>#REF!</v>
      </c>
      <c r="AR14" s="124" t="e">
        <f>SUM(AR5,AR8:AR13)</f>
        <v>#REF!</v>
      </c>
      <c r="AS14" s="124" t="e">
        <f t="shared" si="17"/>
        <v>#REF!</v>
      </c>
      <c r="AT14" s="124" t="e">
        <f t="shared" si="17"/>
        <v>#REF!</v>
      </c>
      <c r="AU14" s="124" t="e">
        <f t="shared" si="17"/>
        <v>#REF!</v>
      </c>
      <c r="AV14" s="124" t="e">
        <f t="shared" si="17"/>
        <v>#REF!</v>
      </c>
      <c r="AW14" s="124" t="e">
        <f t="shared" si="17"/>
        <v>#REF!</v>
      </c>
      <c r="AX14" s="125" t="e">
        <f t="shared" si="17"/>
        <v>#REF!</v>
      </c>
      <c r="AY14" s="126" t="e">
        <f t="shared" si="17"/>
        <v>#REF!</v>
      </c>
      <c r="AZ14" s="123" t="e">
        <f t="shared" si="17"/>
        <v>#REF!</v>
      </c>
      <c r="BA14" s="123" t="e">
        <f t="shared" si="17"/>
        <v>#REF!</v>
      </c>
      <c r="BB14" s="123" t="e">
        <f t="shared" si="17"/>
        <v>#REF!</v>
      </c>
      <c r="BC14" s="123" t="e">
        <f t="shared" si="17"/>
        <v>#REF!</v>
      </c>
      <c r="BD14" s="124" t="e">
        <f t="shared" si="17"/>
        <v>#REF!</v>
      </c>
      <c r="BE14" s="124" t="e">
        <f t="shared" si="17"/>
        <v>#REF!</v>
      </c>
      <c r="BF14" s="124" t="e">
        <f t="shared" si="17"/>
        <v>#REF!</v>
      </c>
      <c r="BG14" s="124" t="e">
        <f t="shared" si="17"/>
        <v>#REF!</v>
      </c>
      <c r="BH14" s="124" t="e">
        <f t="shared" si="17"/>
        <v>#REF!</v>
      </c>
      <c r="BI14" s="124" t="e">
        <f t="shared" si="17"/>
        <v>#REF!</v>
      </c>
      <c r="BJ14" s="124" t="e">
        <f t="shared" si="17"/>
        <v>#REF!</v>
      </c>
      <c r="BK14" s="124" t="e">
        <f t="shared" si="17"/>
        <v>#REF!</v>
      </c>
      <c r="BL14" s="124" t="e">
        <f t="shared" si="17"/>
        <v>#REF!</v>
      </c>
      <c r="BM14" s="124" t="e">
        <f t="shared" si="17"/>
        <v>#REF!</v>
      </c>
      <c r="BN14" s="124" t="e">
        <f t="shared" si="17"/>
        <v>#REF!</v>
      </c>
      <c r="BO14" s="124" t="e">
        <f t="shared" si="17"/>
        <v>#REF!</v>
      </c>
      <c r="BP14" s="124" t="e">
        <f t="shared" si="17"/>
        <v>#REF!</v>
      </c>
      <c r="BQ14" s="124" t="e">
        <f t="shared" si="17"/>
        <v>#REF!</v>
      </c>
      <c r="BR14" s="124" t="e">
        <f t="shared" si="17"/>
        <v>#REF!</v>
      </c>
      <c r="BS14" s="124" t="e">
        <f t="shared" si="17"/>
        <v>#REF!</v>
      </c>
      <c r="BT14" s="124" t="e">
        <f t="shared" si="17"/>
        <v>#REF!</v>
      </c>
      <c r="BU14" s="124" t="e">
        <f t="shared" si="17"/>
        <v>#REF!</v>
      </c>
      <c r="BV14" s="124" t="e">
        <f t="shared" si="17"/>
        <v>#REF!</v>
      </c>
      <c r="BW14" s="124" t="e">
        <f t="shared" si="17"/>
        <v>#REF!</v>
      </c>
      <c r="BX14" s="124" t="e">
        <f t="shared" si="17"/>
        <v>#REF!</v>
      </c>
      <c r="BY14" s="124" t="e">
        <f t="shared" si="17"/>
        <v>#REF!</v>
      </c>
      <c r="BZ14" s="124" t="e">
        <f t="shared" si="17"/>
        <v>#REF!</v>
      </c>
      <c r="CA14" s="124" t="e">
        <f t="shared" si="17"/>
        <v>#REF!</v>
      </c>
      <c r="CB14" s="124" t="e">
        <f t="shared" si="17"/>
        <v>#REF!</v>
      </c>
      <c r="CC14" s="124" t="e">
        <f t="shared" si="17"/>
        <v>#REF!</v>
      </c>
      <c r="CD14" s="124" t="e">
        <f t="shared" si="17"/>
        <v>#REF!</v>
      </c>
      <c r="CE14" s="124" t="e">
        <f t="shared" si="17"/>
        <v>#REF!</v>
      </c>
      <c r="CF14" s="124" t="e">
        <f t="shared" si="17"/>
        <v>#REF!</v>
      </c>
      <c r="CG14" s="124" t="e">
        <f t="shared" si="17"/>
        <v>#REF!</v>
      </c>
      <c r="CH14" s="124" t="e">
        <f t="shared" si="17"/>
        <v>#REF!</v>
      </c>
      <c r="CI14" s="124" t="e">
        <f t="shared" si="17"/>
        <v>#REF!</v>
      </c>
      <c r="CJ14" s="124" t="e">
        <f t="shared" si="17"/>
        <v>#REF!</v>
      </c>
      <c r="CK14" s="124" t="e">
        <f t="shared" si="17"/>
        <v>#REF!</v>
      </c>
      <c r="CL14" s="124" t="e">
        <f t="shared" si="17"/>
        <v>#REF!</v>
      </c>
      <c r="CM14" s="124" t="e">
        <f t="shared" si="17"/>
        <v>#REF!</v>
      </c>
      <c r="CN14" s="124" t="e">
        <f t="shared" si="17"/>
        <v>#REF!</v>
      </c>
      <c r="CO14" s="124" t="e">
        <f t="shared" si="17"/>
        <v>#REF!</v>
      </c>
      <c r="CP14" s="124" t="e">
        <f t="shared" si="17"/>
        <v>#REF!</v>
      </c>
      <c r="CQ14" s="124" t="e">
        <f t="shared" si="17"/>
        <v>#REF!</v>
      </c>
      <c r="CR14" s="124" t="e">
        <f t="shared" si="17"/>
        <v>#REF!</v>
      </c>
      <c r="CS14" s="124" t="e">
        <f t="shared" si="17"/>
        <v>#REF!</v>
      </c>
      <c r="CT14" s="124" t="e">
        <f t="shared" si="17"/>
        <v>#REF!</v>
      </c>
      <c r="CU14" s="124" t="e">
        <f t="shared" si="17"/>
        <v>#REF!</v>
      </c>
      <c r="CV14" s="124" t="e">
        <f t="shared" si="17"/>
        <v>#REF!</v>
      </c>
      <c r="CW14" s="124" t="e">
        <f t="shared" si="17"/>
        <v>#REF!</v>
      </c>
      <c r="CX14" s="124" t="e">
        <f t="shared" si="17"/>
        <v>#REF!</v>
      </c>
      <c r="CY14" s="124" t="e">
        <f t="shared" si="17"/>
        <v>#REF!</v>
      </c>
      <c r="CZ14" s="124" t="e">
        <f t="shared" si="17"/>
        <v>#REF!</v>
      </c>
      <c r="DA14" s="124" t="e">
        <f t="shared" si="17"/>
        <v>#REF!</v>
      </c>
      <c r="DB14" s="124" t="e">
        <f t="shared" ref="DB14:DT14" si="18">SUM(DB5,DB8:DB13)</f>
        <v>#REF!</v>
      </c>
      <c r="DC14" s="124" t="e">
        <f t="shared" si="18"/>
        <v>#REF!</v>
      </c>
      <c r="DD14" s="124" t="e">
        <f t="shared" si="18"/>
        <v>#REF!</v>
      </c>
      <c r="DE14" s="124" t="e">
        <f t="shared" si="18"/>
        <v>#REF!</v>
      </c>
      <c r="DF14" s="124" t="e">
        <f t="shared" si="18"/>
        <v>#REF!</v>
      </c>
      <c r="DG14" s="124" t="e">
        <f t="shared" si="18"/>
        <v>#REF!</v>
      </c>
      <c r="DH14" s="124" t="e">
        <f t="shared" si="18"/>
        <v>#REF!</v>
      </c>
      <c r="DI14" s="124" t="e">
        <f t="shared" si="18"/>
        <v>#REF!</v>
      </c>
      <c r="DJ14" s="124" t="e">
        <f t="shared" si="18"/>
        <v>#REF!</v>
      </c>
      <c r="DK14" s="124" t="e">
        <f t="shared" si="18"/>
        <v>#REF!</v>
      </c>
      <c r="DL14" s="124" t="e">
        <f t="shared" si="18"/>
        <v>#REF!</v>
      </c>
      <c r="DM14" s="124" t="e">
        <f t="shared" si="18"/>
        <v>#REF!</v>
      </c>
      <c r="DN14" s="124" t="e">
        <f t="shared" si="18"/>
        <v>#REF!</v>
      </c>
      <c r="DO14" s="124" t="e">
        <f t="shared" si="18"/>
        <v>#REF!</v>
      </c>
      <c r="DP14" s="124" t="e">
        <f t="shared" si="18"/>
        <v>#REF!</v>
      </c>
      <c r="DQ14" s="124" t="e">
        <f t="shared" si="18"/>
        <v>#REF!</v>
      </c>
      <c r="DR14" s="124" t="e">
        <f t="shared" si="18"/>
        <v>#REF!</v>
      </c>
      <c r="DS14" s="124" t="e">
        <f t="shared" si="18"/>
        <v>#REF!</v>
      </c>
      <c r="DT14" s="124" t="e">
        <f t="shared" si="18"/>
        <v>#REF!</v>
      </c>
    </row>
    <row r="15" spans="1:271" s="112" customFormat="1" x14ac:dyDescent="0.25">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07"/>
      <c r="AA15" s="107"/>
      <c r="AB15" s="107"/>
      <c r="AC15" s="107"/>
      <c r="AD15" s="107"/>
      <c r="AE15" s="107"/>
      <c r="AF15" s="107"/>
      <c r="AG15" s="107"/>
      <c r="AH15" s="107"/>
      <c r="AI15" s="107"/>
      <c r="AJ15" s="107"/>
      <c r="AK15" s="107"/>
      <c r="AL15" s="107"/>
      <c r="AM15" s="107"/>
      <c r="AN15" s="107"/>
      <c r="AO15" s="107"/>
      <c r="AP15" s="108"/>
      <c r="AQ15" s="108"/>
      <c r="AR15" s="108"/>
      <c r="AS15" s="108"/>
      <c r="AT15" s="108"/>
      <c r="AU15" s="108"/>
      <c r="AV15" s="108"/>
      <c r="AW15" s="108"/>
      <c r="AX15" s="116"/>
      <c r="AY15" s="111"/>
      <c r="AZ15" s="107"/>
      <c r="BA15" s="107"/>
      <c r="BB15" s="107"/>
      <c r="BC15" s="107"/>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row>
    <row r="16" spans="1:271" s="112" customFormat="1" x14ac:dyDescent="0.25">
      <c r="A16" s="114" t="s">
        <v>252</v>
      </c>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07"/>
      <c r="AA16" s="107"/>
      <c r="AB16" s="107"/>
      <c r="AC16" s="107"/>
      <c r="AD16" s="107">
        <v>0</v>
      </c>
      <c r="AE16" s="107">
        <v>0</v>
      </c>
      <c r="AF16" s="107">
        <v>0</v>
      </c>
      <c r="AG16" s="107">
        <v>0</v>
      </c>
      <c r="AH16" s="107">
        <v>0</v>
      </c>
      <c r="AI16" s="107"/>
      <c r="AJ16" s="107"/>
      <c r="AK16" s="107"/>
      <c r="AL16" s="107"/>
      <c r="AM16" s="107"/>
      <c r="AN16" s="107"/>
      <c r="AO16" s="107"/>
      <c r="AP16" s="108"/>
      <c r="AQ16" s="108"/>
      <c r="AR16" s="108"/>
      <c r="AS16" s="108">
        <v>0</v>
      </c>
      <c r="AT16" s="108">
        <v>0</v>
      </c>
      <c r="AU16" s="108">
        <v>1</v>
      </c>
      <c r="AV16" s="108">
        <v>2</v>
      </c>
      <c r="AW16" s="108">
        <v>3</v>
      </c>
      <c r="AX16" s="116">
        <v>4</v>
      </c>
      <c r="AY16" s="111"/>
      <c r="AZ16" s="107"/>
      <c r="BA16" s="107"/>
      <c r="BB16" s="107"/>
      <c r="BC16" s="107"/>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row>
    <row r="17" spans="1:124" s="112" customFormat="1" x14ac:dyDescent="0.25">
      <c r="A17" s="114" t="s">
        <v>253</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07"/>
      <c r="AA17" s="107"/>
      <c r="AB17" s="107"/>
      <c r="AC17" s="107"/>
      <c r="AD17" s="107"/>
      <c r="AE17" s="107"/>
      <c r="AF17" s="107"/>
      <c r="AG17" s="107"/>
      <c r="AH17" s="107"/>
      <c r="AI17" s="107"/>
      <c r="AJ17" s="107"/>
      <c r="AK17" s="107"/>
      <c r="AL17" s="107"/>
      <c r="AM17" s="107"/>
      <c r="AN17" s="107"/>
      <c r="AO17" s="107"/>
      <c r="AP17" s="108"/>
      <c r="AQ17" s="108"/>
      <c r="AR17" s="108"/>
      <c r="AS17" s="108"/>
      <c r="AT17" s="108"/>
      <c r="AU17" s="108"/>
      <c r="AV17" s="108"/>
      <c r="AW17" s="108"/>
      <c r="AX17" s="116"/>
      <c r="AY17" s="129" t="e">
        <f>0.001535*#REF!</f>
        <v>#REF!</v>
      </c>
      <c r="AZ17" s="108" t="e">
        <f>0.001535*#REF!</f>
        <v>#REF!</v>
      </c>
      <c r="BA17" s="108" t="e">
        <f>0.001535*#REF!</f>
        <v>#REF!</v>
      </c>
      <c r="BB17" s="108" t="e">
        <f>0.001535*#REF!</f>
        <v>#REF!</v>
      </c>
      <c r="BC17" s="108" t="e">
        <f>0.001535*#REF!</f>
        <v>#REF!</v>
      </c>
      <c r="BD17" s="108" t="e">
        <f>0.001535*#REF!</f>
        <v>#REF!</v>
      </c>
      <c r="BE17" s="108" t="e">
        <f>0.001535*#REF!</f>
        <v>#REF!</v>
      </c>
      <c r="BF17" s="108" t="e">
        <f>0.001535*#REF!</f>
        <v>#REF!</v>
      </c>
      <c r="BG17" s="108" t="e">
        <f>0.001535*#REF!</f>
        <v>#REF!</v>
      </c>
      <c r="BH17" s="108" t="e">
        <f>0.001535*#REF!</f>
        <v>#REF!</v>
      </c>
      <c r="BI17" s="108" t="e">
        <f>0.001535*#REF!</f>
        <v>#REF!</v>
      </c>
      <c r="BJ17" s="108" t="e">
        <f>0.001535*#REF!</f>
        <v>#REF!</v>
      </c>
      <c r="BK17" s="108" t="e">
        <f>0.001535*#REF!</f>
        <v>#REF!</v>
      </c>
      <c r="BL17" s="108" t="e">
        <f>0.001535*#REF!</f>
        <v>#REF!</v>
      </c>
      <c r="BM17" s="108" t="e">
        <f>0.001535*#REF!</f>
        <v>#REF!</v>
      </c>
      <c r="BN17" s="108" t="e">
        <f>0.001535*#REF!</f>
        <v>#REF!</v>
      </c>
      <c r="BO17" s="108" t="e">
        <f>0.001535*#REF!</f>
        <v>#REF!</v>
      </c>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row>
    <row r="18" spans="1:124" s="112" customFormat="1" x14ac:dyDescent="0.25">
      <c r="A18" s="114" t="s">
        <v>254</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07"/>
      <c r="AA18" s="107"/>
      <c r="AB18" s="107"/>
      <c r="AC18" s="107"/>
      <c r="AD18" s="107"/>
      <c r="AE18" s="107"/>
      <c r="AF18" s="107"/>
      <c r="AG18" s="107"/>
      <c r="AH18" s="107"/>
      <c r="AI18" s="107"/>
      <c r="AJ18" s="107"/>
      <c r="AK18" s="107"/>
      <c r="AL18" s="107"/>
      <c r="AM18" s="107"/>
      <c r="AN18" s="107"/>
      <c r="AO18" s="107"/>
      <c r="AP18" s="108"/>
      <c r="AQ18" s="108"/>
      <c r="AR18" s="108"/>
      <c r="AS18" s="108"/>
      <c r="AT18" s="108"/>
      <c r="AU18" s="108"/>
      <c r="AV18" s="108"/>
      <c r="AW18" s="108"/>
      <c r="AX18" s="116"/>
      <c r="AY18" s="111"/>
      <c r="AZ18" s="107"/>
      <c r="BA18" s="107"/>
      <c r="BB18" s="107"/>
      <c r="BC18" s="107"/>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row>
    <row r="19" spans="1:124" s="112" customFormat="1" x14ac:dyDescent="0.2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07"/>
      <c r="AA19" s="107"/>
      <c r="AB19" s="107"/>
      <c r="AC19" s="107"/>
      <c r="AD19" s="107"/>
      <c r="AE19" s="107"/>
      <c r="AF19" s="107"/>
      <c r="AG19" s="107"/>
      <c r="AH19" s="107"/>
      <c r="AI19" s="107"/>
      <c r="AJ19" s="107"/>
      <c r="AK19" s="107"/>
      <c r="AL19" s="107"/>
      <c r="AM19" s="107"/>
      <c r="AN19" s="107"/>
      <c r="AO19" s="107"/>
      <c r="AP19" s="108"/>
      <c r="AQ19" s="108"/>
      <c r="AR19" s="108"/>
      <c r="AS19" s="108"/>
      <c r="AT19" s="108"/>
      <c r="AU19" s="108"/>
      <c r="AV19" s="108"/>
      <c r="AW19" s="108"/>
      <c r="AX19" s="116"/>
      <c r="AY19" s="111"/>
      <c r="AZ19" s="107"/>
      <c r="BA19" s="107"/>
      <c r="BB19" s="107"/>
      <c r="BC19" s="107"/>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row>
    <row r="20" spans="1:124" s="112" customFormat="1" x14ac:dyDescent="0.25">
      <c r="A20" s="113" t="s">
        <v>255</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07"/>
      <c r="AA20" s="107"/>
      <c r="AB20" s="107"/>
      <c r="AC20" s="107"/>
      <c r="AD20" s="107"/>
      <c r="AE20" s="107"/>
      <c r="AF20" s="107"/>
      <c r="AG20" s="107"/>
      <c r="AH20" s="107"/>
      <c r="AI20" s="107"/>
      <c r="AJ20" s="107"/>
      <c r="AK20" s="107"/>
      <c r="AL20" s="107"/>
      <c r="AM20" s="107"/>
      <c r="AN20" s="107"/>
      <c r="AO20" s="107"/>
      <c r="AP20" s="108"/>
      <c r="AQ20" s="108"/>
      <c r="AR20" s="108"/>
      <c r="AS20" s="108"/>
      <c r="AT20" s="108"/>
      <c r="AU20" s="108"/>
      <c r="AV20" s="108"/>
      <c r="AW20" s="108"/>
      <c r="AX20" s="116"/>
      <c r="AY20" s="111"/>
      <c r="AZ20" s="107"/>
      <c r="BA20" s="107"/>
      <c r="BB20" s="107"/>
      <c r="BC20" s="107"/>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row>
    <row r="21" spans="1:124" s="112" customFormat="1" x14ac:dyDescent="0.25">
      <c r="A21" s="114" t="s">
        <v>256</v>
      </c>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07">
        <v>31259.13</v>
      </c>
      <c r="AA21" s="107">
        <v>25476.59</v>
      </c>
      <c r="AB21" s="107">
        <v>35486.639999999999</v>
      </c>
      <c r="AC21" s="107">
        <v>33841.160000000003</v>
      </c>
      <c r="AD21" s="107">
        <v>29320.95</v>
      </c>
      <c r="AE21" s="107">
        <v>32639.98</v>
      </c>
      <c r="AF21" s="107">
        <v>34424.58</v>
      </c>
      <c r="AG21" s="107">
        <v>34948.07</v>
      </c>
      <c r="AH21" s="107">
        <v>30601.39</v>
      </c>
      <c r="AI21" s="107">
        <v>13308.05</v>
      </c>
      <c r="AJ21" s="107">
        <v>12890.25</v>
      </c>
      <c r="AK21" s="107">
        <v>30290.15</v>
      </c>
      <c r="AL21" s="107"/>
      <c r="AM21" s="107"/>
      <c r="AN21" s="107"/>
      <c r="AO21" s="107">
        <f>AO57+AO83</f>
        <v>17207.46</v>
      </c>
      <c r="AP21" s="108">
        <f>AP57+AP83</f>
        <v>35421.57</v>
      </c>
      <c r="AQ21" s="108">
        <f t="shared" ref="AQ21:BF31" si="19">AQ57+AQ83</f>
        <v>34017.33</v>
      </c>
      <c r="AR21" s="108">
        <f t="shared" si="19"/>
        <v>32845.49</v>
      </c>
      <c r="AS21" s="108">
        <f t="shared" si="19"/>
        <v>38454.350000000006</v>
      </c>
      <c r="AT21" s="108">
        <f t="shared" si="19"/>
        <v>29902.06</v>
      </c>
      <c r="AU21" s="108">
        <f t="shared" si="19"/>
        <v>32085.119999999999</v>
      </c>
      <c r="AV21" s="108">
        <f t="shared" si="19"/>
        <v>26959.91</v>
      </c>
      <c r="AW21" s="108">
        <f t="shared" si="19"/>
        <v>30277.46</v>
      </c>
      <c r="AX21" s="116">
        <f t="shared" si="19"/>
        <v>37845.4</v>
      </c>
      <c r="AY21" s="111">
        <f t="shared" si="19"/>
        <v>35654.213333333333</v>
      </c>
      <c r="AZ21" s="107">
        <f t="shared" si="19"/>
        <v>32018.313333333332</v>
      </c>
      <c r="BA21" s="107">
        <f>BA57+BA83</f>
        <v>33594.433333333334</v>
      </c>
      <c r="BB21" s="107">
        <f>BB57+BB83</f>
        <v>26755.133333333331</v>
      </c>
      <c r="BC21" s="107">
        <f t="shared" ref="BC21:DN25" si="20">BC57+BC83</f>
        <v>35798.546666666669</v>
      </c>
      <c r="BD21" s="108">
        <f t="shared" si="20"/>
        <v>33063.373333333329</v>
      </c>
      <c r="BE21" s="108">
        <f t="shared" si="20"/>
        <v>31224.146666666667</v>
      </c>
      <c r="BF21" s="108">
        <f t="shared" si="20"/>
        <v>33232.51</v>
      </c>
      <c r="BG21" s="108">
        <f t="shared" si="20"/>
        <v>33373.003333333334</v>
      </c>
      <c r="BH21" s="108">
        <f t="shared" si="20"/>
        <v>33497.963333333333</v>
      </c>
      <c r="BI21" s="108">
        <f t="shared" si="20"/>
        <v>32971.576666666668</v>
      </c>
      <c r="BJ21" s="108">
        <f t="shared" si="20"/>
        <v>15293.039999999999</v>
      </c>
      <c r="BK21" s="108">
        <f t="shared" si="20"/>
        <v>13151.032098765432</v>
      </c>
      <c r="BL21" s="108">
        <f t="shared" si="20"/>
        <v>28054.224444444444</v>
      </c>
      <c r="BM21" s="108">
        <f t="shared" si="20"/>
        <v>28807.537777777776</v>
      </c>
      <c r="BN21" s="108">
        <f t="shared" si="20"/>
        <v>31774.197777777779</v>
      </c>
      <c r="BO21" s="108">
        <f t="shared" si="20"/>
        <v>32478.998888888887</v>
      </c>
      <c r="BP21" s="108">
        <f t="shared" si="20"/>
        <v>31996.924444444441</v>
      </c>
      <c r="BQ21" s="108">
        <f t="shared" si="20"/>
        <v>33096.268888888888</v>
      </c>
      <c r="BR21" s="108">
        <f t="shared" si="20"/>
        <v>32808.643333333333</v>
      </c>
      <c r="BS21" s="108">
        <f t="shared" si="20"/>
        <v>32653.031111111111</v>
      </c>
      <c r="BT21" s="108">
        <f t="shared" si="20"/>
        <v>31447.661111111112</v>
      </c>
      <c r="BU21" s="108">
        <f t="shared" si="20"/>
        <v>34099.27888888889</v>
      </c>
      <c r="BV21" s="108">
        <f t="shared" si="20"/>
        <v>30294.626666666667</v>
      </c>
      <c r="BW21" s="108">
        <f t="shared" si="20"/>
        <v>27526.90514403292</v>
      </c>
      <c r="BX21" s="108">
        <f t="shared" si="20"/>
        <v>32201.699259259258</v>
      </c>
      <c r="BY21" s="108">
        <f t="shared" si="20"/>
        <v>26536.477037037039</v>
      </c>
      <c r="BZ21" s="108">
        <f t="shared" si="20"/>
        <v>31316.967037037037</v>
      </c>
      <c r="CA21" s="108">
        <f t="shared" si="20"/>
        <v>34098.291851851856</v>
      </c>
      <c r="CB21" s="108">
        <f t="shared" si="20"/>
        <v>32635.262592592593</v>
      </c>
      <c r="CC21" s="108">
        <f t="shared" si="20"/>
        <v>34258.255185185189</v>
      </c>
      <c r="CD21" s="108">
        <f t="shared" si="20"/>
        <v>31981.071111111112</v>
      </c>
      <c r="CE21" s="108">
        <f t="shared" si="20"/>
        <v>32703.718148148146</v>
      </c>
      <c r="CF21" s="108">
        <f t="shared" si="20"/>
        <v>30635.178148148145</v>
      </c>
      <c r="CG21" s="108">
        <f t="shared" si="20"/>
        <v>32449.43851851852</v>
      </c>
      <c r="CH21" s="108">
        <f t="shared" si="20"/>
        <v>27811.022222222222</v>
      </c>
      <c r="CI21" s="108">
        <f t="shared" si="20"/>
        <v>25444.050192043895</v>
      </c>
      <c r="CJ21" s="108">
        <f t="shared" si="20"/>
        <v>30758.079012345683</v>
      </c>
      <c r="CK21" s="108">
        <f t="shared" si="20"/>
        <v>29646.149382716045</v>
      </c>
      <c r="CL21" s="108">
        <f t="shared" si="20"/>
        <v>29948.766049382713</v>
      </c>
      <c r="CM21" s="108">
        <f t="shared" si="20"/>
        <v>34125.27913580247</v>
      </c>
      <c r="CN21" s="108">
        <f t="shared" si="20"/>
        <v>32565.186790123458</v>
      </c>
      <c r="CO21" s="108">
        <f t="shared" si="20"/>
        <v>32859.556913580251</v>
      </c>
      <c r="CP21" s="108">
        <f t="shared" si="20"/>
        <v>32674.074814814816</v>
      </c>
      <c r="CQ21" s="108">
        <f t="shared" si="20"/>
        <v>32909.917530864201</v>
      </c>
      <c r="CR21" s="108">
        <f t="shared" si="20"/>
        <v>31860.267530864196</v>
      </c>
      <c r="CS21" s="108">
        <f t="shared" si="20"/>
        <v>33173.431358024689</v>
      </c>
      <c r="CT21" s="108">
        <f t="shared" si="20"/>
        <v>24466.229629629634</v>
      </c>
      <c r="CU21" s="108">
        <f t="shared" si="20"/>
        <v>22040.662478280748</v>
      </c>
      <c r="CV21" s="108">
        <f t="shared" si="20"/>
        <v>30338.000905349792</v>
      </c>
      <c r="CW21" s="108">
        <f t="shared" si="20"/>
        <v>28330.054732510285</v>
      </c>
      <c r="CX21" s="108">
        <f t="shared" si="20"/>
        <v>31013.310288065844</v>
      </c>
      <c r="CY21" s="108">
        <f t="shared" si="20"/>
        <v>33567.523292181068</v>
      </c>
      <c r="CZ21" s="108">
        <f t="shared" si="20"/>
        <v>32399.124609053499</v>
      </c>
      <c r="DA21" s="108">
        <f t="shared" si="20"/>
        <v>33404.693662551443</v>
      </c>
      <c r="DB21" s="108">
        <f t="shared" si="20"/>
        <v>32487.929753086421</v>
      </c>
      <c r="DC21" s="108">
        <f t="shared" si="20"/>
        <v>32755.555596707822</v>
      </c>
      <c r="DD21" s="108">
        <f t="shared" si="20"/>
        <v>31314.36893004115</v>
      </c>
      <c r="DE21" s="108">
        <f t="shared" si="20"/>
        <v>33240.716255144034</v>
      </c>
      <c r="DF21" s="108">
        <f t="shared" si="20"/>
        <v>27523.959506172843</v>
      </c>
      <c r="DG21" s="108">
        <f t="shared" si="20"/>
        <v>25003.872604785858</v>
      </c>
      <c r="DH21" s="108">
        <f t="shared" si="20"/>
        <v>31099.25972565158</v>
      </c>
      <c r="DI21" s="108">
        <f t="shared" si="20"/>
        <v>28170.893717421124</v>
      </c>
      <c r="DJ21" s="108">
        <f t="shared" si="20"/>
        <v>30759.68112482853</v>
      </c>
      <c r="DK21" s="108">
        <f t="shared" si="20"/>
        <v>33930.364759945129</v>
      </c>
      <c r="DL21" s="108">
        <f t="shared" si="20"/>
        <v>32533.191330589849</v>
      </c>
      <c r="DM21" s="108">
        <f t="shared" si="20"/>
        <v>33507.501920438961</v>
      </c>
      <c r="DN21" s="108">
        <f t="shared" si="20"/>
        <v>32381.02522633745</v>
      </c>
      <c r="DO21" s="108">
        <f t="shared" ref="DN21:DT29" si="21">DO57+DO83</f>
        <v>32789.730425240057</v>
      </c>
      <c r="DP21" s="108">
        <f t="shared" si="21"/>
        <v>31269.938203017831</v>
      </c>
      <c r="DQ21" s="108">
        <f t="shared" si="21"/>
        <v>32954.528710562416</v>
      </c>
      <c r="DR21" s="108">
        <f t="shared" si="21"/>
        <v>26600.403786008232</v>
      </c>
      <c r="DS21" s="108">
        <f t="shared" si="21"/>
        <v>24162.861758370167</v>
      </c>
      <c r="DT21" s="108">
        <f t="shared" si="21"/>
        <v>30731.779881115683</v>
      </c>
    </row>
    <row r="22" spans="1:124" s="112" customFormat="1" x14ac:dyDescent="0.25">
      <c r="A22" s="114" t="s">
        <v>257</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07">
        <v>1917</v>
      </c>
      <c r="AA22" s="107">
        <v>1586</v>
      </c>
      <c r="AB22" s="107">
        <v>2135</v>
      </c>
      <c r="AC22" s="107">
        <v>2501</v>
      </c>
      <c r="AD22" s="107">
        <v>1708</v>
      </c>
      <c r="AE22" s="107">
        <v>1281</v>
      </c>
      <c r="AF22" s="107">
        <v>1708</v>
      </c>
      <c r="AG22" s="107">
        <v>2623</v>
      </c>
      <c r="AH22" s="107">
        <v>1769</v>
      </c>
      <c r="AI22" s="107">
        <v>976</v>
      </c>
      <c r="AJ22" s="107">
        <v>1098</v>
      </c>
      <c r="AK22" s="107">
        <v>1647</v>
      </c>
      <c r="AL22" s="107"/>
      <c r="AM22" s="107"/>
      <c r="AN22" s="107"/>
      <c r="AO22" s="107">
        <f t="shared" ref="AO22:AZ31" si="22">AO58+AO84</f>
        <v>1647</v>
      </c>
      <c r="AP22" s="108">
        <f t="shared" si="22"/>
        <v>2440</v>
      </c>
      <c r="AQ22" s="108">
        <f t="shared" si="22"/>
        <v>2135</v>
      </c>
      <c r="AR22" s="108">
        <f t="shared" si="19"/>
        <v>5734</v>
      </c>
      <c r="AS22" s="108">
        <f t="shared" si="19"/>
        <v>2318</v>
      </c>
      <c r="AT22" s="108">
        <f t="shared" si="19"/>
        <v>2867</v>
      </c>
      <c r="AU22" s="108">
        <f t="shared" si="19"/>
        <v>3381</v>
      </c>
      <c r="AV22" s="108">
        <f t="shared" si="19"/>
        <v>2318</v>
      </c>
      <c r="AW22" s="108">
        <f t="shared" si="19"/>
        <v>4636</v>
      </c>
      <c r="AX22" s="116">
        <f t="shared" si="19"/>
        <v>4697</v>
      </c>
      <c r="AY22" s="111">
        <f t="shared" si="19"/>
        <v>1424.3703703703704</v>
      </c>
      <c r="AZ22" s="107">
        <f t="shared" si="19"/>
        <v>1686.648148148148</v>
      </c>
      <c r="BA22" s="107">
        <f t="shared" si="19"/>
        <v>1493</v>
      </c>
      <c r="BB22" s="107">
        <f t="shared" si="19"/>
        <v>2053.666666666667</v>
      </c>
      <c r="BC22" s="107">
        <f t="shared" si="20"/>
        <v>1647</v>
      </c>
      <c r="BD22" s="108">
        <f t="shared" si="20"/>
        <v>2784</v>
      </c>
      <c r="BE22" s="108">
        <f t="shared" si="20"/>
        <v>1920</v>
      </c>
      <c r="BF22" s="108">
        <f t="shared" si="20"/>
        <v>1867.6666666666667</v>
      </c>
      <c r="BG22" s="108">
        <f t="shared" si="20"/>
        <v>1960.6666666666667</v>
      </c>
      <c r="BH22" s="108">
        <f t="shared" si="20"/>
        <v>1417</v>
      </c>
      <c r="BI22" s="108">
        <f t="shared" si="20"/>
        <v>2662.6666666666665</v>
      </c>
      <c r="BJ22" s="108">
        <f t="shared" si="20"/>
        <v>2318</v>
      </c>
      <c r="BK22" s="108">
        <f t="shared" si="20"/>
        <v>877.23456790123464</v>
      </c>
      <c r="BL22" s="108">
        <f t="shared" si="20"/>
        <v>1963.7160493827159</v>
      </c>
      <c r="BM22" s="108">
        <f t="shared" si="20"/>
        <v>1848.3333333333335</v>
      </c>
      <c r="BN22" s="108">
        <f t="shared" si="20"/>
        <v>2270.5555555555557</v>
      </c>
      <c r="BO22" s="108">
        <f t="shared" si="20"/>
        <v>1830</v>
      </c>
      <c r="BP22" s="108">
        <f t="shared" si="20"/>
        <v>3386.666666666667</v>
      </c>
      <c r="BQ22" s="108">
        <f t="shared" si="20"/>
        <v>2051.666666666667</v>
      </c>
      <c r="BR22" s="108">
        <f t="shared" si="20"/>
        <v>2400.2222222222226</v>
      </c>
      <c r="BS22" s="108">
        <f t="shared" si="20"/>
        <v>2410.8888888888887</v>
      </c>
      <c r="BT22" s="108">
        <f t="shared" si="20"/>
        <v>1930</v>
      </c>
      <c r="BU22" s="108">
        <f t="shared" si="20"/>
        <v>2871.5555555555557</v>
      </c>
      <c r="BV22" s="108">
        <f t="shared" si="20"/>
        <v>2928</v>
      </c>
      <c r="BW22" s="108">
        <f t="shared" si="20"/>
        <v>1438.2016460905352</v>
      </c>
      <c r="BX22" s="108">
        <f t="shared" si="20"/>
        <v>2091.1213991769546</v>
      </c>
      <c r="BY22" s="108">
        <f t="shared" si="20"/>
        <v>1662.7777777777778</v>
      </c>
      <c r="BZ22" s="108">
        <f t="shared" si="20"/>
        <v>2254.7407407407409</v>
      </c>
      <c r="CA22" s="108">
        <f t="shared" si="20"/>
        <v>1870.6666666666665</v>
      </c>
      <c r="CB22" s="108">
        <f t="shared" si="20"/>
        <v>3968.2222222222226</v>
      </c>
      <c r="CC22" s="108">
        <f t="shared" si="20"/>
        <v>2096.5555555555557</v>
      </c>
      <c r="CD22" s="108">
        <f t="shared" si="20"/>
        <v>2378.2962962962965</v>
      </c>
      <c r="CE22" s="108">
        <f t="shared" si="20"/>
        <v>2584.1851851851852</v>
      </c>
      <c r="CF22" s="108">
        <f t="shared" si="20"/>
        <v>1888.3333333333335</v>
      </c>
      <c r="CG22" s="108">
        <f t="shared" si="20"/>
        <v>3390.0740740740739</v>
      </c>
      <c r="CH22" s="108">
        <f t="shared" si="20"/>
        <v>3314.3333333333339</v>
      </c>
      <c r="CI22" s="108">
        <f t="shared" si="20"/>
        <v>1246.6021947873801</v>
      </c>
      <c r="CJ22" s="108">
        <f t="shared" si="20"/>
        <v>1913.8285322359395</v>
      </c>
      <c r="CK22" s="108">
        <f t="shared" si="20"/>
        <v>1668.037037037037</v>
      </c>
      <c r="CL22" s="108">
        <f t="shared" si="20"/>
        <v>2192.987654320988</v>
      </c>
      <c r="CM22" s="108">
        <f t="shared" si="20"/>
        <v>1782.5555555555557</v>
      </c>
      <c r="CN22" s="108">
        <f t="shared" si="20"/>
        <v>3379.62962962963</v>
      </c>
      <c r="CO22" s="108">
        <f t="shared" si="20"/>
        <v>2022.7407407407409</v>
      </c>
      <c r="CP22" s="108">
        <f t="shared" si="20"/>
        <v>2215.3950617283954</v>
      </c>
      <c r="CQ22" s="108">
        <f t="shared" si="20"/>
        <v>2318.5802469135801</v>
      </c>
      <c r="CR22" s="108">
        <f t="shared" si="20"/>
        <v>1745.1111111111113</v>
      </c>
      <c r="CS22" s="108">
        <f t="shared" si="20"/>
        <v>2974.7654320987649</v>
      </c>
      <c r="CT22" s="108">
        <f t="shared" si="20"/>
        <v>2853.4444444444453</v>
      </c>
      <c r="CU22" s="108">
        <f t="shared" si="20"/>
        <v>1187.3461362597166</v>
      </c>
      <c r="CV22" s="108">
        <f t="shared" si="20"/>
        <v>1989.55532693187</v>
      </c>
      <c r="CW22" s="108">
        <f t="shared" si="20"/>
        <v>1726.3827160493829</v>
      </c>
      <c r="CX22" s="108">
        <f t="shared" si="20"/>
        <v>2239.4279835390948</v>
      </c>
      <c r="CY22" s="108">
        <f t="shared" si="20"/>
        <v>1827.7407407407409</v>
      </c>
      <c r="CZ22" s="108">
        <f t="shared" si="20"/>
        <v>3578.1728395061737</v>
      </c>
      <c r="DA22" s="108">
        <f t="shared" si="20"/>
        <v>2056.987654320988</v>
      </c>
      <c r="DB22" s="108">
        <f t="shared" si="20"/>
        <v>2331.3045267489715</v>
      </c>
      <c r="DC22" s="108">
        <f t="shared" si="20"/>
        <v>2437.8847736625512</v>
      </c>
      <c r="DD22" s="108">
        <f t="shared" si="20"/>
        <v>1854.4814814814818</v>
      </c>
      <c r="DE22" s="108">
        <f t="shared" si="20"/>
        <v>3078.7983539094648</v>
      </c>
      <c r="DF22" s="108">
        <f t="shared" si="20"/>
        <v>3031.9259259259261</v>
      </c>
      <c r="DG22" s="108">
        <f t="shared" si="20"/>
        <v>1290.7166590458773</v>
      </c>
      <c r="DH22" s="108">
        <f t="shared" si="20"/>
        <v>1998.1684194482546</v>
      </c>
      <c r="DI22" s="108">
        <f t="shared" si="20"/>
        <v>1685.7325102880659</v>
      </c>
      <c r="DJ22" s="108">
        <f t="shared" si="20"/>
        <v>2229.0521262002749</v>
      </c>
      <c r="DK22" s="108">
        <f t="shared" si="20"/>
        <v>1826.9876543209875</v>
      </c>
      <c r="DL22" s="108">
        <f t="shared" si="20"/>
        <v>3642.0082304526759</v>
      </c>
      <c r="DM22" s="108">
        <f t="shared" si="20"/>
        <v>2058.7613168724283</v>
      </c>
      <c r="DN22" s="108">
        <f t="shared" si="21"/>
        <v>2308.331961591221</v>
      </c>
      <c r="DO22" s="108">
        <f t="shared" si="21"/>
        <v>2446.8834019204387</v>
      </c>
      <c r="DP22" s="108">
        <f t="shared" si="21"/>
        <v>1829.308641975309</v>
      </c>
      <c r="DQ22" s="108">
        <f t="shared" si="21"/>
        <v>3147.8792866941008</v>
      </c>
      <c r="DR22" s="108">
        <f t="shared" si="21"/>
        <v>3066.567901234569</v>
      </c>
      <c r="DS22" s="108">
        <f t="shared" si="21"/>
        <v>1241.554996697658</v>
      </c>
      <c r="DT22" s="108">
        <f t="shared" si="21"/>
        <v>1967.1840928720212</v>
      </c>
    </row>
    <row r="23" spans="1:124" s="112" customFormat="1" x14ac:dyDescent="0.25">
      <c r="A23" s="114" t="s">
        <v>258</v>
      </c>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07">
        <v>10568</v>
      </c>
      <c r="AA23" s="107">
        <v>8398</v>
      </c>
      <c r="AB23" s="107">
        <v>11472</v>
      </c>
      <c r="AC23" s="107">
        <v>11836</v>
      </c>
      <c r="AD23" s="107">
        <v>11420</v>
      </c>
      <c r="AE23" s="107">
        <v>12506</v>
      </c>
      <c r="AF23" s="107">
        <v>11349</v>
      </c>
      <c r="AG23" s="107">
        <v>13724</v>
      </c>
      <c r="AH23" s="107">
        <v>11973</v>
      </c>
      <c r="AI23" s="107">
        <v>7280</v>
      </c>
      <c r="AJ23" s="107">
        <v>5486</v>
      </c>
      <c r="AK23" s="107">
        <v>10656</v>
      </c>
      <c r="AL23" s="107"/>
      <c r="AM23" s="107"/>
      <c r="AN23" s="107"/>
      <c r="AO23" s="107">
        <f>AO59+AO85</f>
        <v>8684</v>
      </c>
      <c r="AP23" s="108">
        <f t="shared" si="22"/>
        <v>10686</v>
      </c>
      <c r="AQ23" s="108">
        <f t="shared" si="22"/>
        <v>9854</v>
      </c>
      <c r="AR23" s="108">
        <f t="shared" si="19"/>
        <v>12431</v>
      </c>
      <c r="AS23" s="108">
        <f t="shared" si="19"/>
        <v>11986</v>
      </c>
      <c r="AT23" s="108">
        <f t="shared" si="19"/>
        <v>12480</v>
      </c>
      <c r="AU23" s="108">
        <f t="shared" si="19"/>
        <v>11050</v>
      </c>
      <c r="AV23" s="108">
        <f t="shared" si="19"/>
        <v>12818</v>
      </c>
      <c r="AW23" s="108">
        <f t="shared" si="19"/>
        <v>12090</v>
      </c>
      <c r="AX23" s="116">
        <f t="shared" si="19"/>
        <v>10218</v>
      </c>
      <c r="AY23" s="111">
        <f t="shared" si="19"/>
        <v>10874.259259259259</v>
      </c>
      <c r="AZ23" s="107">
        <f t="shared" si="19"/>
        <v>10294.555555555555</v>
      </c>
      <c r="BA23" s="107">
        <f t="shared" si="19"/>
        <v>9914.6666666666679</v>
      </c>
      <c r="BB23" s="107">
        <f t="shared" si="19"/>
        <v>9923.3333333333321</v>
      </c>
      <c r="BC23" s="107">
        <f t="shared" si="20"/>
        <v>11301.333333333332</v>
      </c>
      <c r="BD23" s="108">
        <f t="shared" si="20"/>
        <v>11372</v>
      </c>
      <c r="BE23" s="108">
        <f t="shared" si="20"/>
        <v>10770</v>
      </c>
      <c r="BF23" s="108">
        <f t="shared" si="20"/>
        <v>12610</v>
      </c>
      <c r="BG23" s="108">
        <f t="shared" si="20"/>
        <v>11401</v>
      </c>
      <c r="BH23" s="108">
        <f t="shared" si="20"/>
        <v>12593.666666666668</v>
      </c>
      <c r="BI23" s="108">
        <f t="shared" si="20"/>
        <v>12081.333333333332</v>
      </c>
      <c r="BJ23" s="108">
        <f t="shared" si="20"/>
        <v>7470.666666666667</v>
      </c>
      <c r="BK23" s="108">
        <f t="shared" si="20"/>
        <v>5814.1975308641968</v>
      </c>
      <c r="BL23" s="108">
        <f t="shared" si="20"/>
        <v>10750.185185185186</v>
      </c>
      <c r="BM23" s="108">
        <f t="shared" si="20"/>
        <v>9865.5555555555547</v>
      </c>
      <c r="BN23" s="108">
        <f t="shared" si="20"/>
        <v>10024.444444444445</v>
      </c>
      <c r="BO23" s="108">
        <f t="shared" si="20"/>
        <v>11003.777777777777</v>
      </c>
      <c r="BP23" s="108">
        <f t="shared" si="20"/>
        <v>11903.666666666666</v>
      </c>
      <c r="BQ23" s="108">
        <f t="shared" si="20"/>
        <v>11034.666666666666</v>
      </c>
      <c r="BR23" s="108">
        <f t="shared" si="20"/>
        <v>12662</v>
      </c>
      <c r="BS23" s="108">
        <f t="shared" si="20"/>
        <v>11565.666666666666</v>
      </c>
      <c r="BT23" s="108">
        <f t="shared" si="20"/>
        <v>12361.888888888889</v>
      </c>
      <c r="BU23" s="108">
        <f t="shared" si="20"/>
        <v>11792.444444444445</v>
      </c>
      <c r="BV23" s="108">
        <f t="shared" si="20"/>
        <v>9622.8888888888905</v>
      </c>
      <c r="BW23" s="108">
        <f t="shared" si="20"/>
        <v>9168.1522633744844</v>
      </c>
      <c r="BX23" s="108">
        <f t="shared" si="20"/>
        <v>10409.913580246914</v>
      </c>
      <c r="BY23" s="108">
        <f t="shared" si="20"/>
        <v>9488.0740740740748</v>
      </c>
      <c r="BZ23" s="108">
        <f t="shared" si="20"/>
        <v>10211.259259259259</v>
      </c>
      <c r="CA23" s="108">
        <f t="shared" si="20"/>
        <v>10719.703703703703</v>
      </c>
      <c r="CB23" s="108">
        <f t="shared" si="20"/>
        <v>11902.222222222223</v>
      </c>
      <c r="CC23" s="108">
        <f t="shared" si="20"/>
        <v>11263.555555555555</v>
      </c>
      <c r="CD23" s="108">
        <f t="shared" si="20"/>
        <v>12584</v>
      </c>
      <c r="CE23" s="108">
        <f t="shared" si="20"/>
        <v>11338.888888888889</v>
      </c>
      <c r="CF23" s="108">
        <f t="shared" si="20"/>
        <v>12591.185185185186</v>
      </c>
      <c r="CG23" s="108">
        <f t="shared" si="20"/>
        <v>11987.925925925927</v>
      </c>
      <c r="CH23" s="108">
        <f t="shared" si="20"/>
        <v>9103.8518518518522</v>
      </c>
      <c r="CI23" s="108">
        <f t="shared" si="20"/>
        <v>8618.8696844993137</v>
      </c>
      <c r="CJ23" s="108">
        <f t="shared" si="20"/>
        <v>10484.884773662552</v>
      </c>
      <c r="CK23" s="108">
        <f t="shared" si="20"/>
        <v>9756.0987654320998</v>
      </c>
      <c r="CL23" s="108">
        <f t="shared" si="20"/>
        <v>10053.012345679013</v>
      </c>
      <c r="CM23" s="108">
        <f t="shared" si="20"/>
        <v>11008.271604938273</v>
      </c>
      <c r="CN23" s="108">
        <f t="shared" si="20"/>
        <v>11725.962962962964</v>
      </c>
      <c r="CO23" s="108">
        <f t="shared" si="20"/>
        <v>11022.740740740739</v>
      </c>
      <c r="CP23" s="108">
        <f t="shared" si="20"/>
        <v>12618.666666666666</v>
      </c>
      <c r="CQ23" s="108">
        <f t="shared" si="20"/>
        <v>11435.185185185186</v>
      </c>
      <c r="CR23" s="108">
        <f t="shared" si="20"/>
        <v>12515.580246913582</v>
      </c>
      <c r="CS23" s="108">
        <f t="shared" si="20"/>
        <v>11953.9012345679</v>
      </c>
      <c r="CT23" s="108">
        <f t="shared" si="20"/>
        <v>8732.4691358024702</v>
      </c>
      <c r="CU23" s="108">
        <f t="shared" si="20"/>
        <v>7867.0731595793322</v>
      </c>
      <c r="CV23" s="108">
        <f t="shared" si="20"/>
        <v>10548.327846364882</v>
      </c>
      <c r="CW23" s="108">
        <f t="shared" si="20"/>
        <v>9703.2427983539092</v>
      </c>
      <c r="CX23" s="108">
        <f t="shared" si="20"/>
        <v>10096.238683127573</v>
      </c>
      <c r="CY23" s="108">
        <f t="shared" si="20"/>
        <v>10910.584362139916</v>
      </c>
      <c r="CZ23" s="108">
        <f t="shared" si="20"/>
        <v>11843.95061728395</v>
      </c>
      <c r="DA23" s="108">
        <f t="shared" si="20"/>
        <v>11106.987654320987</v>
      </c>
      <c r="DB23" s="108">
        <f t="shared" si="20"/>
        <v>12621.555555555555</v>
      </c>
      <c r="DC23" s="108">
        <f t="shared" si="20"/>
        <v>11446.580246913582</v>
      </c>
      <c r="DD23" s="108">
        <f t="shared" si="20"/>
        <v>12489.551440329218</v>
      </c>
      <c r="DE23" s="108">
        <f t="shared" si="20"/>
        <v>11911.423868312759</v>
      </c>
      <c r="DF23" s="108">
        <f t="shared" si="20"/>
        <v>9153.0699588477364</v>
      </c>
      <c r="DG23" s="108">
        <f t="shared" si="20"/>
        <v>8551.3650358177092</v>
      </c>
      <c r="DH23" s="108">
        <f t="shared" si="20"/>
        <v>10481.042066758117</v>
      </c>
      <c r="DI23" s="108">
        <f t="shared" si="20"/>
        <v>9649.1385459533612</v>
      </c>
      <c r="DJ23" s="108">
        <f t="shared" si="20"/>
        <v>10120.170096021948</v>
      </c>
      <c r="DK23" s="108">
        <f t="shared" si="20"/>
        <v>10879.519890260628</v>
      </c>
      <c r="DL23" s="108">
        <f t="shared" si="20"/>
        <v>11824.04526748971</v>
      </c>
      <c r="DM23" s="108">
        <f t="shared" si="20"/>
        <v>11131.094650205761</v>
      </c>
      <c r="DN23" s="108">
        <f t="shared" si="21"/>
        <v>12608.074074074075</v>
      </c>
      <c r="DO23" s="108">
        <f t="shared" si="21"/>
        <v>11406.884773662552</v>
      </c>
      <c r="DP23" s="108">
        <f t="shared" si="21"/>
        <v>12532.10562414266</v>
      </c>
      <c r="DQ23" s="108">
        <f t="shared" si="21"/>
        <v>11951.083676268863</v>
      </c>
      <c r="DR23" s="108">
        <f t="shared" si="21"/>
        <v>8996.4636488340202</v>
      </c>
      <c r="DS23" s="108">
        <f t="shared" si="21"/>
        <v>8345.7692932987848</v>
      </c>
      <c r="DT23" s="108">
        <f t="shared" si="21"/>
        <v>10504.75156226185</v>
      </c>
    </row>
    <row r="24" spans="1:124" s="112" customFormat="1" x14ac:dyDescent="0.25">
      <c r="A24" s="114" t="s">
        <v>259</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07">
        <v>2704</v>
      </c>
      <c r="AA24" s="107">
        <v>5712</v>
      </c>
      <c r="AB24" s="107">
        <v>3760</v>
      </c>
      <c r="AC24" s="107">
        <v>5872</v>
      </c>
      <c r="AD24" s="107">
        <v>4560</v>
      </c>
      <c r="AE24" s="107">
        <v>4784</v>
      </c>
      <c r="AF24" s="107">
        <v>6128</v>
      </c>
      <c r="AG24" s="107">
        <v>8096</v>
      </c>
      <c r="AH24" s="107">
        <v>6544</v>
      </c>
      <c r="AI24" s="107">
        <v>1824</v>
      </c>
      <c r="AJ24" s="107">
        <v>256</v>
      </c>
      <c r="AK24" s="107">
        <v>3824</v>
      </c>
      <c r="AL24" s="107"/>
      <c r="AM24" s="107"/>
      <c r="AN24" s="107"/>
      <c r="AO24" s="107">
        <f>AO60+AO86</f>
        <v>1200</v>
      </c>
      <c r="AP24" s="108">
        <f t="shared" si="22"/>
        <v>1216</v>
      </c>
      <c r="AQ24" s="108">
        <f t="shared" si="22"/>
        <v>1600</v>
      </c>
      <c r="AR24" s="108">
        <f t="shared" si="19"/>
        <v>2096</v>
      </c>
      <c r="AS24" s="108">
        <f t="shared" si="19"/>
        <v>2768</v>
      </c>
      <c r="AT24" s="108">
        <f t="shared" si="19"/>
        <v>5344</v>
      </c>
      <c r="AU24" s="108">
        <f t="shared" si="19"/>
        <v>4704</v>
      </c>
      <c r="AV24" s="108">
        <f t="shared" si="19"/>
        <v>6240</v>
      </c>
      <c r="AW24" s="108">
        <f t="shared" si="19"/>
        <v>7040</v>
      </c>
      <c r="AX24" s="116">
        <f t="shared" si="19"/>
        <v>1104</v>
      </c>
      <c r="AY24" s="111">
        <f t="shared" si="19"/>
        <v>6958.666666666667</v>
      </c>
      <c r="AZ24" s="107">
        <f t="shared" si="19"/>
        <v>5471.1111111111113</v>
      </c>
      <c r="BA24" s="107">
        <f t="shared" si="19"/>
        <v>3152</v>
      </c>
      <c r="BB24" s="107">
        <f t="shared" si="19"/>
        <v>5130.666666666667</v>
      </c>
      <c r="BC24" s="107">
        <f t="shared" si="20"/>
        <v>4448</v>
      </c>
      <c r="BD24" s="108">
        <f t="shared" si="20"/>
        <v>5856</v>
      </c>
      <c r="BE24" s="108">
        <f t="shared" si="20"/>
        <v>6032</v>
      </c>
      <c r="BF24" s="108">
        <f t="shared" si="20"/>
        <v>4970.666666666667</v>
      </c>
      <c r="BG24" s="108">
        <f t="shared" si="20"/>
        <v>6224</v>
      </c>
      <c r="BH24" s="108">
        <f t="shared" si="20"/>
        <v>7104</v>
      </c>
      <c r="BI24" s="108">
        <f t="shared" si="20"/>
        <v>7493.333333333333</v>
      </c>
      <c r="BJ24" s="108">
        <f t="shared" si="20"/>
        <v>2453.3333333333335</v>
      </c>
      <c r="BK24" s="108">
        <f t="shared" si="20"/>
        <v>1924.0740740740741</v>
      </c>
      <c r="BL24" s="108">
        <f t="shared" si="20"/>
        <v>5437.0370370370374</v>
      </c>
      <c r="BM24" s="108">
        <f t="shared" si="20"/>
        <v>2901.333333333333</v>
      </c>
      <c r="BN24" s="108">
        <f t="shared" si="20"/>
        <v>4232.8888888888887</v>
      </c>
      <c r="BO24" s="108">
        <f t="shared" si="20"/>
        <v>3914.6666666666665</v>
      </c>
      <c r="BP24" s="108">
        <f t="shared" si="20"/>
        <v>4090.666666666667</v>
      </c>
      <c r="BQ24" s="108">
        <f t="shared" si="20"/>
        <v>4781.3333333333339</v>
      </c>
      <c r="BR24" s="108">
        <f t="shared" si="20"/>
        <v>5118.2222222222226</v>
      </c>
      <c r="BS24" s="108">
        <f t="shared" si="20"/>
        <v>5386.666666666667</v>
      </c>
      <c r="BT24" s="108">
        <f t="shared" si="20"/>
        <v>6288</v>
      </c>
      <c r="BU24" s="108">
        <f t="shared" si="20"/>
        <v>6087.1111111111104</v>
      </c>
      <c r="BV24" s="108">
        <f t="shared" si="20"/>
        <v>2263.1111111111113</v>
      </c>
      <c r="BW24" s="108">
        <f t="shared" si="20"/>
        <v>4896.9135802469136</v>
      </c>
      <c r="BX24" s="108">
        <f t="shared" si="20"/>
        <v>5321.3827160493829</v>
      </c>
      <c r="BY24" s="108">
        <f t="shared" si="20"/>
        <v>2417.7777777777774</v>
      </c>
      <c r="BZ24" s="108">
        <f t="shared" si="20"/>
        <v>3526.5185185185192</v>
      </c>
      <c r="CA24" s="108">
        <f t="shared" si="20"/>
        <v>3320.8888888888887</v>
      </c>
      <c r="CB24" s="108">
        <f t="shared" si="20"/>
        <v>4014.2222222222226</v>
      </c>
      <c r="CC24" s="108">
        <f t="shared" si="20"/>
        <v>4527.1111111111113</v>
      </c>
      <c r="CD24" s="108">
        <f t="shared" si="20"/>
        <v>5144.2962962962965</v>
      </c>
      <c r="CE24" s="108">
        <f t="shared" si="20"/>
        <v>5438.2222222222226</v>
      </c>
      <c r="CF24" s="108">
        <f t="shared" si="20"/>
        <v>6544</v>
      </c>
      <c r="CG24" s="108">
        <f t="shared" si="20"/>
        <v>6873.4814814814808</v>
      </c>
      <c r="CH24" s="108">
        <f t="shared" si="20"/>
        <v>1940.1481481481483</v>
      </c>
      <c r="CI24" s="108">
        <f t="shared" si="20"/>
        <v>4593.2181069958851</v>
      </c>
      <c r="CJ24" s="108">
        <f t="shared" si="20"/>
        <v>5409.8436213991772</v>
      </c>
      <c r="CK24" s="108">
        <f t="shared" si="20"/>
        <v>2823.7037037037035</v>
      </c>
      <c r="CL24" s="108">
        <f t="shared" si="20"/>
        <v>4296.6913580246919</v>
      </c>
      <c r="CM24" s="108">
        <f t="shared" si="20"/>
        <v>3894.5185185185182</v>
      </c>
      <c r="CN24" s="108">
        <f t="shared" si="20"/>
        <v>4653.6296296296296</v>
      </c>
      <c r="CO24" s="108">
        <f t="shared" si="20"/>
        <v>5113.4814814814818</v>
      </c>
      <c r="CP24" s="108">
        <f t="shared" si="20"/>
        <v>5077.7283950617284</v>
      </c>
      <c r="CQ24" s="108">
        <f t="shared" si="20"/>
        <v>5682.9629629629626</v>
      </c>
      <c r="CR24" s="108">
        <f t="shared" si="20"/>
        <v>6645.333333333333</v>
      </c>
      <c r="CS24" s="108">
        <f t="shared" si="20"/>
        <v>6817.9753086419751</v>
      </c>
      <c r="CT24" s="108">
        <f t="shared" si="20"/>
        <v>2218.8641975308642</v>
      </c>
      <c r="CU24" s="108">
        <f t="shared" si="20"/>
        <v>3804.7352537722913</v>
      </c>
      <c r="CV24" s="108">
        <f t="shared" si="20"/>
        <v>5389.4211248285319</v>
      </c>
      <c r="CW24" s="108">
        <f t="shared" si="20"/>
        <v>2714.2716049382716</v>
      </c>
      <c r="CX24" s="108">
        <f t="shared" si="20"/>
        <v>4018.6995884773669</v>
      </c>
      <c r="CY24" s="108">
        <f t="shared" si="20"/>
        <v>3710.0246913580245</v>
      </c>
      <c r="CZ24" s="108">
        <f t="shared" si="20"/>
        <v>4252.8395061728397</v>
      </c>
      <c r="DA24" s="108">
        <f t="shared" si="20"/>
        <v>4807.308641975309</v>
      </c>
      <c r="DB24" s="108">
        <f t="shared" si="20"/>
        <v>5113.4156378600828</v>
      </c>
      <c r="DC24" s="108">
        <f t="shared" si="20"/>
        <v>5502.6172839506171</v>
      </c>
      <c r="DD24" s="108">
        <f t="shared" si="20"/>
        <v>6492.4444444444443</v>
      </c>
      <c r="DE24" s="108">
        <f t="shared" si="20"/>
        <v>6592.8559670781888</v>
      </c>
      <c r="DF24" s="108">
        <f t="shared" si="20"/>
        <v>2140.707818930041</v>
      </c>
      <c r="DG24" s="108">
        <f t="shared" si="20"/>
        <v>4431.6223136716972</v>
      </c>
      <c r="DH24" s="108">
        <f t="shared" si="20"/>
        <v>5373.5491540923631</v>
      </c>
      <c r="DI24" s="108">
        <f t="shared" si="20"/>
        <v>2651.9176954732511</v>
      </c>
      <c r="DJ24" s="108">
        <f t="shared" si="20"/>
        <v>3947.303155006859</v>
      </c>
      <c r="DK24" s="108">
        <f t="shared" si="20"/>
        <v>3641.8106995884768</v>
      </c>
      <c r="DL24" s="108">
        <f t="shared" si="20"/>
        <v>4306.8971193415646</v>
      </c>
      <c r="DM24" s="108">
        <f t="shared" si="20"/>
        <v>4815.9670781893001</v>
      </c>
      <c r="DN24" s="108">
        <f t="shared" si="21"/>
        <v>5111.8134430727032</v>
      </c>
      <c r="DO24" s="108">
        <f t="shared" si="21"/>
        <v>5541.2674897119341</v>
      </c>
      <c r="DP24" s="108">
        <f t="shared" si="21"/>
        <v>6560.5925925925912</v>
      </c>
      <c r="DQ24" s="108">
        <f t="shared" si="21"/>
        <v>6761.4375857338819</v>
      </c>
      <c r="DR24" s="108">
        <f t="shared" si="21"/>
        <v>2099.9067215363511</v>
      </c>
      <c r="DS24" s="108">
        <f t="shared" si="21"/>
        <v>4276.5252248132911</v>
      </c>
      <c r="DT24" s="108">
        <f t="shared" si="21"/>
        <v>5390.9379667733574</v>
      </c>
    </row>
    <row r="25" spans="1:124" s="112" customFormat="1" x14ac:dyDescent="0.25">
      <c r="A25" s="128" t="s">
        <v>260</v>
      </c>
      <c r="B25" s="128"/>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07">
        <v>-1285.78</v>
      </c>
      <c r="AA25" s="107">
        <v>-235.74999999999997</v>
      </c>
      <c r="AB25" s="107">
        <v>-4856.9800000000005</v>
      </c>
      <c r="AC25" s="107">
        <v>-906.64</v>
      </c>
      <c r="AD25" s="107">
        <v>-787.62</v>
      </c>
      <c r="AE25" s="107">
        <v>-1776.1100000000001</v>
      </c>
      <c r="AF25" s="107">
        <v>-913.63</v>
      </c>
      <c r="AG25" s="107">
        <v>-1083.56</v>
      </c>
      <c r="AH25" s="107">
        <v>-771.11</v>
      </c>
      <c r="AI25" s="107">
        <v>-2036.82</v>
      </c>
      <c r="AJ25" s="107">
        <v>-762.68</v>
      </c>
      <c r="AK25" s="107">
        <v>-377.47</v>
      </c>
      <c r="AL25" s="107"/>
      <c r="AM25" s="107"/>
      <c r="AN25" s="107"/>
      <c r="AO25" s="107">
        <f>AO61+AO87</f>
        <v>-12779.92</v>
      </c>
      <c r="AP25" s="108">
        <f t="shared" si="22"/>
        <v>-3788.16</v>
      </c>
      <c r="AQ25" s="108">
        <f t="shared" si="22"/>
        <v>-3006.48</v>
      </c>
      <c r="AR25" s="108">
        <f t="shared" si="19"/>
        <v>-4052.12</v>
      </c>
      <c r="AS25" s="108">
        <f t="shared" si="19"/>
        <v>-2135.9300000000003</v>
      </c>
      <c r="AT25" s="108">
        <f t="shared" si="19"/>
        <v>-2529.5299999999997</v>
      </c>
      <c r="AU25" s="108">
        <f t="shared" si="19"/>
        <v>-2618.3000000000002</v>
      </c>
      <c r="AV25" s="108">
        <f t="shared" si="19"/>
        <v>-4661.7299999999996</v>
      </c>
      <c r="AW25" s="108">
        <f t="shared" si="19"/>
        <v>-1477.6599999999999</v>
      </c>
      <c r="AX25" s="116">
        <f t="shared" si="19"/>
        <v>-1896.6999999999998</v>
      </c>
      <c r="AY25" s="111">
        <f t="shared" si="19"/>
        <v>-2122.2103703703706</v>
      </c>
      <c r="AZ25" s="107">
        <f t="shared" si="19"/>
        <v>-1413.7466666666667</v>
      </c>
      <c r="BA25" s="107">
        <f t="shared" si="19"/>
        <v>-894.62666666666655</v>
      </c>
      <c r="BB25" s="107">
        <f t="shared" si="19"/>
        <v>-1230.7933333333331</v>
      </c>
      <c r="BC25" s="107">
        <f t="shared" si="20"/>
        <v>-1884.7466666666667</v>
      </c>
      <c r="BD25" s="108">
        <f t="shared" si="20"/>
        <v>-2013.7933333333335</v>
      </c>
      <c r="BE25" s="108">
        <f t="shared" ref="BE25:DO29" si="23">BE61+BE87</f>
        <v>-679.39333333333332</v>
      </c>
      <c r="BF25" s="108">
        <f t="shared" si="23"/>
        <v>-1335.3966666666665</v>
      </c>
      <c r="BG25" s="108">
        <f t="shared" si="23"/>
        <v>-574.58999999999992</v>
      </c>
      <c r="BH25" s="108">
        <f t="shared" si="23"/>
        <v>-1378.0133333333333</v>
      </c>
      <c r="BI25" s="108">
        <f t="shared" si="23"/>
        <v>-618.60666666666668</v>
      </c>
      <c r="BJ25" s="108">
        <f t="shared" si="23"/>
        <v>-1452.53</v>
      </c>
      <c r="BK25" s="108">
        <f t="shared" si="23"/>
        <v>-1721.078024691358</v>
      </c>
      <c r="BL25" s="108">
        <f t="shared" si="23"/>
        <v>-190.31888888888886</v>
      </c>
      <c r="BM25" s="108">
        <f t="shared" si="23"/>
        <v>-5426.1888888888889</v>
      </c>
      <c r="BN25" s="108">
        <f t="shared" si="23"/>
        <v>-2164.1877777777777</v>
      </c>
      <c r="BO25" s="108">
        <f t="shared" si="23"/>
        <v>-2800.6422222222227</v>
      </c>
      <c r="BP25" s="108">
        <f t="shared" si="23"/>
        <v>-2237.681111111111</v>
      </c>
      <c r="BQ25" s="108">
        <f t="shared" si="23"/>
        <v>-1172.0544444444445</v>
      </c>
      <c r="BR25" s="108">
        <f t="shared" si="23"/>
        <v>-1875.2555555555555</v>
      </c>
      <c r="BS25" s="108">
        <f t="shared" si="23"/>
        <v>-1295.5566666666664</v>
      </c>
      <c r="BT25" s="108">
        <f t="shared" si="23"/>
        <v>-2154.6211111111111</v>
      </c>
      <c r="BU25" s="108">
        <f t="shared" si="23"/>
        <v>-1499.5255555555557</v>
      </c>
      <c r="BV25" s="108">
        <f t="shared" si="23"/>
        <v>-1121.5900000000001</v>
      </c>
      <c r="BW25" s="108">
        <f t="shared" si="23"/>
        <v>-2634.406131687243</v>
      </c>
      <c r="BX25" s="108">
        <f t="shared" si="23"/>
        <v>-1100.9485185185185</v>
      </c>
      <c r="BY25" s="108">
        <f t="shared" si="23"/>
        <v>-6366.9118518518517</v>
      </c>
      <c r="BZ25" s="108">
        <f t="shared" si="23"/>
        <v>-2394.3803703703707</v>
      </c>
      <c r="CA25" s="108">
        <f t="shared" si="23"/>
        <v>-2563.9562962962964</v>
      </c>
      <c r="CB25" s="108">
        <f t="shared" si="23"/>
        <v>-2767.864814814815</v>
      </c>
      <c r="CC25" s="108">
        <f t="shared" si="23"/>
        <v>-1329.1259259259259</v>
      </c>
      <c r="CD25" s="108">
        <f t="shared" si="23"/>
        <v>-1913.3940740740741</v>
      </c>
      <c r="CE25" s="108">
        <f t="shared" si="23"/>
        <v>-1496.1488888888889</v>
      </c>
      <c r="CF25" s="108">
        <f t="shared" si="23"/>
        <v>-2731.4548148148151</v>
      </c>
      <c r="CG25" s="108">
        <f t="shared" si="23"/>
        <v>-1198.5974074074077</v>
      </c>
      <c r="CH25" s="108">
        <f t="shared" si="23"/>
        <v>-1490.2733333333333</v>
      </c>
      <c r="CI25" s="108">
        <f t="shared" si="23"/>
        <v>-2159.2315089163239</v>
      </c>
      <c r="CJ25" s="108">
        <f t="shared" si="23"/>
        <v>-901.67135802469124</v>
      </c>
      <c r="CK25" s="108">
        <f t="shared" si="23"/>
        <v>-4229.2424691358028</v>
      </c>
      <c r="CL25" s="108">
        <f t="shared" si="23"/>
        <v>-1929.7871604938273</v>
      </c>
      <c r="CM25" s="108">
        <f t="shared" si="23"/>
        <v>-2416.4483950617287</v>
      </c>
      <c r="CN25" s="108">
        <f t="shared" si="23"/>
        <v>-2339.77975308642</v>
      </c>
      <c r="CO25" s="108">
        <f t="shared" si="23"/>
        <v>-1060.1912345679011</v>
      </c>
      <c r="CP25" s="108">
        <f t="shared" si="23"/>
        <v>-1708.0154320987654</v>
      </c>
      <c r="CQ25" s="108">
        <f t="shared" si="23"/>
        <v>-1122.0985185185186</v>
      </c>
      <c r="CR25" s="108">
        <f t="shared" si="23"/>
        <v>-2088.0297530864195</v>
      </c>
      <c r="CS25" s="108">
        <f t="shared" si="23"/>
        <v>-1105.5765432098767</v>
      </c>
      <c r="CT25" s="108">
        <f t="shared" si="23"/>
        <v>-1354.7977777777778</v>
      </c>
      <c r="CU25" s="108">
        <f t="shared" si="23"/>
        <v>-2171.5718884316416</v>
      </c>
      <c r="CV25" s="108">
        <f t="shared" si="23"/>
        <v>-730.97958847736618</v>
      </c>
      <c r="CW25" s="108">
        <f t="shared" si="23"/>
        <v>-5340.7810699588481</v>
      </c>
      <c r="CX25" s="108">
        <f t="shared" si="23"/>
        <v>-2162.7851028806581</v>
      </c>
      <c r="CY25" s="108">
        <f t="shared" si="23"/>
        <v>-2593.6823045267492</v>
      </c>
      <c r="CZ25" s="108">
        <f t="shared" si="23"/>
        <v>-2448.4418930041152</v>
      </c>
      <c r="DA25" s="108">
        <f t="shared" si="23"/>
        <v>-1187.1238683127569</v>
      </c>
      <c r="DB25" s="108">
        <f t="shared" si="23"/>
        <v>-1832.2216872427982</v>
      </c>
      <c r="DC25" s="108">
        <f t="shared" si="23"/>
        <v>-1304.6013580246913</v>
      </c>
      <c r="DD25" s="108">
        <f t="shared" si="23"/>
        <v>-2324.7018930041154</v>
      </c>
      <c r="DE25" s="108">
        <f t="shared" si="23"/>
        <v>-1267.8998353909467</v>
      </c>
      <c r="DF25" s="108">
        <f t="shared" si="23"/>
        <v>-1322.2203703703703</v>
      </c>
      <c r="DG25" s="108">
        <f t="shared" si="23"/>
        <v>-2321.7365096784029</v>
      </c>
      <c r="DH25" s="108">
        <f t="shared" si="23"/>
        <v>-911.19982167352532</v>
      </c>
      <c r="DI25" s="108">
        <f t="shared" si="23"/>
        <v>-5312.3117969821678</v>
      </c>
      <c r="DJ25" s="108">
        <f t="shared" si="23"/>
        <v>-2162.3175445816187</v>
      </c>
      <c r="DK25" s="108">
        <f t="shared" si="23"/>
        <v>-2524.6956652949243</v>
      </c>
      <c r="DL25" s="108">
        <f t="shared" si="23"/>
        <v>-2518.6954869684505</v>
      </c>
      <c r="DM25" s="108">
        <f t="shared" si="23"/>
        <v>-1192.1470096021947</v>
      </c>
      <c r="DN25" s="108">
        <f t="shared" si="21"/>
        <v>-1817.8770644718791</v>
      </c>
      <c r="DO25" s="108">
        <f t="shared" si="21"/>
        <v>-1307.6162551440329</v>
      </c>
      <c r="DP25" s="108">
        <f t="shared" si="21"/>
        <v>-2381.3954869684503</v>
      </c>
      <c r="DQ25" s="108">
        <f t="shared" si="21"/>
        <v>-1190.6912620027438</v>
      </c>
      <c r="DR25" s="108">
        <f t="shared" si="21"/>
        <v>-1389.0971604938272</v>
      </c>
      <c r="DS25" s="108">
        <f t="shared" si="21"/>
        <v>-2217.5133023421226</v>
      </c>
      <c r="DT25" s="108">
        <f t="shared" si="21"/>
        <v>-847.95025605852743</v>
      </c>
    </row>
    <row r="26" spans="1:124" s="112" customFormat="1" x14ac:dyDescent="0.25">
      <c r="A26" s="130" t="s">
        <v>261</v>
      </c>
      <c r="B26" s="130"/>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07">
        <v>1352</v>
      </c>
      <c r="AA26" s="107">
        <v>4412</v>
      </c>
      <c r="AB26" s="107">
        <v>2080</v>
      </c>
      <c r="AC26" s="107">
        <v>2154</v>
      </c>
      <c r="AD26" s="107">
        <v>2674</v>
      </c>
      <c r="AE26" s="107">
        <v>1664</v>
      </c>
      <c r="AF26" s="107">
        <v>2704</v>
      </c>
      <c r="AG26" s="107">
        <v>1456</v>
      </c>
      <c r="AH26" s="107">
        <v>1998</v>
      </c>
      <c r="AI26" s="107">
        <v>676</v>
      </c>
      <c r="AJ26" s="107">
        <v>52</v>
      </c>
      <c r="AK26" s="107">
        <v>1166</v>
      </c>
      <c r="AL26" s="107"/>
      <c r="AM26" s="107"/>
      <c r="AN26" s="107"/>
      <c r="AO26" s="107">
        <f>AO62+AO88</f>
        <v>676</v>
      </c>
      <c r="AP26" s="131">
        <f t="shared" si="22"/>
        <v>1352</v>
      </c>
      <c r="AQ26" s="131">
        <f t="shared" si="22"/>
        <v>884</v>
      </c>
      <c r="AR26" s="131">
        <f t="shared" si="19"/>
        <v>2028</v>
      </c>
      <c r="AS26" s="131">
        <f t="shared" si="19"/>
        <v>1582</v>
      </c>
      <c r="AT26" s="131">
        <f t="shared" si="19"/>
        <v>3246</v>
      </c>
      <c r="AU26" s="131">
        <f t="shared" si="19"/>
        <v>1374</v>
      </c>
      <c r="AV26" s="131">
        <f t="shared" si="19"/>
        <v>2102</v>
      </c>
      <c r="AW26" s="131">
        <f t="shared" si="19"/>
        <v>1560</v>
      </c>
      <c r="AX26" s="132">
        <f t="shared" si="19"/>
        <v>728</v>
      </c>
      <c r="AY26" s="133">
        <f t="shared" si="19"/>
        <v>3175.4814814814818</v>
      </c>
      <c r="AZ26" s="134">
        <f t="shared" si="19"/>
        <v>2521.4074074074074</v>
      </c>
      <c r="BA26" s="134">
        <f t="shared" si="19"/>
        <v>2018</v>
      </c>
      <c r="BB26" s="134">
        <f t="shared" si="19"/>
        <v>2590</v>
      </c>
      <c r="BC26" s="134">
        <f t="shared" si="19"/>
        <v>2070</v>
      </c>
      <c r="BD26" s="108">
        <f t="shared" si="19"/>
        <v>2166.6666666666665</v>
      </c>
      <c r="BE26" s="108">
        <f t="shared" si="19"/>
        <v>3127.3333333333335</v>
      </c>
      <c r="BF26" s="108">
        <f t="shared" si="19"/>
        <v>2104.6666666666665</v>
      </c>
      <c r="BG26" s="108">
        <f t="shared" si="23"/>
        <v>2864.6666666666665</v>
      </c>
      <c r="BH26" s="108">
        <f t="shared" si="23"/>
        <v>1706</v>
      </c>
      <c r="BI26" s="108">
        <f t="shared" si="23"/>
        <v>2324.3333333333335</v>
      </c>
      <c r="BJ26" s="108">
        <f t="shared" si="23"/>
        <v>1352</v>
      </c>
      <c r="BK26" s="108">
        <f t="shared" si="23"/>
        <v>1119.358024691358</v>
      </c>
      <c r="BL26" s="108">
        <f t="shared" si="23"/>
        <v>2024.4691358024693</v>
      </c>
      <c r="BM26" s="108">
        <f t="shared" si="23"/>
        <v>1668</v>
      </c>
      <c r="BN26" s="108">
        <f t="shared" si="23"/>
        <v>2413.333333333333</v>
      </c>
      <c r="BO26" s="108">
        <f t="shared" si="23"/>
        <v>1806.6666666666665</v>
      </c>
      <c r="BP26" s="108">
        <f t="shared" si="23"/>
        <v>1952.8888888888887</v>
      </c>
      <c r="BQ26" s="108">
        <f t="shared" si="23"/>
        <v>1864.4444444444446</v>
      </c>
      <c r="BR26" s="108">
        <f t="shared" si="23"/>
        <v>2768.8888888888887</v>
      </c>
      <c r="BS26" s="108">
        <f t="shared" si="23"/>
        <v>1982.2222222222222</v>
      </c>
      <c r="BT26" s="108">
        <f t="shared" si="23"/>
        <v>1806.6666666666667</v>
      </c>
      <c r="BU26" s="108">
        <f t="shared" si="23"/>
        <v>1710.7777777777778</v>
      </c>
      <c r="BV26" s="108">
        <f t="shared" si="23"/>
        <v>901.33333333333337</v>
      </c>
      <c r="BW26" s="108">
        <f t="shared" si="23"/>
        <v>2142.2798353909466</v>
      </c>
      <c r="BX26" s="108">
        <f t="shared" si="23"/>
        <v>2485.9588477366256</v>
      </c>
      <c r="BY26" s="108">
        <f t="shared" si="23"/>
        <v>1454</v>
      </c>
      <c r="BZ26" s="108">
        <f t="shared" si="23"/>
        <v>2118.4444444444443</v>
      </c>
      <c r="CA26" s="108">
        <f t="shared" si="23"/>
        <v>1586.8888888888887</v>
      </c>
      <c r="CB26" s="108">
        <f t="shared" si="23"/>
        <v>2049.1851851851852</v>
      </c>
      <c r="CC26" s="108">
        <f t="shared" si="23"/>
        <v>2191.2592592592596</v>
      </c>
      <c r="CD26" s="108">
        <f t="shared" si="23"/>
        <v>2706.5185185185182</v>
      </c>
      <c r="CE26" s="108">
        <f t="shared" si="23"/>
        <v>2073.6296296296296</v>
      </c>
      <c r="CF26" s="108">
        <f t="shared" si="23"/>
        <v>1871.5555555555554</v>
      </c>
      <c r="CG26" s="108">
        <f t="shared" si="23"/>
        <v>1865.0370370370372</v>
      </c>
      <c r="CH26" s="108">
        <f t="shared" si="23"/>
        <v>993.77777777777783</v>
      </c>
      <c r="CI26" s="108">
        <f t="shared" si="23"/>
        <v>2145.7064471879285</v>
      </c>
      <c r="CJ26" s="108">
        <f t="shared" si="23"/>
        <v>2343.9451303155006</v>
      </c>
      <c r="CK26" s="108">
        <f t="shared" si="23"/>
        <v>1713.3333333333335</v>
      </c>
      <c r="CL26" s="108">
        <f t="shared" si="23"/>
        <v>2373.9259259259261</v>
      </c>
      <c r="CM26" s="108">
        <f t="shared" si="23"/>
        <v>1821.1851851851852</v>
      </c>
      <c r="CN26" s="108">
        <f t="shared" si="23"/>
        <v>2056.2469135802467</v>
      </c>
      <c r="CO26" s="108">
        <f t="shared" si="23"/>
        <v>2394.345679012346</v>
      </c>
      <c r="CP26" s="108">
        <f t="shared" si="23"/>
        <v>2526.691358024691</v>
      </c>
      <c r="CQ26" s="108">
        <f t="shared" si="23"/>
        <v>2306.8395061728393</v>
      </c>
      <c r="CR26" s="108">
        <f t="shared" si="23"/>
        <v>1794.7407407407406</v>
      </c>
      <c r="CS26" s="108">
        <f t="shared" si="23"/>
        <v>1966.7160493827162</v>
      </c>
      <c r="CT26" s="108">
        <f t="shared" si="23"/>
        <v>1082.3703703703704</v>
      </c>
      <c r="CU26" s="108">
        <f t="shared" si="23"/>
        <v>1802.448102423411</v>
      </c>
      <c r="CV26" s="108">
        <f t="shared" si="23"/>
        <v>2284.791037951532</v>
      </c>
      <c r="CW26" s="108">
        <f t="shared" si="23"/>
        <v>1611.7777777777778</v>
      </c>
      <c r="CX26" s="108">
        <f t="shared" si="23"/>
        <v>2301.9012345679012</v>
      </c>
      <c r="CY26" s="108">
        <f t="shared" si="23"/>
        <v>1738.2469135802467</v>
      </c>
      <c r="CZ26" s="108">
        <f t="shared" si="23"/>
        <v>2019.4403292181069</v>
      </c>
      <c r="DA26" s="108">
        <f t="shared" si="23"/>
        <v>2150.01646090535</v>
      </c>
      <c r="DB26" s="108">
        <f t="shared" si="23"/>
        <v>2667.3662551440325</v>
      </c>
      <c r="DC26" s="108">
        <f t="shared" si="23"/>
        <v>2120.8971193415637</v>
      </c>
      <c r="DD26" s="108">
        <f t="shared" si="23"/>
        <v>1824.320987654321</v>
      </c>
      <c r="DE26" s="108">
        <f t="shared" si="23"/>
        <v>1847.510288065844</v>
      </c>
      <c r="DF26" s="108">
        <f t="shared" si="23"/>
        <v>992.49382716049377</v>
      </c>
      <c r="DG26" s="108">
        <f t="shared" si="23"/>
        <v>2030.1447950007619</v>
      </c>
      <c r="DH26" s="108">
        <f t="shared" si="23"/>
        <v>2371.5650053345526</v>
      </c>
      <c r="DI26" s="108">
        <f t="shared" si="23"/>
        <v>1593.037037037037</v>
      </c>
      <c r="DJ26" s="108">
        <f t="shared" si="23"/>
        <v>2264.7572016460908</v>
      </c>
      <c r="DK26" s="108">
        <f t="shared" si="23"/>
        <v>1715.4403292181069</v>
      </c>
      <c r="DL26" s="108">
        <f t="shared" si="23"/>
        <v>2041.6241426611796</v>
      </c>
      <c r="DM26" s="108">
        <f t="shared" si="23"/>
        <v>2245.2071330589852</v>
      </c>
      <c r="DN26" s="108">
        <f t="shared" si="23"/>
        <v>2633.5253772290807</v>
      </c>
      <c r="DO26" s="108">
        <f t="shared" si="23"/>
        <v>2167.1220850480108</v>
      </c>
      <c r="DP26" s="108">
        <f t="shared" si="21"/>
        <v>1830.2057613168724</v>
      </c>
      <c r="DQ26" s="108">
        <f t="shared" si="21"/>
        <v>1893.0877914951991</v>
      </c>
      <c r="DR26" s="108">
        <f t="shared" si="21"/>
        <v>1022.8806584362139</v>
      </c>
      <c r="DS26" s="108">
        <f t="shared" si="21"/>
        <v>1992.7664482040338</v>
      </c>
      <c r="DT26" s="108">
        <f t="shared" si="21"/>
        <v>2333.4337245338616</v>
      </c>
    </row>
    <row r="27" spans="1:124" s="112" customFormat="1" x14ac:dyDescent="0.25">
      <c r="A27" s="114" t="s">
        <v>262</v>
      </c>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07">
        <v>2067.19</v>
      </c>
      <c r="AA27" s="107">
        <v>2256.8000000000002</v>
      </c>
      <c r="AB27" s="107">
        <v>1599.2</v>
      </c>
      <c r="AC27" s="107">
        <v>1617.78</v>
      </c>
      <c r="AD27" s="107">
        <v>1385</v>
      </c>
      <c r="AE27" s="107">
        <v>1095</v>
      </c>
      <c r="AF27" s="107">
        <v>1566.74</v>
      </c>
      <c r="AG27" s="107">
        <v>1865</v>
      </c>
      <c r="AH27" s="107">
        <v>2597.34</v>
      </c>
      <c r="AI27" s="107">
        <v>1400</v>
      </c>
      <c r="AJ27" s="107">
        <v>974</v>
      </c>
      <c r="AK27" s="107">
        <v>3624.7799999999997</v>
      </c>
      <c r="AL27" s="107"/>
      <c r="AM27" s="107"/>
      <c r="AN27" s="107"/>
      <c r="AO27" s="107">
        <f>AO63+AO89</f>
        <v>1868.7</v>
      </c>
      <c r="AP27" s="108">
        <f t="shared" si="22"/>
        <v>1090</v>
      </c>
      <c r="AQ27" s="108">
        <f t="shared" si="22"/>
        <v>1177.1300000000001</v>
      </c>
      <c r="AR27" s="108">
        <f t="shared" si="19"/>
        <v>1881.05</v>
      </c>
      <c r="AS27" s="108">
        <f t="shared" si="19"/>
        <v>1396.2</v>
      </c>
      <c r="AT27" s="108">
        <f t="shared" si="19"/>
        <v>1882.91</v>
      </c>
      <c r="AU27" s="108">
        <f t="shared" si="19"/>
        <v>1596.98</v>
      </c>
      <c r="AV27" s="108">
        <f t="shared" si="19"/>
        <v>1986.98</v>
      </c>
      <c r="AW27" s="108">
        <f t="shared" si="19"/>
        <v>2255.02</v>
      </c>
      <c r="AX27" s="116">
        <f t="shared" si="19"/>
        <v>2075.91</v>
      </c>
      <c r="AY27" s="111">
        <f t="shared" si="19"/>
        <v>1993.5544444444442</v>
      </c>
      <c r="AZ27" s="107">
        <f t="shared" si="19"/>
        <v>2437.8698148148151</v>
      </c>
      <c r="BA27" s="107">
        <f t="shared" si="19"/>
        <v>2223.5433333333331</v>
      </c>
      <c r="BB27" s="107">
        <f t="shared" si="19"/>
        <v>2456.21</v>
      </c>
      <c r="BC27" s="107">
        <f t="shared" si="19"/>
        <v>1613.3833333333332</v>
      </c>
      <c r="BD27" s="108">
        <f t="shared" si="19"/>
        <v>1735.37</v>
      </c>
      <c r="BE27" s="108">
        <f t="shared" si="19"/>
        <v>1475.83</v>
      </c>
      <c r="BF27" s="108">
        <f t="shared" si="19"/>
        <v>1145.8333333333335</v>
      </c>
      <c r="BG27" s="108">
        <f t="shared" si="23"/>
        <v>1425.8866666666668</v>
      </c>
      <c r="BH27" s="108">
        <f t="shared" si="23"/>
        <v>1990.8566666666666</v>
      </c>
      <c r="BI27" s="108">
        <f t="shared" si="23"/>
        <v>2836.4266666666667</v>
      </c>
      <c r="BJ27" s="108">
        <f t="shared" si="23"/>
        <v>1531.2033333333334</v>
      </c>
      <c r="BK27" s="108">
        <f t="shared" si="23"/>
        <v>722.19111111111113</v>
      </c>
      <c r="BL27" s="108">
        <f t="shared" si="23"/>
        <v>2406.5682716049382</v>
      </c>
      <c r="BM27" s="108">
        <f t="shared" si="23"/>
        <v>1983.8444444444444</v>
      </c>
      <c r="BN27" s="108">
        <f t="shared" si="23"/>
        <v>1713.07</v>
      </c>
      <c r="BO27" s="108">
        <f t="shared" si="23"/>
        <v>1339.4744444444445</v>
      </c>
      <c r="BP27" s="108">
        <f t="shared" si="23"/>
        <v>1602.9333333333334</v>
      </c>
      <c r="BQ27" s="108">
        <f t="shared" si="23"/>
        <v>1404.01</v>
      </c>
      <c r="BR27" s="108">
        <f t="shared" si="23"/>
        <v>1518.7477777777776</v>
      </c>
      <c r="BS27" s="108">
        <f t="shared" si="23"/>
        <v>1530.9555555555555</v>
      </c>
      <c r="BT27" s="108">
        <f t="shared" si="23"/>
        <v>2010.9455555555555</v>
      </c>
      <c r="BU27" s="108">
        <f t="shared" si="23"/>
        <v>2522.838888888889</v>
      </c>
      <c r="BV27" s="108">
        <f t="shared" si="23"/>
        <v>1868.7377777777776</v>
      </c>
      <c r="BW27" s="108">
        <f t="shared" si="23"/>
        <v>1668.1418518518517</v>
      </c>
      <c r="BX27" s="108">
        <f t="shared" si="23"/>
        <v>2298.7360288065843</v>
      </c>
      <c r="BY27" s="108">
        <f t="shared" si="23"/>
        <v>2025.3625925925926</v>
      </c>
      <c r="BZ27" s="108">
        <f t="shared" si="23"/>
        <v>1753.0933333333332</v>
      </c>
      <c r="CA27" s="108">
        <f t="shared" si="23"/>
        <v>1376.6625925925928</v>
      </c>
      <c r="CB27" s="108">
        <f t="shared" si="23"/>
        <v>1739.7844444444445</v>
      </c>
      <c r="CC27" s="108">
        <f t="shared" si="23"/>
        <v>1425.3466666666666</v>
      </c>
      <c r="CD27" s="108">
        <f t="shared" si="23"/>
        <v>1515.8303703703705</v>
      </c>
      <c r="CE27" s="108">
        <f t="shared" si="23"/>
        <v>1517.9407407407407</v>
      </c>
      <c r="CF27" s="108">
        <f t="shared" si="23"/>
        <v>1996.2607407407409</v>
      </c>
      <c r="CG27" s="108">
        <f t="shared" si="23"/>
        <v>2538.0951851851851</v>
      </c>
      <c r="CH27" s="108">
        <f t="shared" si="23"/>
        <v>1825.2837037037036</v>
      </c>
      <c r="CI27" s="108">
        <f t="shared" si="23"/>
        <v>1461.2958024691357</v>
      </c>
      <c r="CJ27" s="108">
        <f t="shared" si="23"/>
        <v>2381.0580384087793</v>
      </c>
      <c r="CK27" s="108">
        <f t="shared" si="23"/>
        <v>2077.5834567901234</v>
      </c>
      <c r="CL27" s="108">
        <f t="shared" si="23"/>
        <v>1974.1244444444442</v>
      </c>
      <c r="CM27" s="108">
        <f t="shared" si="23"/>
        <v>1443.1734567901235</v>
      </c>
      <c r="CN27" s="108">
        <f t="shared" si="23"/>
        <v>1692.6959259259261</v>
      </c>
      <c r="CO27" s="108">
        <f t="shared" si="23"/>
        <v>1435.0622222222223</v>
      </c>
      <c r="CP27" s="108">
        <f t="shared" si="23"/>
        <v>1393.4704938271605</v>
      </c>
      <c r="CQ27" s="108">
        <f t="shared" si="23"/>
        <v>1491.5943209876543</v>
      </c>
      <c r="CR27" s="108">
        <f t="shared" si="23"/>
        <v>1999.3543209876543</v>
      </c>
      <c r="CS27" s="108">
        <f t="shared" si="23"/>
        <v>2632.4535802469136</v>
      </c>
      <c r="CT27" s="108">
        <f t="shared" si="23"/>
        <v>1741.7416049382714</v>
      </c>
      <c r="CU27" s="108">
        <f t="shared" si="23"/>
        <v>1283.8762551440327</v>
      </c>
      <c r="CV27" s="108">
        <f t="shared" si="23"/>
        <v>2362.1207796067674</v>
      </c>
      <c r="CW27" s="108">
        <f t="shared" si="23"/>
        <v>2028.9301646090535</v>
      </c>
      <c r="CX27" s="108">
        <f t="shared" si="23"/>
        <v>1813.4292592592592</v>
      </c>
      <c r="CY27" s="108">
        <f t="shared" si="23"/>
        <v>1386.4368312757201</v>
      </c>
      <c r="CZ27" s="108">
        <f t="shared" si="23"/>
        <v>1678.4712345679013</v>
      </c>
      <c r="DA27" s="108">
        <f t="shared" si="23"/>
        <v>1421.4729629629628</v>
      </c>
      <c r="DB27" s="108">
        <f t="shared" si="23"/>
        <v>1476.0162139917697</v>
      </c>
      <c r="DC27" s="108">
        <f t="shared" si="23"/>
        <v>1513.4968724279836</v>
      </c>
      <c r="DD27" s="108">
        <f t="shared" si="23"/>
        <v>2002.1868724279834</v>
      </c>
      <c r="DE27" s="108">
        <f t="shared" si="23"/>
        <v>2564.4625514403297</v>
      </c>
      <c r="DF27" s="108">
        <f t="shared" si="23"/>
        <v>1811.9210288065842</v>
      </c>
      <c r="DG27" s="108">
        <f t="shared" si="23"/>
        <v>1471.10463648834</v>
      </c>
      <c r="DH27" s="108">
        <f t="shared" si="23"/>
        <v>2347.3049489407103</v>
      </c>
      <c r="DI27" s="108">
        <f t="shared" si="23"/>
        <v>2043.9587379972563</v>
      </c>
      <c r="DJ27" s="108">
        <f t="shared" si="23"/>
        <v>1846.8823456790119</v>
      </c>
      <c r="DK27" s="108">
        <f t="shared" si="23"/>
        <v>1402.0909602194788</v>
      </c>
      <c r="DL27" s="108">
        <f t="shared" si="23"/>
        <v>1703.650534979424</v>
      </c>
      <c r="DM27" s="108">
        <f t="shared" si="23"/>
        <v>1427.2939506172838</v>
      </c>
      <c r="DN27" s="108">
        <f t="shared" si="21"/>
        <v>1461.7723593964333</v>
      </c>
      <c r="DO27" s="108">
        <f t="shared" si="21"/>
        <v>1507.6773113854595</v>
      </c>
      <c r="DP27" s="108">
        <f t="shared" si="21"/>
        <v>1999.2673113854594</v>
      </c>
      <c r="DQ27" s="108">
        <f t="shared" si="21"/>
        <v>2578.3371056241431</v>
      </c>
      <c r="DR27" s="108">
        <f t="shared" si="21"/>
        <v>1792.9821124828532</v>
      </c>
      <c r="DS27" s="108">
        <f t="shared" si="21"/>
        <v>1405.4255647005029</v>
      </c>
      <c r="DT27" s="108">
        <f t="shared" si="21"/>
        <v>2363.4945889854189</v>
      </c>
    </row>
    <row r="28" spans="1:124" s="112" customFormat="1" x14ac:dyDescent="0.25">
      <c r="A28" s="114" t="s">
        <v>263</v>
      </c>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07">
        <v>780</v>
      </c>
      <c r="AA28" s="107">
        <v>1105</v>
      </c>
      <c r="AB28" s="107">
        <v>845</v>
      </c>
      <c r="AC28" s="107">
        <v>1040</v>
      </c>
      <c r="AD28" s="107">
        <v>1495</v>
      </c>
      <c r="AE28" s="107">
        <v>1105</v>
      </c>
      <c r="AF28" s="107">
        <v>1430</v>
      </c>
      <c r="AG28" s="107">
        <v>1755</v>
      </c>
      <c r="AH28" s="107">
        <v>1096</v>
      </c>
      <c r="AI28" s="107">
        <v>325</v>
      </c>
      <c r="AJ28" s="107">
        <v>1560</v>
      </c>
      <c r="AK28" s="107">
        <v>1040</v>
      </c>
      <c r="AL28" s="107"/>
      <c r="AM28" s="107"/>
      <c r="AN28" s="107"/>
      <c r="AO28" s="107">
        <f t="shared" si="22"/>
        <v>1625</v>
      </c>
      <c r="AP28" s="108">
        <f t="shared" si="22"/>
        <v>1040</v>
      </c>
      <c r="AQ28" s="108">
        <f t="shared" si="22"/>
        <v>1625</v>
      </c>
      <c r="AR28" s="108">
        <f t="shared" si="19"/>
        <v>1950</v>
      </c>
      <c r="AS28" s="108">
        <f t="shared" si="19"/>
        <v>2080</v>
      </c>
      <c r="AT28" s="108">
        <f t="shared" si="19"/>
        <v>2210</v>
      </c>
      <c r="AU28" s="108">
        <f t="shared" si="19"/>
        <v>1300</v>
      </c>
      <c r="AV28" s="108">
        <f t="shared" si="19"/>
        <v>975</v>
      </c>
      <c r="AW28" s="108">
        <f t="shared" si="19"/>
        <v>1625</v>
      </c>
      <c r="AX28" s="116">
        <f t="shared" si="19"/>
        <v>1625</v>
      </c>
      <c r="AY28" s="111">
        <f t="shared" si="19"/>
        <v>1483.9074074074074</v>
      </c>
      <c r="AZ28" s="107">
        <f t="shared" si="19"/>
        <v>926.90740740740739</v>
      </c>
      <c r="BA28" s="107">
        <f t="shared" si="19"/>
        <v>1300</v>
      </c>
      <c r="BB28" s="107">
        <f t="shared" si="19"/>
        <v>1105</v>
      </c>
      <c r="BC28" s="107">
        <f t="shared" si="19"/>
        <v>1495</v>
      </c>
      <c r="BD28" s="108">
        <f t="shared" si="19"/>
        <v>1235</v>
      </c>
      <c r="BE28" s="108">
        <f t="shared" si="19"/>
        <v>1798.3333333333333</v>
      </c>
      <c r="BF28" s="108">
        <f t="shared" si="19"/>
        <v>1928.3333333333333</v>
      </c>
      <c r="BG28" s="108">
        <f t="shared" si="23"/>
        <v>1213.3333333333335</v>
      </c>
      <c r="BH28" s="108">
        <f t="shared" si="23"/>
        <v>1213.3333333333333</v>
      </c>
      <c r="BI28" s="108">
        <f t="shared" si="23"/>
        <v>1170</v>
      </c>
      <c r="BJ28" s="108">
        <f t="shared" si="23"/>
        <v>758.33333333333337</v>
      </c>
      <c r="BK28" s="108">
        <f t="shared" si="23"/>
        <v>1095.8024691358025</v>
      </c>
      <c r="BL28" s="108">
        <f t="shared" si="23"/>
        <v>1056.4691358024693</v>
      </c>
      <c r="BM28" s="108">
        <f t="shared" si="23"/>
        <v>1343.3333333333333</v>
      </c>
      <c r="BN28" s="108">
        <f t="shared" si="23"/>
        <v>1148.3333333333333</v>
      </c>
      <c r="BO28" s="108">
        <f t="shared" si="23"/>
        <v>1451.6666666666667</v>
      </c>
      <c r="BP28" s="108">
        <f t="shared" si="23"/>
        <v>1408.3333333333335</v>
      </c>
      <c r="BQ28" s="108">
        <f t="shared" si="23"/>
        <v>1639.4444444444443</v>
      </c>
      <c r="BR28" s="108">
        <f t="shared" si="23"/>
        <v>2267.7777777777778</v>
      </c>
      <c r="BS28" s="108">
        <f t="shared" si="23"/>
        <v>967.77777777777783</v>
      </c>
      <c r="BT28" s="108">
        <f t="shared" si="23"/>
        <v>859.44444444444434</v>
      </c>
      <c r="BU28" s="108">
        <f t="shared" si="23"/>
        <v>1321.6666666666667</v>
      </c>
      <c r="BV28" s="108">
        <f t="shared" si="23"/>
        <v>1119.4444444444443</v>
      </c>
      <c r="BW28" s="108">
        <f t="shared" si="23"/>
        <v>1639.9032921810701</v>
      </c>
      <c r="BX28" s="108">
        <f t="shared" si="23"/>
        <v>899.45884773662556</v>
      </c>
      <c r="BY28" s="108">
        <f t="shared" si="23"/>
        <v>1422.7777777777778</v>
      </c>
      <c r="BZ28" s="108">
        <f t="shared" si="23"/>
        <v>1097.7777777777778</v>
      </c>
      <c r="CA28" s="108">
        <f t="shared" si="23"/>
        <v>1523.8888888888889</v>
      </c>
      <c r="CB28" s="108">
        <f t="shared" si="23"/>
        <v>1531.1111111111113</v>
      </c>
      <c r="CC28" s="108">
        <f t="shared" si="23"/>
        <v>1839.2592592592591</v>
      </c>
      <c r="CD28" s="108">
        <f t="shared" si="23"/>
        <v>2135.3703703703704</v>
      </c>
      <c r="CE28" s="108">
        <f t="shared" si="23"/>
        <v>1160.3703703703704</v>
      </c>
      <c r="CF28" s="108">
        <f t="shared" si="23"/>
        <v>1015.9259259259259</v>
      </c>
      <c r="CG28" s="108">
        <f t="shared" si="23"/>
        <v>1372.2222222222224</v>
      </c>
      <c r="CH28" s="108">
        <f t="shared" si="23"/>
        <v>1167.5925925925926</v>
      </c>
      <c r="CI28" s="108">
        <f t="shared" si="23"/>
        <v>1406.5377229080934</v>
      </c>
      <c r="CJ28" s="108">
        <f t="shared" si="23"/>
        <v>960.94513031550071</v>
      </c>
      <c r="CK28" s="108">
        <f t="shared" si="23"/>
        <v>1355.3703703703704</v>
      </c>
      <c r="CL28" s="108">
        <f t="shared" si="23"/>
        <v>1117.037037037037</v>
      </c>
      <c r="CM28" s="108">
        <f t="shared" si="23"/>
        <v>1490.1851851851852</v>
      </c>
      <c r="CN28" s="108">
        <f t="shared" si="23"/>
        <v>1391.4814814814818</v>
      </c>
      <c r="CO28" s="108">
        <f t="shared" si="23"/>
        <v>1759.0123456790122</v>
      </c>
      <c r="CP28" s="108">
        <f t="shared" si="23"/>
        <v>2110.4938271604938</v>
      </c>
      <c r="CQ28" s="108">
        <f t="shared" si="23"/>
        <v>1113.8271604938273</v>
      </c>
      <c r="CR28" s="108">
        <f t="shared" si="23"/>
        <v>1029.5679012345679</v>
      </c>
      <c r="CS28" s="108">
        <f t="shared" si="23"/>
        <v>1287.962962962963</v>
      </c>
      <c r="CT28" s="108">
        <f t="shared" si="23"/>
        <v>1015.1234567901236</v>
      </c>
      <c r="CU28" s="108">
        <f t="shared" si="23"/>
        <v>1380.7478280749885</v>
      </c>
      <c r="CV28" s="108">
        <f t="shared" si="23"/>
        <v>972.29103795153173</v>
      </c>
      <c r="CW28" s="108">
        <f t="shared" si="23"/>
        <v>1373.8271604938273</v>
      </c>
      <c r="CX28" s="108">
        <f t="shared" si="23"/>
        <v>1121.0493827160494</v>
      </c>
      <c r="CY28" s="108">
        <f t="shared" si="23"/>
        <v>1488.5802469135804</v>
      </c>
      <c r="CZ28" s="108">
        <f t="shared" si="23"/>
        <v>1443.6419753086423</v>
      </c>
      <c r="DA28" s="108">
        <f t="shared" si="23"/>
        <v>1745.9053497942386</v>
      </c>
      <c r="DB28" s="108">
        <f t="shared" si="23"/>
        <v>2171.2139917695472</v>
      </c>
      <c r="DC28" s="108">
        <f t="shared" si="23"/>
        <v>1080.658436213992</v>
      </c>
      <c r="DD28" s="108">
        <f t="shared" si="23"/>
        <v>968.31275720164604</v>
      </c>
      <c r="DE28" s="108">
        <f t="shared" si="23"/>
        <v>1327.2839506172841</v>
      </c>
      <c r="DF28" s="108">
        <f t="shared" si="23"/>
        <v>1100.7201646090537</v>
      </c>
      <c r="DG28" s="108">
        <f t="shared" si="23"/>
        <v>1475.7296143880508</v>
      </c>
      <c r="DH28" s="108">
        <f t="shared" si="23"/>
        <v>944.23167200121929</v>
      </c>
      <c r="DI28" s="108">
        <f t="shared" si="23"/>
        <v>1383.9917695473252</v>
      </c>
      <c r="DJ28" s="108">
        <f t="shared" si="23"/>
        <v>1111.9547325102881</v>
      </c>
      <c r="DK28" s="108">
        <f t="shared" si="23"/>
        <v>1500.8847736625514</v>
      </c>
      <c r="DL28" s="108">
        <f t="shared" si="23"/>
        <v>1455.4115226337453</v>
      </c>
      <c r="DM28" s="108">
        <f t="shared" si="23"/>
        <v>1781.3923182441697</v>
      </c>
      <c r="DN28" s="108">
        <f t="shared" si="21"/>
        <v>2139.0260631001374</v>
      </c>
      <c r="DO28" s="108">
        <f t="shared" si="21"/>
        <v>1118.2853223593966</v>
      </c>
      <c r="DP28" s="108">
        <f t="shared" si="21"/>
        <v>1004.60219478738</v>
      </c>
      <c r="DQ28" s="108">
        <f t="shared" si="21"/>
        <v>1329.1563786008232</v>
      </c>
      <c r="DR28" s="108">
        <f t="shared" si="21"/>
        <v>1094.4787379972568</v>
      </c>
      <c r="DS28" s="108">
        <f t="shared" si="21"/>
        <v>1421.0050551237109</v>
      </c>
      <c r="DT28" s="108">
        <f t="shared" si="21"/>
        <v>959.15594675608395</v>
      </c>
    </row>
    <row r="29" spans="1:124" s="112" customFormat="1" x14ac:dyDescent="0.25">
      <c r="A29" s="114" t="s">
        <v>264</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07">
        <v>0</v>
      </c>
      <c r="AA29" s="107">
        <v>0</v>
      </c>
      <c r="AB29" s="107">
        <v>0</v>
      </c>
      <c r="AC29" s="107">
        <v>0</v>
      </c>
      <c r="AD29" s="107">
        <v>0</v>
      </c>
      <c r="AE29" s="107">
        <v>0</v>
      </c>
      <c r="AF29" s="107">
        <v>0</v>
      </c>
      <c r="AG29" s="107">
        <v>0</v>
      </c>
      <c r="AH29" s="107">
        <v>0</v>
      </c>
      <c r="AI29" s="107">
        <v>0</v>
      </c>
      <c r="AJ29" s="107">
        <v>0</v>
      </c>
      <c r="AK29" s="107"/>
      <c r="AL29" s="107"/>
      <c r="AM29" s="107"/>
      <c r="AN29" s="107"/>
      <c r="AO29" s="107">
        <f t="shared" si="22"/>
        <v>0</v>
      </c>
      <c r="AP29" s="108">
        <f t="shared" si="22"/>
        <v>0</v>
      </c>
      <c r="AQ29" s="108">
        <f t="shared" si="22"/>
        <v>0</v>
      </c>
      <c r="AR29" s="108">
        <f t="shared" si="19"/>
        <v>0</v>
      </c>
      <c r="AS29" s="108">
        <f>AS65+AS91</f>
        <v>0</v>
      </c>
      <c r="AT29" s="108">
        <f t="shared" si="19"/>
        <v>0</v>
      </c>
      <c r="AU29" s="108">
        <f t="shared" si="19"/>
        <v>0</v>
      </c>
      <c r="AV29" s="108">
        <f t="shared" si="19"/>
        <v>0</v>
      </c>
      <c r="AW29" s="108">
        <f t="shared" si="19"/>
        <v>0</v>
      </c>
      <c r="AX29" s="116">
        <f t="shared" si="19"/>
        <v>0</v>
      </c>
      <c r="AY29" s="111">
        <f t="shared" si="19"/>
        <v>0</v>
      </c>
      <c r="AZ29" s="107">
        <f t="shared" si="19"/>
        <v>0</v>
      </c>
      <c r="BA29" s="107">
        <f t="shared" si="19"/>
        <v>0</v>
      </c>
      <c r="BB29" s="107">
        <f t="shared" si="19"/>
        <v>0</v>
      </c>
      <c r="BC29" s="107">
        <f t="shared" si="19"/>
        <v>0</v>
      </c>
      <c r="BD29" s="108">
        <f t="shared" si="19"/>
        <v>0</v>
      </c>
      <c r="BE29" s="108">
        <f t="shared" si="19"/>
        <v>0</v>
      </c>
      <c r="BF29" s="108">
        <f t="shared" si="19"/>
        <v>0</v>
      </c>
      <c r="BG29" s="108">
        <f t="shared" si="23"/>
        <v>0</v>
      </c>
      <c r="BH29" s="108">
        <f t="shared" si="23"/>
        <v>0</v>
      </c>
      <c r="BI29" s="108">
        <f t="shared" si="23"/>
        <v>0</v>
      </c>
      <c r="BJ29" s="108">
        <f t="shared" si="23"/>
        <v>0</v>
      </c>
      <c r="BK29" s="108">
        <f t="shared" si="23"/>
        <v>0</v>
      </c>
      <c r="BL29" s="108">
        <f t="shared" si="23"/>
        <v>0</v>
      </c>
      <c r="BM29" s="108">
        <f t="shared" si="23"/>
        <v>0</v>
      </c>
      <c r="BN29" s="108">
        <f t="shared" si="23"/>
        <v>0</v>
      </c>
      <c r="BO29" s="108">
        <f t="shared" si="23"/>
        <v>0</v>
      </c>
      <c r="BP29" s="108">
        <f t="shared" si="23"/>
        <v>0</v>
      </c>
      <c r="BQ29" s="108">
        <f t="shared" si="23"/>
        <v>0</v>
      </c>
      <c r="BR29" s="108">
        <f t="shared" si="23"/>
        <v>0</v>
      </c>
      <c r="BS29" s="108">
        <f t="shared" si="23"/>
        <v>0</v>
      </c>
      <c r="BT29" s="108">
        <f t="shared" si="23"/>
        <v>0</v>
      </c>
      <c r="BU29" s="108">
        <f t="shared" si="23"/>
        <v>0</v>
      </c>
      <c r="BV29" s="108">
        <f t="shared" ref="BV29:DT31" si="24">BV65+BV91</f>
        <v>0</v>
      </c>
      <c r="BW29" s="108">
        <f t="shared" si="24"/>
        <v>0</v>
      </c>
      <c r="BX29" s="108">
        <f t="shared" si="24"/>
        <v>0</v>
      </c>
      <c r="BY29" s="108">
        <f t="shared" si="24"/>
        <v>0</v>
      </c>
      <c r="BZ29" s="108">
        <f t="shared" si="24"/>
        <v>0</v>
      </c>
      <c r="CA29" s="108">
        <f t="shared" si="24"/>
        <v>0</v>
      </c>
      <c r="CB29" s="108">
        <f t="shared" si="24"/>
        <v>0</v>
      </c>
      <c r="CC29" s="108">
        <f t="shared" si="24"/>
        <v>0</v>
      </c>
      <c r="CD29" s="108">
        <f t="shared" si="24"/>
        <v>0</v>
      </c>
      <c r="CE29" s="108">
        <f t="shared" si="24"/>
        <v>0</v>
      </c>
      <c r="CF29" s="108">
        <f t="shared" si="24"/>
        <v>0</v>
      </c>
      <c r="CG29" s="108">
        <f t="shared" si="24"/>
        <v>0</v>
      </c>
      <c r="CH29" s="108">
        <f t="shared" si="24"/>
        <v>0</v>
      </c>
      <c r="CI29" s="108">
        <f t="shared" si="24"/>
        <v>0</v>
      </c>
      <c r="CJ29" s="108">
        <f t="shared" si="24"/>
        <v>0</v>
      </c>
      <c r="CK29" s="108">
        <f t="shared" si="24"/>
        <v>0</v>
      </c>
      <c r="CL29" s="108">
        <f t="shared" si="24"/>
        <v>0</v>
      </c>
      <c r="CM29" s="108">
        <f t="shared" si="24"/>
        <v>0</v>
      </c>
      <c r="CN29" s="108">
        <f t="shared" si="24"/>
        <v>0</v>
      </c>
      <c r="CO29" s="108">
        <f t="shared" si="24"/>
        <v>0</v>
      </c>
      <c r="CP29" s="108">
        <f t="shared" si="24"/>
        <v>0</v>
      </c>
      <c r="CQ29" s="108">
        <f t="shared" si="24"/>
        <v>0</v>
      </c>
      <c r="CR29" s="108">
        <f t="shared" si="24"/>
        <v>0</v>
      </c>
      <c r="CS29" s="108">
        <f t="shared" si="24"/>
        <v>0</v>
      </c>
      <c r="CT29" s="108">
        <f t="shared" si="24"/>
        <v>0</v>
      </c>
      <c r="CU29" s="108">
        <f t="shared" si="24"/>
        <v>0</v>
      </c>
      <c r="CV29" s="108">
        <f t="shared" si="24"/>
        <v>0</v>
      </c>
      <c r="CW29" s="108">
        <f t="shared" si="24"/>
        <v>0</v>
      </c>
      <c r="CX29" s="108">
        <f t="shared" si="24"/>
        <v>0</v>
      </c>
      <c r="CY29" s="108">
        <f t="shared" si="24"/>
        <v>0</v>
      </c>
      <c r="CZ29" s="108">
        <f t="shared" si="24"/>
        <v>0</v>
      </c>
      <c r="DA29" s="108">
        <f t="shared" si="24"/>
        <v>0</v>
      </c>
      <c r="DB29" s="108">
        <f t="shared" si="24"/>
        <v>0</v>
      </c>
      <c r="DC29" s="108">
        <f t="shared" si="24"/>
        <v>0</v>
      </c>
      <c r="DD29" s="108">
        <f t="shared" si="24"/>
        <v>0</v>
      </c>
      <c r="DE29" s="108">
        <f t="shared" si="24"/>
        <v>0</v>
      </c>
      <c r="DF29" s="108">
        <f t="shared" si="24"/>
        <v>0</v>
      </c>
      <c r="DG29" s="108">
        <f t="shared" si="24"/>
        <v>0</v>
      </c>
      <c r="DH29" s="108">
        <f t="shared" si="24"/>
        <v>0</v>
      </c>
      <c r="DI29" s="108">
        <f t="shared" si="24"/>
        <v>0</v>
      </c>
      <c r="DJ29" s="108">
        <f t="shared" si="24"/>
        <v>0</v>
      </c>
      <c r="DK29" s="108">
        <f t="shared" si="24"/>
        <v>0</v>
      </c>
      <c r="DL29" s="108">
        <f t="shared" si="24"/>
        <v>0</v>
      </c>
      <c r="DM29" s="108">
        <f t="shared" si="24"/>
        <v>0</v>
      </c>
      <c r="DN29" s="108">
        <f t="shared" si="21"/>
        <v>0</v>
      </c>
      <c r="DO29" s="108">
        <f t="shared" si="21"/>
        <v>0</v>
      </c>
      <c r="DP29" s="108">
        <f t="shared" si="21"/>
        <v>0</v>
      </c>
      <c r="DQ29" s="108">
        <f t="shared" si="21"/>
        <v>0</v>
      </c>
      <c r="DR29" s="108">
        <f t="shared" si="21"/>
        <v>0</v>
      </c>
      <c r="DS29" s="108">
        <f t="shared" si="21"/>
        <v>0</v>
      </c>
      <c r="DT29" s="108">
        <f t="shared" si="21"/>
        <v>0</v>
      </c>
    </row>
    <row r="30" spans="1:124" s="112" customFormat="1" x14ac:dyDescent="0.25">
      <c r="A30" s="114" t="s">
        <v>265</v>
      </c>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07">
        <v>20317.770000000004</v>
      </c>
      <c r="AA30" s="107">
        <v>20317.770000000004</v>
      </c>
      <c r="AB30" s="107">
        <v>20467.77</v>
      </c>
      <c r="AC30" s="107">
        <v>20317.77</v>
      </c>
      <c r="AD30" s="107">
        <v>20317.77</v>
      </c>
      <c r="AE30" s="107">
        <v>20317.77</v>
      </c>
      <c r="AF30" s="107">
        <v>20317.77</v>
      </c>
      <c r="AG30" s="107">
        <v>82132.259999999995</v>
      </c>
      <c r="AH30" s="107">
        <v>21021.15</v>
      </c>
      <c r="AI30" s="107">
        <v>21021.15</v>
      </c>
      <c r="AJ30" s="107">
        <v>21021.15</v>
      </c>
      <c r="AK30" s="107">
        <v>21021.15</v>
      </c>
      <c r="AL30" s="107"/>
      <c r="AM30" s="107"/>
      <c r="AN30" s="107"/>
      <c r="AO30" s="107">
        <f t="shared" si="22"/>
        <v>0</v>
      </c>
      <c r="AP30" s="108">
        <f t="shared" si="22"/>
        <v>0</v>
      </c>
      <c r="AQ30" s="108">
        <f t="shared" si="22"/>
        <v>-67547.89</v>
      </c>
      <c r="AR30" s="108">
        <f t="shared" si="19"/>
        <v>0</v>
      </c>
      <c r="AS30" s="108">
        <f t="shared" si="19"/>
        <v>0</v>
      </c>
      <c r="AT30" s="108">
        <f t="shared" si="19"/>
        <v>0</v>
      </c>
      <c r="AU30" s="108">
        <f t="shared" si="19"/>
        <v>0</v>
      </c>
      <c r="AV30" s="108">
        <f t="shared" si="19"/>
        <v>0</v>
      </c>
      <c r="AW30" s="108">
        <f t="shared" si="19"/>
        <v>0</v>
      </c>
      <c r="AX30" s="116">
        <f t="shared" si="19"/>
        <v>0</v>
      </c>
      <c r="AY30" s="111">
        <f t="shared" si="19"/>
        <v>0</v>
      </c>
      <c r="AZ30" s="107">
        <f t="shared" si="19"/>
        <v>0</v>
      </c>
      <c r="BA30" s="107">
        <f t="shared" si="19"/>
        <v>0</v>
      </c>
      <c r="BB30" s="107">
        <f t="shared" si="19"/>
        <v>0</v>
      </c>
      <c r="BC30" s="107">
        <f t="shared" si="19"/>
        <v>0</v>
      </c>
      <c r="BD30" s="108">
        <f t="shared" si="19"/>
        <v>0</v>
      </c>
      <c r="BE30" s="108">
        <f t="shared" si="19"/>
        <v>0</v>
      </c>
      <c r="BF30" s="108">
        <f t="shared" si="19"/>
        <v>0</v>
      </c>
      <c r="BG30" s="108">
        <f t="shared" ref="BG30:DM31" si="25">BG66+BG92</f>
        <v>0</v>
      </c>
      <c r="BH30" s="108">
        <f t="shared" si="25"/>
        <v>0</v>
      </c>
      <c r="BI30" s="108">
        <f t="shared" si="25"/>
        <v>0</v>
      </c>
      <c r="BJ30" s="108">
        <f t="shared" si="25"/>
        <v>0</v>
      </c>
      <c r="BK30" s="108">
        <f t="shared" si="25"/>
        <v>0</v>
      </c>
      <c r="BL30" s="108">
        <f t="shared" si="25"/>
        <v>0</v>
      </c>
      <c r="BM30" s="108">
        <f t="shared" si="25"/>
        <v>0</v>
      </c>
      <c r="BN30" s="108">
        <f t="shared" si="25"/>
        <v>0</v>
      </c>
      <c r="BO30" s="108">
        <f t="shared" si="25"/>
        <v>0</v>
      </c>
      <c r="BP30" s="108">
        <f t="shared" si="25"/>
        <v>0</v>
      </c>
      <c r="BQ30" s="108">
        <f t="shared" si="25"/>
        <v>0</v>
      </c>
      <c r="BR30" s="108">
        <f t="shared" si="25"/>
        <v>0</v>
      </c>
      <c r="BS30" s="108">
        <f t="shared" si="25"/>
        <v>0</v>
      </c>
      <c r="BT30" s="108">
        <f t="shared" si="25"/>
        <v>0</v>
      </c>
      <c r="BU30" s="108">
        <f t="shared" si="25"/>
        <v>0</v>
      </c>
      <c r="BV30" s="108">
        <f t="shared" si="25"/>
        <v>0</v>
      </c>
      <c r="BW30" s="108">
        <f t="shared" si="25"/>
        <v>0</v>
      </c>
      <c r="BX30" s="108">
        <f t="shared" si="25"/>
        <v>0</v>
      </c>
      <c r="BY30" s="108">
        <f t="shared" si="25"/>
        <v>0</v>
      </c>
      <c r="BZ30" s="108">
        <f t="shared" si="25"/>
        <v>0</v>
      </c>
      <c r="CA30" s="108">
        <f t="shared" si="25"/>
        <v>0</v>
      </c>
      <c r="CB30" s="108">
        <f t="shared" si="25"/>
        <v>0</v>
      </c>
      <c r="CC30" s="108">
        <f t="shared" si="25"/>
        <v>0</v>
      </c>
      <c r="CD30" s="108">
        <f t="shared" si="25"/>
        <v>0</v>
      </c>
      <c r="CE30" s="108">
        <f t="shared" si="25"/>
        <v>0</v>
      </c>
      <c r="CF30" s="108">
        <f t="shared" si="25"/>
        <v>0</v>
      </c>
      <c r="CG30" s="108">
        <f t="shared" si="25"/>
        <v>0</v>
      </c>
      <c r="CH30" s="108">
        <f t="shared" si="25"/>
        <v>0</v>
      </c>
      <c r="CI30" s="108">
        <f t="shared" si="25"/>
        <v>0</v>
      </c>
      <c r="CJ30" s="108">
        <f t="shared" si="25"/>
        <v>0</v>
      </c>
      <c r="CK30" s="108">
        <f t="shared" si="25"/>
        <v>0</v>
      </c>
      <c r="CL30" s="108">
        <f t="shared" si="25"/>
        <v>0</v>
      </c>
      <c r="CM30" s="108">
        <f t="shared" si="25"/>
        <v>0</v>
      </c>
      <c r="CN30" s="108">
        <f t="shared" si="25"/>
        <v>0</v>
      </c>
      <c r="CO30" s="108">
        <f t="shared" si="25"/>
        <v>0</v>
      </c>
      <c r="CP30" s="108">
        <f t="shared" si="25"/>
        <v>0</v>
      </c>
      <c r="CQ30" s="108">
        <f t="shared" si="25"/>
        <v>0</v>
      </c>
      <c r="CR30" s="108">
        <f t="shared" si="25"/>
        <v>0</v>
      </c>
      <c r="CS30" s="108">
        <f t="shared" si="25"/>
        <v>0</v>
      </c>
      <c r="CT30" s="108">
        <f t="shared" si="25"/>
        <v>0</v>
      </c>
      <c r="CU30" s="108">
        <f t="shared" si="25"/>
        <v>0</v>
      </c>
      <c r="CV30" s="108">
        <f t="shared" si="25"/>
        <v>0</v>
      </c>
      <c r="CW30" s="108">
        <f t="shared" si="25"/>
        <v>0</v>
      </c>
      <c r="CX30" s="108">
        <f t="shared" si="25"/>
        <v>0</v>
      </c>
      <c r="CY30" s="108">
        <f t="shared" si="25"/>
        <v>0</v>
      </c>
      <c r="CZ30" s="108">
        <f t="shared" si="25"/>
        <v>0</v>
      </c>
      <c r="DA30" s="108">
        <f t="shared" si="25"/>
        <v>0</v>
      </c>
      <c r="DB30" s="108">
        <f t="shared" si="25"/>
        <v>0</v>
      </c>
      <c r="DC30" s="108">
        <f t="shared" si="25"/>
        <v>0</v>
      </c>
      <c r="DD30" s="108">
        <f t="shared" si="25"/>
        <v>0</v>
      </c>
      <c r="DE30" s="108">
        <f t="shared" si="25"/>
        <v>0</v>
      </c>
      <c r="DF30" s="108">
        <f t="shared" si="25"/>
        <v>0</v>
      </c>
      <c r="DG30" s="108">
        <f t="shared" si="25"/>
        <v>0</v>
      </c>
      <c r="DH30" s="108">
        <f t="shared" si="25"/>
        <v>0</v>
      </c>
      <c r="DI30" s="108">
        <f t="shared" si="25"/>
        <v>0</v>
      </c>
      <c r="DJ30" s="108">
        <f t="shared" si="25"/>
        <v>0</v>
      </c>
      <c r="DK30" s="108">
        <f t="shared" si="25"/>
        <v>0</v>
      </c>
      <c r="DL30" s="108">
        <f t="shared" si="25"/>
        <v>0</v>
      </c>
      <c r="DM30" s="108">
        <f t="shared" si="24"/>
        <v>0</v>
      </c>
      <c r="DN30" s="108">
        <f t="shared" si="24"/>
        <v>0</v>
      </c>
      <c r="DO30" s="108">
        <f t="shared" si="24"/>
        <v>0</v>
      </c>
      <c r="DP30" s="108">
        <f t="shared" si="24"/>
        <v>0</v>
      </c>
      <c r="DQ30" s="108">
        <f t="shared" si="24"/>
        <v>0</v>
      </c>
      <c r="DR30" s="108">
        <f t="shared" si="24"/>
        <v>0</v>
      </c>
      <c r="DS30" s="108">
        <f t="shared" si="24"/>
        <v>0</v>
      </c>
      <c r="DT30" s="108">
        <f t="shared" si="24"/>
        <v>0</v>
      </c>
    </row>
    <row r="31" spans="1:124" s="112" customFormat="1" x14ac:dyDescent="0.25">
      <c r="A31" s="114" t="s">
        <v>266</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07">
        <v>4685.03</v>
      </c>
      <c r="AA31" s="107">
        <v>4685.03</v>
      </c>
      <c r="AB31" s="107">
        <v>4685.03</v>
      </c>
      <c r="AC31" s="107">
        <v>4685.03</v>
      </c>
      <c r="AD31" s="107">
        <v>4685.03</v>
      </c>
      <c r="AE31" s="107">
        <v>4685.03</v>
      </c>
      <c r="AF31" s="107">
        <v>4685.130000000001</v>
      </c>
      <c r="AG31" s="107">
        <v>4685.0300000000007</v>
      </c>
      <c r="AH31" s="107">
        <v>4684.75</v>
      </c>
      <c r="AI31" s="107">
        <v>0</v>
      </c>
      <c r="AJ31" s="107">
        <v>3478</v>
      </c>
      <c r="AK31" s="107">
        <v>1738.92</v>
      </c>
      <c r="AL31" s="107"/>
      <c r="AM31" s="107"/>
      <c r="AN31" s="107"/>
      <c r="AO31" s="107">
        <f>AO67+AO93</f>
        <v>24449.95</v>
      </c>
      <c r="AP31" s="108">
        <f>AP67+AP93</f>
        <v>30304.47</v>
      </c>
      <c r="AQ31" s="108">
        <f t="shared" si="22"/>
        <v>26507.739999999998</v>
      </c>
      <c r="AR31" s="108">
        <f t="shared" si="22"/>
        <v>26507.739999999998</v>
      </c>
      <c r="AS31" s="108">
        <f t="shared" si="22"/>
        <v>-536725.61</v>
      </c>
      <c r="AT31" s="108">
        <f t="shared" si="22"/>
        <v>26507.739999999998</v>
      </c>
      <c r="AU31" s="108">
        <f t="shared" si="19"/>
        <v>26507.739999999998</v>
      </c>
      <c r="AV31" s="108">
        <f t="shared" si="19"/>
        <v>26507.739999999998</v>
      </c>
      <c r="AW31" s="108">
        <f t="shared" si="19"/>
        <v>49026.68</v>
      </c>
      <c r="AX31" s="116">
        <f t="shared" si="19"/>
        <v>26507.739999999998</v>
      </c>
      <c r="AY31" s="111">
        <f t="shared" si="22"/>
        <v>25003.13</v>
      </c>
      <c r="AZ31" s="107">
        <f t="shared" si="22"/>
        <v>25000.13</v>
      </c>
      <c r="BA31" s="107">
        <f t="shared" si="19"/>
        <v>25001.129999999997</v>
      </c>
      <c r="BB31" s="107">
        <f t="shared" si="19"/>
        <v>25002.129999999997</v>
      </c>
      <c r="BC31" s="107">
        <f t="shared" si="19"/>
        <v>25003.13</v>
      </c>
      <c r="BD31" s="108">
        <f t="shared" si="19"/>
        <v>25003.13</v>
      </c>
      <c r="BE31" s="108">
        <f t="shared" si="19"/>
        <v>25003.13</v>
      </c>
      <c r="BF31" s="108">
        <f t="shared" si="19"/>
        <v>25003.13</v>
      </c>
      <c r="BG31" s="108">
        <f t="shared" si="25"/>
        <v>25003.13</v>
      </c>
      <c r="BH31" s="108">
        <f t="shared" si="25"/>
        <v>25003.13</v>
      </c>
      <c r="BI31" s="108">
        <f t="shared" si="25"/>
        <v>25003.13</v>
      </c>
      <c r="BJ31" s="108">
        <f t="shared" si="25"/>
        <v>25003.13</v>
      </c>
      <c r="BK31" s="108">
        <f t="shared" si="25"/>
        <v>25003.13</v>
      </c>
      <c r="BL31" s="108">
        <f t="shared" si="25"/>
        <v>25003.13</v>
      </c>
      <c r="BM31" s="108">
        <f t="shared" si="25"/>
        <v>25003.13</v>
      </c>
      <c r="BN31" s="108">
        <f t="shared" si="25"/>
        <v>25003.13</v>
      </c>
      <c r="BO31" s="108">
        <f t="shared" si="25"/>
        <v>25003.13</v>
      </c>
      <c r="BP31" s="108">
        <f t="shared" si="25"/>
        <v>25003.13</v>
      </c>
      <c r="BQ31" s="108">
        <f t="shared" si="25"/>
        <v>25003.13</v>
      </c>
      <c r="BR31" s="108">
        <f>BR67+BR93</f>
        <v>25003.13</v>
      </c>
      <c r="BS31" s="108">
        <f t="shared" si="25"/>
        <v>25003.13</v>
      </c>
      <c r="BT31" s="108">
        <f t="shared" si="25"/>
        <v>25003.13</v>
      </c>
      <c r="BU31" s="108">
        <f t="shared" si="25"/>
        <v>25003.13</v>
      </c>
      <c r="BV31" s="108">
        <f t="shared" si="25"/>
        <v>25003.13</v>
      </c>
      <c r="BW31" s="108">
        <f t="shared" si="25"/>
        <v>25003.13</v>
      </c>
      <c r="BX31" s="108">
        <f t="shared" si="25"/>
        <v>25003.13</v>
      </c>
      <c r="BY31" s="108">
        <f t="shared" si="25"/>
        <v>25003.13</v>
      </c>
      <c r="BZ31" s="108">
        <f t="shared" si="25"/>
        <v>25003.13</v>
      </c>
      <c r="CA31" s="108">
        <f t="shared" si="25"/>
        <v>25003.13</v>
      </c>
      <c r="CB31" s="108">
        <f t="shared" si="25"/>
        <v>25003.13</v>
      </c>
      <c r="CC31" s="108">
        <f t="shared" si="25"/>
        <v>25003.13</v>
      </c>
      <c r="CD31" s="108">
        <f t="shared" si="25"/>
        <v>25003.13</v>
      </c>
      <c r="CE31" s="108">
        <f t="shared" si="25"/>
        <v>25003.13</v>
      </c>
      <c r="CF31" s="108">
        <f t="shared" si="25"/>
        <v>25003.13</v>
      </c>
      <c r="CG31" s="108">
        <f t="shared" si="25"/>
        <v>25003.13</v>
      </c>
      <c r="CH31" s="108">
        <f t="shared" si="25"/>
        <v>25003.13</v>
      </c>
      <c r="CI31" s="108">
        <f t="shared" si="25"/>
        <v>25003.13</v>
      </c>
      <c r="CJ31" s="108">
        <f t="shared" si="25"/>
        <v>25003.13</v>
      </c>
      <c r="CK31" s="108">
        <f t="shared" si="25"/>
        <v>25003.13</v>
      </c>
      <c r="CL31" s="108">
        <f t="shared" si="25"/>
        <v>25003.13</v>
      </c>
      <c r="CM31" s="108">
        <f t="shared" si="25"/>
        <v>25003.13</v>
      </c>
      <c r="CN31" s="108">
        <f t="shared" si="25"/>
        <v>25003.13</v>
      </c>
      <c r="CO31" s="108">
        <f t="shared" si="25"/>
        <v>25003.13</v>
      </c>
      <c r="CP31" s="108">
        <f t="shared" si="25"/>
        <v>25003.13</v>
      </c>
      <c r="CQ31" s="108">
        <f t="shared" si="25"/>
        <v>25003.13</v>
      </c>
      <c r="CR31" s="108">
        <f t="shared" si="25"/>
        <v>25003.13</v>
      </c>
      <c r="CS31" s="108">
        <f t="shared" si="25"/>
        <v>25003.13</v>
      </c>
      <c r="CT31" s="108">
        <f t="shared" si="25"/>
        <v>25003.13</v>
      </c>
      <c r="CU31" s="108">
        <f t="shared" si="25"/>
        <v>25003.13</v>
      </c>
      <c r="CV31" s="108">
        <f t="shared" si="25"/>
        <v>25003.13</v>
      </c>
      <c r="CW31" s="108">
        <f t="shared" si="25"/>
        <v>25003.13</v>
      </c>
      <c r="CX31" s="108">
        <f t="shared" si="25"/>
        <v>25003.13</v>
      </c>
      <c r="CY31" s="108">
        <f t="shared" si="25"/>
        <v>25003.13</v>
      </c>
      <c r="CZ31" s="108">
        <f t="shared" si="25"/>
        <v>25003.13</v>
      </c>
      <c r="DA31" s="108">
        <f t="shared" si="25"/>
        <v>25003.13</v>
      </c>
      <c r="DB31" s="108">
        <f t="shared" si="25"/>
        <v>25003.13</v>
      </c>
      <c r="DC31" s="108">
        <f t="shared" si="25"/>
        <v>25003.13</v>
      </c>
      <c r="DD31" s="108">
        <f t="shared" si="25"/>
        <v>25003.13</v>
      </c>
      <c r="DE31" s="108">
        <f t="shared" si="25"/>
        <v>25003.13</v>
      </c>
      <c r="DF31" s="108">
        <f t="shared" si="25"/>
        <v>25003.13</v>
      </c>
      <c r="DG31" s="108">
        <f t="shared" si="25"/>
        <v>25003.13</v>
      </c>
      <c r="DH31" s="108">
        <f t="shared" si="25"/>
        <v>25003.13</v>
      </c>
      <c r="DI31" s="108">
        <f t="shared" si="25"/>
        <v>25003.13</v>
      </c>
      <c r="DJ31" s="108">
        <f t="shared" si="25"/>
        <v>25003.13</v>
      </c>
      <c r="DK31" s="108">
        <f t="shared" si="25"/>
        <v>25003.13</v>
      </c>
      <c r="DL31" s="108">
        <f t="shared" si="25"/>
        <v>25003.13</v>
      </c>
      <c r="DM31" s="108">
        <f t="shared" si="25"/>
        <v>25003.13</v>
      </c>
      <c r="DN31" s="108">
        <f t="shared" si="24"/>
        <v>25003.13</v>
      </c>
      <c r="DO31" s="108">
        <f t="shared" si="24"/>
        <v>25003.13</v>
      </c>
      <c r="DP31" s="108">
        <f t="shared" si="24"/>
        <v>25003.13</v>
      </c>
      <c r="DQ31" s="108">
        <f t="shared" si="24"/>
        <v>25003.13</v>
      </c>
      <c r="DR31" s="108">
        <f t="shared" si="24"/>
        <v>25003.13</v>
      </c>
      <c r="DS31" s="108">
        <f t="shared" si="24"/>
        <v>25003.13</v>
      </c>
      <c r="DT31" s="108">
        <f t="shared" si="24"/>
        <v>25003.13</v>
      </c>
    </row>
    <row r="32" spans="1:124" s="112" customFormat="1" x14ac:dyDescent="0.25">
      <c r="A32" s="113" t="s">
        <v>267</v>
      </c>
      <c r="B32" s="113"/>
      <c r="C32" s="113"/>
      <c r="D32" s="113"/>
      <c r="E32" s="113"/>
      <c r="F32" s="113"/>
      <c r="G32" s="113"/>
      <c r="H32" s="113"/>
      <c r="I32" s="113"/>
      <c r="J32" s="113"/>
      <c r="K32" s="113"/>
      <c r="L32" s="113"/>
      <c r="M32" s="113"/>
      <c r="N32" s="113"/>
      <c r="O32" s="113"/>
      <c r="P32" s="113"/>
      <c r="Q32" s="113"/>
      <c r="R32" s="113"/>
      <c r="S32" s="113"/>
      <c r="T32" s="113"/>
      <c r="U32" s="113"/>
      <c r="V32" s="113"/>
      <c r="W32" s="113"/>
      <c r="X32" s="113"/>
      <c r="Y32" s="113"/>
      <c r="Z32" s="123">
        <f>SUM(Z21:Z31)</f>
        <v>74364.340000000011</v>
      </c>
      <c r="AA32" s="123">
        <f t="shared" ref="AA32:AS32" si="26">SUM(AA21:AA31)</f>
        <v>73713.440000000002</v>
      </c>
      <c r="AB32" s="123">
        <f t="shared" si="26"/>
        <v>77673.659999999989</v>
      </c>
      <c r="AC32" s="123">
        <f t="shared" si="26"/>
        <v>82958.100000000006</v>
      </c>
      <c r="AD32" s="123">
        <f t="shared" si="26"/>
        <v>76778.12999999999</v>
      </c>
      <c r="AE32" s="123">
        <f t="shared" si="26"/>
        <v>78301.67</v>
      </c>
      <c r="AF32" s="123">
        <f t="shared" si="26"/>
        <v>83399.590000000011</v>
      </c>
      <c r="AG32" s="123">
        <f t="shared" si="26"/>
        <v>150200.79999999999</v>
      </c>
      <c r="AH32" s="123">
        <f t="shared" si="26"/>
        <v>81513.51999999999</v>
      </c>
      <c r="AI32" s="123">
        <f t="shared" si="26"/>
        <v>44773.380000000005</v>
      </c>
      <c r="AJ32" s="123">
        <f t="shared" si="26"/>
        <v>46052.72</v>
      </c>
      <c r="AK32" s="123">
        <f t="shared" si="26"/>
        <v>74630.53</v>
      </c>
      <c r="AL32" s="123"/>
      <c r="AM32" s="123"/>
      <c r="AN32" s="123"/>
      <c r="AO32" s="123">
        <f t="shared" si="26"/>
        <v>44578.19</v>
      </c>
      <c r="AP32" s="123">
        <f t="shared" si="26"/>
        <v>79761.88</v>
      </c>
      <c r="AQ32" s="123">
        <f t="shared" si="26"/>
        <v>7245.8299999999945</v>
      </c>
      <c r="AR32" s="123">
        <f t="shared" si="26"/>
        <v>81421.16</v>
      </c>
      <c r="AS32" s="123">
        <f t="shared" si="26"/>
        <v>-478276.99</v>
      </c>
      <c r="AT32" s="124">
        <f>SUM(AT21:AT31)</f>
        <v>81910.179999999993</v>
      </c>
      <c r="AU32" s="124">
        <f t="shared" ref="AU32:DF32" si="27">SUM(AU21:AU31)</f>
        <v>79380.539999999994</v>
      </c>
      <c r="AV32" s="124">
        <f t="shared" si="27"/>
        <v>75245.900000000009</v>
      </c>
      <c r="AW32" s="124">
        <f t="shared" si="27"/>
        <v>107032.5</v>
      </c>
      <c r="AX32" s="125">
        <f t="shared" si="27"/>
        <v>82904.350000000006</v>
      </c>
      <c r="AY32" s="126">
        <f t="shared" si="27"/>
        <v>84445.372592592597</v>
      </c>
      <c r="AZ32" s="123">
        <f t="shared" si="27"/>
        <v>78943.196111111116</v>
      </c>
      <c r="BA32" s="123">
        <f t="shared" si="27"/>
        <v>77802.146666666667</v>
      </c>
      <c r="BB32" s="123">
        <f t="shared" si="27"/>
        <v>73785.34666666665</v>
      </c>
      <c r="BC32" s="123">
        <f t="shared" si="27"/>
        <v>81491.646666666667</v>
      </c>
      <c r="BD32" s="124">
        <f t="shared" si="27"/>
        <v>81201.746666666659</v>
      </c>
      <c r="BE32" s="124">
        <f t="shared" si="27"/>
        <v>80671.38</v>
      </c>
      <c r="BF32" s="124">
        <f t="shared" si="27"/>
        <v>81527.41</v>
      </c>
      <c r="BG32" s="124">
        <f t="shared" si="27"/>
        <v>82891.096666666665</v>
      </c>
      <c r="BH32" s="124">
        <f t="shared" si="27"/>
        <v>83147.936666666676</v>
      </c>
      <c r="BI32" s="124">
        <f t="shared" si="27"/>
        <v>85924.193333333329</v>
      </c>
      <c r="BJ32" s="124">
        <f t="shared" si="27"/>
        <v>54727.176666666666</v>
      </c>
      <c r="BK32" s="124">
        <f t="shared" si="27"/>
        <v>47985.941851851851</v>
      </c>
      <c r="BL32" s="124">
        <f t="shared" si="27"/>
        <v>76505.48037037038</v>
      </c>
      <c r="BM32" s="124">
        <f t="shared" si="27"/>
        <v>67994.878888888896</v>
      </c>
      <c r="BN32" s="124">
        <f t="shared" si="27"/>
        <v>76415.765555555568</v>
      </c>
      <c r="BO32" s="124">
        <f t="shared" si="27"/>
        <v>76027.738888888882</v>
      </c>
      <c r="BP32" s="124">
        <f t="shared" si="27"/>
        <v>79107.52888888889</v>
      </c>
      <c r="BQ32" s="124">
        <f t="shared" si="27"/>
        <v>79702.91</v>
      </c>
      <c r="BR32" s="124">
        <f t="shared" si="27"/>
        <v>82672.376666666663</v>
      </c>
      <c r="BS32" s="124">
        <f t="shared" si="27"/>
        <v>80204.782222222217</v>
      </c>
      <c r="BT32" s="124">
        <f t="shared" si="27"/>
        <v>79553.11555555556</v>
      </c>
      <c r="BU32" s="124">
        <f t="shared" si="27"/>
        <v>83909.277777777781</v>
      </c>
      <c r="BV32" s="124">
        <f t="shared" si="27"/>
        <v>72879.682222222225</v>
      </c>
      <c r="BW32" s="124">
        <f t="shared" si="27"/>
        <v>70849.22148148148</v>
      </c>
      <c r="BX32" s="124">
        <f t="shared" si="27"/>
        <v>79610.452160493835</v>
      </c>
      <c r="BY32" s="124">
        <f t="shared" si="27"/>
        <v>63643.465185185196</v>
      </c>
      <c r="BZ32" s="124">
        <f t="shared" si="27"/>
        <v>74887.550740740742</v>
      </c>
      <c r="CA32" s="124">
        <f t="shared" si="27"/>
        <v>76936.165185185193</v>
      </c>
      <c r="CB32" s="124">
        <f t="shared" si="27"/>
        <v>80075.275185185179</v>
      </c>
      <c r="CC32" s="124">
        <f t="shared" si="27"/>
        <v>81275.346666666679</v>
      </c>
      <c r="CD32" s="124">
        <f t="shared" si="27"/>
        <v>81535.118888888901</v>
      </c>
      <c r="CE32" s="124">
        <f t="shared" si="27"/>
        <v>80323.936296296306</v>
      </c>
      <c r="CF32" s="124">
        <f t="shared" si="27"/>
        <v>78814.114074074067</v>
      </c>
      <c r="CG32" s="124">
        <f t="shared" si="27"/>
        <v>84280.807037037041</v>
      </c>
      <c r="CH32" s="124">
        <f t="shared" si="27"/>
        <v>69668.866296296299</v>
      </c>
      <c r="CI32" s="124">
        <f t="shared" si="27"/>
        <v>67760.178641975304</v>
      </c>
      <c r="CJ32" s="124">
        <f t="shared" si="27"/>
        <v>78354.042880658439</v>
      </c>
      <c r="CK32" s="124">
        <f t="shared" si="27"/>
        <v>69814.16358024691</v>
      </c>
      <c r="CL32" s="124">
        <f t="shared" si="27"/>
        <v>75029.887654320992</v>
      </c>
      <c r="CM32" s="124">
        <f t="shared" si="27"/>
        <v>78151.850246913571</v>
      </c>
      <c r="CN32" s="124">
        <f t="shared" si="27"/>
        <v>80128.183580246914</v>
      </c>
      <c r="CO32" s="124">
        <f t="shared" si="27"/>
        <v>80549.878888888896</v>
      </c>
      <c r="CP32" s="124">
        <f t="shared" si="27"/>
        <v>81911.63518518518</v>
      </c>
      <c r="CQ32" s="124">
        <f t="shared" si="27"/>
        <v>81139.938395061734</v>
      </c>
      <c r="CR32" s="124">
        <f t="shared" si="27"/>
        <v>80505.055432098758</v>
      </c>
      <c r="CS32" s="124">
        <f t="shared" si="27"/>
        <v>84704.759382716045</v>
      </c>
      <c r="CT32" s="124">
        <f t="shared" si="27"/>
        <v>65758.575061728407</v>
      </c>
      <c r="CU32" s="124">
        <f t="shared" si="27"/>
        <v>62198.447325102868</v>
      </c>
      <c r="CV32" s="124">
        <f t="shared" si="27"/>
        <v>78156.658470507537</v>
      </c>
      <c r="CW32" s="124">
        <f t="shared" si="27"/>
        <v>67150.835884773667</v>
      </c>
      <c r="CX32" s="124">
        <f t="shared" si="27"/>
        <v>75444.40131687242</v>
      </c>
      <c r="CY32" s="124">
        <f t="shared" si="27"/>
        <v>77038.584773662558</v>
      </c>
      <c r="CZ32" s="124">
        <f t="shared" si="27"/>
        <v>79770.329218106999</v>
      </c>
      <c r="DA32" s="124">
        <f t="shared" si="27"/>
        <v>80509.378518518512</v>
      </c>
      <c r="DB32" s="124">
        <f t="shared" si="27"/>
        <v>82039.710246913586</v>
      </c>
      <c r="DC32" s="124">
        <f t="shared" si="27"/>
        <v>80556.218971193419</v>
      </c>
      <c r="DD32" s="124">
        <f t="shared" si="27"/>
        <v>79624.095020576133</v>
      </c>
      <c r="DE32" s="124">
        <f t="shared" si="27"/>
        <v>84298.281399176965</v>
      </c>
      <c r="DF32" s="124">
        <f t="shared" si="27"/>
        <v>69435.707860082301</v>
      </c>
      <c r="DG32" s="124">
        <f t="shared" ref="DG32:DT32" si="28">SUM(DG21:DG31)</f>
        <v>66935.949149519889</v>
      </c>
      <c r="DH32" s="124">
        <f t="shared" si="28"/>
        <v>78707.05117055327</v>
      </c>
      <c r="DI32" s="124">
        <f t="shared" si="28"/>
        <v>66869.488216735263</v>
      </c>
      <c r="DJ32" s="124">
        <f t="shared" si="28"/>
        <v>75120.613237311394</v>
      </c>
      <c r="DK32" s="124">
        <f t="shared" si="28"/>
        <v>77375.533401920446</v>
      </c>
      <c r="DL32" s="124">
        <f t="shared" si="28"/>
        <v>79991.262661179702</v>
      </c>
      <c r="DM32" s="124">
        <f t="shared" si="28"/>
        <v>80778.2013580247</v>
      </c>
      <c r="DN32" s="124">
        <f t="shared" si="28"/>
        <v>81828.821440329208</v>
      </c>
      <c r="DO32" s="124">
        <f t="shared" si="28"/>
        <v>80673.36455418382</v>
      </c>
      <c r="DP32" s="124">
        <f t="shared" si="28"/>
        <v>79647.754842249662</v>
      </c>
      <c r="DQ32" s="124">
        <f t="shared" si="28"/>
        <v>84427.949272976693</v>
      </c>
      <c r="DR32" s="124">
        <f t="shared" si="28"/>
        <v>68287.716406035674</v>
      </c>
      <c r="DS32" s="124">
        <f t="shared" si="28"/>
        <v>65631.525038866035</v>
      </c>
      <c r="DT32" s="124">
        <f t="shared" si="28"/>
        <v>78405.917507239763</v>
      </c>
    </row>
    <row r="33" spans="1:124" s="112" customFormat="1" x14ac:dyDescent="0.25">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07"/>
      <c r="AA33" s="107"/>
      <c r="AB33" s="107"/>
      <c r="AC33" s="107"/>
      <c r="AD33" s="107"/>
      <c r="AE33" s="107"/>
      <c r="AF33" s="107"/>
      <c r="AG33" s="107"/>
      <c r="AH33" s="107"/>
      <c r="AI33" s="107"/>
      <c r="AJ33" s="107"/>
      <c r="AK33" s="107"/>
      <c r="AL33" s="107"/>
      <c r="AM33" s="107"/>
      <c r="AN33" s="107"/>
      <c r="AO33" s="107"/>
      <c r="AP33" s="108"/>
      <c r="AQ33" s="108"/>
      <c r="AR33" s="108"/>
      <c r="AS33" s="108"/>
      <c r="AT33" s="108"/>
      <c r="AU33" s="108"/>
      <c r="AV33" s="108"/>
      <c r="AW33" s="108"/>
      <c r="AX33" s="116"/>
      <c r="AY33" s="111"/>
      <c r="AZ33" s="107"/>
      <c r="BA33" s="107"/>
      <c r="BB33" s="107"/>
      <c r="BC33" s="107"/>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108"/>
      <c r="CV33" s="108"/>
      <c r="CW33" s="108"/>
      <c r="CX33" s="108"/>
      <c r="CY33" s="108"/>
      <c r="CZ33" s="108"/>
      <c r="DA33" s="108"/>
      <c r="DB33" s="108"/>
      <c r="DC33" s="108"/>
      <c r="DD33" s="108"/>
      <c r="DE33" s="108"/>
      <c r="DF33" s="108"/>
      <c r="DG33" s="108"/>
      <c r="DH33" s="108"/>
      <c r="DI33" s="108"/>
      <c r="DJ33" s="108"/>
      <c r="DK33" s="108"/>
      <c r="DL33" s="108"/>
      <c r="DM33" s="108"/>
      <c r="DN33" s="108"/>
      <c r="DO33" s="108"/>
      <c r="DP33" s="108"/>
      <c r="DQ33" s="108"/>
      <c r="DR33" s="108"/>
      <c r="DS33" s="108"/>
      <c r="DT33" s="108"/>
    </row>
    <row r="34" spans="1:124" s="112" customFormat="1" x14ac:dyDescent="0.25">
      <c r="A34" s="113" t="s">
        <v>268</v>
      </c>
      <c r="B34" s="113"/>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5" t="e">
        <f t="shared" ref="Z34:AH34" si="29">SUM(Z14,Z32)</f>
        <v>#REF!</v>
      </c>
      <c r="AA34" s="115" t="e">
        <f t="shared" si="29"/>
        <v>#REF!</v>
      </c>
      <c r="AB34" s="115" t="e">
        <f t="shared" si="29"/>
        <v>#REF!</v>
      </c>
      <c r="AC34" s="115" t="e">
        <f t="shared" si="29"/>
        <v>#REF!</v>
      </c>
      <c r="AD34" s="115" t="e">
        <f t="shared" si="29"/>
        <v>#REF!</v>
      </c>
      <c r="AE34" s="115" t="e">
        <f t="shared" si="29"/>
        <v>#REF!</v>
      </c>
      <c r="AF34" s="115" t="e">
        <f t="shared" si="29"/>
        <v>#REF!</v>
      </c>
      <c r="AG34" s="115" t="e">
        <f t="shared" si="29"/>
        <v>#REF!</v>
      </c>
      <c r="AH34" s="115" t="e">
        <f t="shared" si="29"/>
        <v>#REF!</v>
      </c>
      <c r="AI34" s="115" t="e">
        <f>SUM(AI14,AI32)</f>
        <v>#REF!</v>
      </c>
      <c r="AJ34" s="115" t="e">
        <f t="shared" ref="AJ34:AS34" si="30">SUM(AJ14,AJ32)</f>
        <v>#REF!</v>
      </c>
      <c r="AK34" s="115" t="e">
        <f t="shared" si="30"/>
        <v>#REF!</v>
      </c>
      <c r="AL34" s="115"/>
      <c r="AM34" s="115"/>
      <c r="AN34" s="115"/>
      <c r="AO34" s="115" t="e">
        <f t="shared" si="30"/>
        <v>#REF!</v>
      </c>
      <c r="AP34" s="115" t="e">
        <f t="shared" si="30"/>
        <v>#REF!</v>
      </c>
      <c r="AQ34" s="115" t="e">
        <f t="shared" si="30"/>
        <v>#REF!</v>
      </c>
      <c r="AR34" s="115" t="e">
        <f t="shared" si="30"/>
        <v>#REF!</v>
      </c>
      <c r="AS34" s="115" t="e">
        <f t="shared" si="30"/>
        <v>#REF!</v>
      </c>
      <c r="AT34" s="107" t="e">
        <f>SUM(AT32,AT16:AT16,AT14)</f>
        <v>#REF!</v>
      </c>
      <c r="AU34" s="107" t="e">
        <f t="shared" ref="AU34:AX34" si="31">SUM(AU32,AU16:AU16,AU14)</f>
        <v>#REF!</v>
      </c>
      <c r="AV34" s="107" t="e">
        <f t="shared" si="31"/>
        <v>#REF!</v>
      </c>
      <c r="AW34" s="107" t="e">
        <f t="shared" si="31"/>
        <v>#REF!</v>
      </c>
      <c r="AX34" s="110" t="e">
        <f t="shared" si="31"/>
        <v>#REF!</v>
      </c>
      <c r="AY34" s="111" t="e">
        <f t="shared" ref="AY34:DJ34" si="32">SUM(AY32,AY16:AY18,AY14)</f>
        <v>#REF!</v>
      </c>
      <c r="AZ34" s="107" t="e">
        <f t="shared" si="32"/>
        <v>#REF!</v>
      </c>
      <c r="BA34" s="107" t="e">
        <f>SUM(BA32,BA16:BA18,BA14)</f>
        <v>#REF!</v>
      </c>
      <c r="BB34" s="107" t="e">
        <f t="shared" si="32"/>
        <v>#REF!</v>
      </c>
      <c r="BC34" s="107" t="e">
        <f t="shared" si="32"/>
        <v>#REF!</v>
      </c>
      <c r="BD34" s="107" t="e">
        <f t="shared" si="32"/>
        <v>#REF!</v>
      </c>
      <c r="BE34" s="107" t="e">
        <f t="shared" si="32"/>
        <v>#REF!</v>
      </c>
      <c r="BF34" s="107" t="e">
        <f t="shared" si="32"/>
        <v>#REF!</v>
      </c>
      <c r="BG34" s="107" t="e">
        <f t="shared" si="32"/>
        <v>#REF!</v>
      </c>
      <c r="BH34" s="107" t="e">
        <f t="shared" si="32"/>
        <v>#REF!</v>
      </c>
      <c r="BI34" s="107" t="e">
        <f t="shared" si="32"/>
        <v>#REF!</v>
      </c>
      <c r="BJ34" s="107" t="e">
        <f t="shared" si="32"/>
        <v>#REF!</v>
      </c>
      <c r="BK34" s="107" t="e">
        <f t="shared" si="32"/>
        <v>#REF!</v>
      </c>
      <c r="BL34" s="107" t="e">
        <f t="shared" si="32"/>
        <v>#REF!</v>
      </c>
      <c r="BM34" s="107" t="e">
        <f t="shared" si="32"/>
        <v>#REF!</v>
      </c>
      <c r="BN34" s="107" t="e">
        <f t="shared" si="32"/>
        <v>#REF!</v>
      </c>
      <c r="BO34" s="107" t="e">
        <f t="shared" si="32"/>
        <v>#REF!</v>
      </c>
      <c r="BP34" s="107" t="e">
        <f t="shared" si="32"/>
        <v>#REF!</v>
      </c>
      <c r="BQ34" s="107" t="e">
        <f t="shared" si="32"/>
        <v>#REF!</v>
      </c>
      <c r="BR34" s="107" t="e">
        <f t="shared" si="32"/>
        <v>#REF!</v>
      </c>
      <c r="BS34" s="107" t="e">
        <f t="shared" si="32"/>
        <v>#REF!</v>
      </c>
      <c r="BT34" s="107" t="e">
        <f t="shared" si="32"/>
        <v>#REF!</v>
      </c>
      <c r="BU34" s="107" t="e">
        <f t="shared" si="32"/>
        <v>#REF!</v>
      </c>
      <c r="BV34" s="107" t="e">
        <f t="shared" si="32"/>
        <v>#REF!</v>
      </c>
      <c r="BW34" s="107" t="e">
        <f t="shared" si="32"/>
        <v>#REF!</v>
      </c>
      <c r="BX34" s="107" t="e">
        <f t="shared" si="32"/>
        <v>#REF!</v>
      </c>
      <c r="BY34" s="107" t="e">
        <f t="shared" si="32"/>
        <v>#REF!</v>
      </c>
      <c r="BZ34" s="107" t="e">
        <f t="shared" si="32"/>
        <v>#REF!</v>
      </c>
      <c r="CA34" s="107" t="e">
        <f t="shared" si="32"/>
        <v>#REF!</v>
      </c>
      <c r="CB34" s="107" t="e">
        <f t="shared" si="32"/>
        <v>#REF!</v>
      </c>
      <c r="CC34" s="107" t="e">
        <f t="shared" si="32"/>
        <v>#REF!</v>
      </c>
      <c r="CD34" s="107" t="e">
        <f t="shared" si="32"/>
        <v>#REF!</v>
      </c>
      <c r="CE34" s="107" t="e">
        <f t="shared" si="32"/>
        <v>#REF!</v>
      </c>
      <c r="CF34" s="107" t="e">
        <f t="shared" si="32"/>
        <v>#REF!</v>
      </c>
      <c r="CG34" s="107" t="e">
        <f t="shared" si="32"/>
        <v>#REF!</v>
      </c>
      <c r="CH34" s="107" t="e">
        <f t="shared" si="32"/>
        <v>#REF!</v>
      </c>
      <c r="CI34" s="107" t="e">
        <f t="shared" si="32"/>
        <v>#REF!</v>
      </c>
      <c r="CJ34" s="107" t="e">
        <f t="shared" si="32"/>
        <v>#REF!</v>
      </c>
      <c r="CK34" s="107" t="e">
        <f t="shared" si="32"/>
        <v>#REF!</v>
      </c>
      <c r="CL34" s="107" t="e">
        <f t="shared" si="32"/>
        <v>#REF!</v>
      </c>
      <c r="CM34" s="107" t="e">
        <f t="shared" si="32"/>
        <v>#REF!</v>
      </c>
      <c r="CN34" s="107" t="e">
        <f t="shared" si="32"/>
        <v>#REF!</v>
      </c>
      <c r="CO34" s="107" t="e">
        <f t="shared" si="32"/>
        <v>#REF!</v>
      </c>
      <c r="CP34" s="107" t="e">
        <f t="shared" si="32"/>
        <v>#REF!</v>
      </c>
      <c r="CQ34" s="107" t="e">
        <f t="shared" si="32"/>
        <v>#REF!</v>
      </c>
      <c r="CR34" s="107" t="e">
        <f t="shared" si="32"/>
        <v>#REF!</v>
      </c>
      <c r="CS34" s="107" t="e">
        <f t="shared" si="32"/>
        <v>#REF!</v>
      </c>
      <c r="CT34" s="107" t="e">
        <f t="shared" si="32"/>
        <v>#REF!</v>
      </c>
      <c r="CU34" s="107" t="e">
        <f t="shared" si="32"/>
        <v>#REF!</v>
      </c>
      <c r="CV34" s="107" t="e">
        <f t="shared" si="32"/>
        <v>#REF!</v>
      </c>
      <c r="CW34" s="107" t="e">
        <f t="shared" si="32"/>
        <v>#REF!</v>
      </c>
      <c r="CX34" s="107" t="e">
        <f t="shared" si="32"/>
        <v>#REF!</v>
      </c>
      <c r="CY34" s="107" t="e">
        <f t="shared" si="32"/>
        <v>#REF!</v>
      </c>
      <c r="CZ34" s="107" t="e">
        <f t="shared" si="32"/>
        <v>#REF!</v>
      </c>
      <c r="DA34" s="107" t="e">
        <f t="shared" si="32"/>
        <v>#REF!</v>
      </c>
      <c r="DB34" s="107" t="e">
        <f t="shared" si="32"/>
        <v>#REF!</v>
      </c>
      <c r="DC34" s="107" t="e">
        <f t="shared" si="32"/>
        <v>#REF!</v>
      </c>
      <c r="DD34" s="107" t="e">
        <f t="shared" si="32"/>
        <v>#REF!</v>
      </c>
      <c r="DE34" s="107" t="e">
        <f t="shared" si="32"/>
        <v>#REF!</v>
      </c>
      <c r="DF34" s="107" t="e">
        <f t="shared" si="32"/>
        <v>#REF!</v>
      </c>
      <c r="DG34" s="107" t="e">
        <f t="shared" si="32"/>
        <v>#REF!</v>
      </c>
      <c r="DH34" s="107" t="e">
        <f t="shared" si="32"/>
        <v>#REF!</v>
      </c>
      <c r="DI34" s="107" t="e">
        <f t="shared" si="32"/>
        <v>#REF!</v>
      </c>
      <c r="DJ34" s="107" t="e">
        <f t="shared" si="32"/>
        <v>#REF!</v>
      </c>
      <c r="DK34" s="107" t="e">
        <f t="shared" ref="DK34:DT34" si="33">SUM(DK32,DK16:DK18,DK14)</f>
        <v>#REF!</v>
      </c>
      <c r="DL34" s="107" t="e">
        <f t="shared" si="33"/>
        <v>#REF!</v>
      </c>
      <c r="DM34" s="107" t="e">
        <f t="shared" si="33"/>
        <v>#REF!</v>
      </c>
      <c r="DN34" s="107" t="e">
        <f t="shared" si="33"/>
        <v>#REF!</v>
      </c>
      <c r="DO34" s="107" t="e">
        <f t="shared" si="33"/>
        <v>#REF!</v>
      </c>
      <c r="DP34" s="107" t="e">
        <f t="shared" si="33"/>
        <v>#REF!</v>
      </c>
      <c r="DQ34" s="107" t="e">
        <f t="shared" si="33"/>
        <v>#REF!</v>
      </c>
      <c r="DR34" s="107" t="e">
        <f t="shared" si="33"/>
        <v>#REF!</v>
      </c>
      <c r="DS34" s="107" t="e">
        <f t="shared" si="33"/>
        <v>#REF!</v>
      </c>
      <c r="DT34" s="107" t="e">
        <f t="shared" si="33"/>
        <v>#REF!</v>
      </c>
    </row>
    <row r="35" spans="1:124" s="112" customFormat="1" x14ac:dyDescent="0.25">
      <c r="A35" s="114" t="s">
        <v>220</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07">
        <v>126034.03</v>
      </c>
      <c r="AA35" s="107">
        <v>-50885.39</v>
      </c>
      <c r="AB35" s="107">
        <v>-4050.4400000000101</v>
      </c>
      <c r="AC35" s="107">
        <v>-85384.95</v>
      </c>
      <c r="AD35" s="107">
        <v>106467.26999999996</v>
      </c>
      <c r="AE35" s="107">
        <v>2549.4900000000507</v>
      </c>
      <c r="AF35" s="107">
        <v>158138.31000000003</v>
      </c>
      <c r="AG35" s="107">
        <v>-59893.139999999956</v>
      </c>
      <c r="AH35" s="107">
        <v>-90323.429999999964</v>
      </c>
      <c r="AI35" s="107">
        <v>232747.549999999</v>
      </c>
      <c r="AJ35" s="107">
        <v>719423.83</v>
      </c>
      <c r="AK35" s="107">
        <v>-994014.04999999888</v>
      </c>
      <c r="AL35" s="107"/>
      <c r="AM35" s="107"/>
      <c r="AN35" s="107"/>
      <c r="AO35" s="107">
        <v>-104351.7199999999</v>
      </c>
      <c r="AP35" s="108">
        <v>29213.529999999901</v>
      </c>
      <c r="AQ35" s="108">
        <v>-61295.219999999979</v>
      </c>
      <c r="AR35" s="108">
        <v>86879.439999999944</v>
      </c>
      <c r="AS35" s="108">
        <v>46667.979999999981</v>
      </c>
      <c r="AT35" s="108">
        <v>69679.320000000007</v>
      </c>
      <c r="AU35" s="108">
        <v>165613.94</v>
      </c>
      <c r="AV35" s="108">
        <v>-11102.829999999958</v>
      </c>
      <c r="AW35" s="108">
        <v>-140219.35</v>
      </c>
      <c r="AX35" s="116">
        <v>-71639.06</v>
      </c>
      <c r="AY35" s="111">
        <v>-25000</v>
      </c>
      <c r="AZ35" s="107">
        <v>-30000</v>
      </c>
      <c r="BA35" s="135">
        <f>22000</f>
        <v>22000</v>
      </c>
      <c r="BB35" s="107">
        <v>-75000</v>
      </c>
      <c r="BC35" s="107">
        <v>-10000</v>
      </c>
      <c r="BD35" s="108">
        <v>-35000</v>
      </c>
      <c r="BE35" s="108">
        <v>100000</v>
      </c>
      <c r="BF35" s="108">
        <v>35000</v>
      </c>
      <c r="BG35" s="108">
        <v>55000</v>
      </c>
      <c r="BH35" s="108">
        <v>90000</v>
      </c>
      <c r="BI35" s="108">
        <v>-115000</v>
      </c>
      <c r="BJ35" s="108">
        <v>5000</v>
      </c>
      <c r="BK35" s="108">
        <v>-25000</v>
      </c>
      <c r="BL35" s="108">
        <v>-30000</v>
      </c>
      <c r="BM35" s="108">
        <v>25000</v>
      </c>
      <c r="BN35" s="108">
        <v>-75000</v>
      </c>
      <c r="BO35" s="108">
        <v>-10000</v>
      </c>
      <c r="BP35" s="108">
        <v>-35000</v>
      </c>
      <c r="BQ35" s="108">
        <v>100000</v>
      </c>
      <c r="BR35" s="108">
        <v>35000</v>
      </c>
      <c r="BS35" s="108">
        <v>55000</v>
      </c>
      <c r="BT35" s="108">
        <v>90000</v>
      </c>
      <c r="BU35" s="108">
        <v>-115000</v>
      </c>
      <c r="BV35" s="108">
        <v>5000</v>
      </c>
      <c r="BW35" s="108">
        <v>-25000</v>
      </c>
      <c r="BX35" s="108">
        <v>-30000</v>
      </c>
      <c r="BY35" s="108">
        <v>25000</v>
      </c>
      <c r="BZ35" s="108">
        <v>-75000</v>
      </c>
      <c r="CA35" s="108">
        <v>-10000</v>
      </c>
      <c r="CB35" s="108">
        <v>-35000</v>
      </c>
      <c r="CC35" s="108">
        <v>100000</v>
      </c>
      <c r="CD35" s="108">
        <v>35000</v>
      </c>
      <c r="CE35" s="108">
        <v>55000</v>
      </c>
      <c r="CF35" s="108">
        <v>90000</v>
      </c>
      <c r="CG35" s="108">
        <v>-115000</v>
      </c>
      <c r="CH35" s="108">
        <v>5000</v>
      </c>
      <c r="CI35" s="108">
        <v>-25000</v>
      </c>
      <c r="CJ35" s="108">
        <v>-30000</v>
      </c>
      <c r="CK35" s="108">
        <f>AVERAGE(BY35,BM35)</f>
        <v>25000</v>
      </c>
      <c r="CL35" s="108">
        <f t="shared" ref="CL35:DH35" si="34">AVERAGE(BZ35,BN35)</f>
        <v>-75000</v>
      </c>
      <c r="CM35" s="108">
        <f t="shared" si="34"/>
        <v>-10000</v>
      </c>
      <c r="CN35" s="108">
        <f t="shared" si="34"/>
        <v>-35000</v>
      </c>
      <c r="CO35" s="108">
        <f t="shared" si="34"/>
        <v>100000</v>
      </c>
      <c r="CP35" s="108">
        <f t="shared" si="34"/>
        <v>35000</v>
      </c>
      <c r="CQ35" s="108">
        <f t="shared" si="34"/>
        <v>55000</v>
      </c>
      <c r="CR35" s="108">
        <f t="shared" si="34"/>
        <v>90000</v>
      </c>
      <c r="CS35" s="108">
        <f t="shared" si="34"/>
        <v>-115000</v>
      </c>
      <c r="CT35" s="108">
        <f t="shared" si="34"/>
        <v>5000</v>
      </c>
      <c r="CU35" s="108">
        <f t="shared" si="34"/>
        <v>-25000</v>
      </c>
      <c r="CV35" s="108">
        <f t="shared" si="34"/>
        <v>-30000</v>
      </c>
      <c r="CW35" s="108">
        <f t="shared" si="34"/>
        <v>25000</v>
      </c>
      <c r="CX35" s="108">
        <f t="shared" si="34"/>
        <v>-75000</v>
      </c>
      <c r="CY35" s="108">
        <f t="shared" si="34"/>
        <v>-10000</v>
      </c>
      <c r="CZ35" s="108">
        <f t="shared" si="34"/>
        <v>-35000</v>
      </c>
      <c r="DA35" s="108">
        <f t="shared" si="34"/>
        <v>100000</v>
      </c>
      <c r="DB35" s="108">
        <f t="shared" si="34"/>
        <v>35000</v>
      </c>
      <c r="DC35" s="108">
        <f t="shared" si="34"/>
        <v>55000</v>
      </c>
      <c r="DD35" s="108">
        <f t="shared" si="34"/>
        <v>90000</v>
      </c>
      <c r="DE35" s="108">
        <f t="shared" si="34"/>
        <v>-115000</v>
      </c>
      <c r="DF35" s="108">
        <f t="shared" si="34"/>
        <v>5000</v>
      </c>
      <c r="DG35" s="108">
        <f t="shared" si="34"/>
        <v>-25000</v>
      </c>
      <c r="DH35" s="108">
        <f t="shared" si="34"/>
        <v>-30000</v>
      </c>
      <c r="DI35" s="108">
        <v>0</v>
      </c>
      <c r="DJ35" s="108">
        <v>0</v>
      </c>
      <c r="DK35" s="108">
        <v>0</v>
      </c>
      <c r="DL35" s="108">
        <v>0</v>
      </c>
      <c r="DM35" s="108">
        <v>0</v>
      </c>
      <c r="DN35" s="108">
        <v>0</v>
      </c>
      <c r="DO35" s="108">
        <v>0</v>
      </c>
      <c r="DP35" s="108">
        <v>0</v>
      </c>
      <c r="DQ35" s="108">
        <v>0</v>
      </c>
      <c r="DR35" s="108">
        <v>0</v>
      </c>
      <c r="DS35" s="108">
        <v>0</v>
      </c>
      <c r="DT35" s="108">
        <v>0</v>
      </c>
    </row>
    <row r="36" spans="1:124" s="112" customFormat="1" x14ac:dyDescent="0.25">
      <c r="A36" s="114" t="s">
        <v>269</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07">
        <v>1267.1500000017695</v>
      </c>
      <c r="AA36" s="107">
        <v>-55163.379999999423</v>
      </c>
      <c r="AB36" s="107">
        <v>8485.5899999996182</v>
      </c>
      <c r="AC36" s="107">
        <v>10329.750000103144</v>
      </c>
      <c r="AD36" s="107">
        <v>12863.340000000317</v>
      </c>
      <c r="AE36" s="107">
        <v>1263.4099999999162</v>
      </c>
      <c r="AF36" s="107">
        <v>8652.769999999553</v>
      </c>
      <c r="AG36" s="107">
        <v>22725.11999999918</v>
      </c>
      <c r="AH36" s="107">
        <v>-8643.7399999953341</v>
      </c>
      <c r="AI36" s="107">
        <v>-6201.999999997206</v>
      </c>
      <c r="AJ36" s="107">
        <v>-6234.7500000030268</v>
      </c>
      <c r="AK36" s="107">
        <v>80199.709999999031</v>
      </c>
      <c r="AL36" s="107"/>
      <c r="AM36" s="107"/>
      <c r="AN36" s="107"/>
      <c r="AO36" s="135">
        <v>14328.030000000261</v>
      </c>
      <c r="AP36" s="107">
        <v>14805.189999996219</v>
      </c>
      <c r="AQ36" s="108">
        <v>14732.579999999842</v>
      </c>
      <c r="AR36" s="108">
        <v>23503.40000000014</v>
      </c>
      <c r="AS36" s="108">
        <v>17076.630000000121</v>
      </c>
      <c r="AT36" s="108">
        <v>8754.570000000298</v>
      </c>
      <c r="AU36" s="108">
        <v>-10304.970000000205</v>
      </c>
      <c r="AV36" s="108">
        <v>9613.1499999999069</v>
      </c>
      <c r="AW36" s="108">
        <v>1570.7999999998137</v>
      </c>
      <c r="AX36" s="116">
        <v>4414.8599999973085</v>
      </c>
      <c r="AY36" s="111">
        <f t="shared" ref="AY36:DJ36" si="35">AX36</f>
        <v>4414.8599999973085</v>
      </c>
      <c r="AZ36" s="107">
        <f t="shared" si="35"/>
        <v>4414.8599999973085</v>
      </c>
      <c r="BA36" s="107">
        <f>Z36</f>
        <v>1267.1500000017695</v>
      </c>
      <c r="BB36" s="107">
        <f t="shared" ref="BB36:BL36" si="36">AA36</f>
        <v>-55163.379999999423</v>
      </c>
      <c r="BC36" s="107">
        <f t="shared" si="36"/>
        <v>8485.5899999996182</v>
      </c>
      <c r="BD36" s="107">
        <f t="shared" si="36"/>
        <v>10329.750000103144</v>
      </c>
      <c r="BE36" s="107">
        <f t="shared" si="36"/>
        <v>12863.340000000317</v>
      </c>
      <c r="BF36" s="107">
        <f t="shared" si="36"/>
        <v>1263.4099999999162</v>
      </c>
      <c r="BG36" s="107">
        <f t="shared" si="36"/>
        <v>8652.769999999553</v>
      </c>
      <c r="BH36" s="107">
        <f t="shared" si="36"/>
        <v>22725.11999999918</v>
      </c>
      <c r="BI36" s="107">
        <f t="shared" si="36"/>
        <v>-8643.7399999953341</v>
      </c>
      <c r="BJ36" s="107">
        <f t="shared" si="36"/>
        <v>-6201.999999997206</v>
      </c>
      <c r="BK36" s="107">
        <f t="shared" si="36"/>
        <v>-6234.7500000030268</v>
      </c>
      <c r="BL36" s="107">
        <f t="shared" si="36"/>
        <v>80199.709999999031</v>
      </c>
      <c r="BM36" s="110">
        <f>SUM(BA36:BL36)/12</f>
        <v>5795.2475000089617</v>
      </c>
      <c r="BN36" s="107">
        <f t="shared" ref="BN36:BX36" si="37">BM36</f>
        <v>5795.2475000089617</v>
      </c>
      <c r="BO36" s="107">
        <f t="shared" si="37"/>
        <v>5795.2475000089617</v>
      </c>
      <c r="BP36" s="107">
        <f t="shared" si="37"/>
        <v>5795.2475000089617</v>
      </c>
      <c r="BQ36" s="107">
        <f t="shared" si="37"/>
        <v>5795.2475000089617</v>
      </c>
      <c r="BR36" s="107">
        <f t="shared" si="37"/>
        <v>5795.2475000089617</v>
      </c>
      <c r="BS36" s="107">
        <f t="shared" si="37"/>
        <v>5795.2475000089617</v>
      </c>
      <c r="BT36" s="107">
        <f t="shared" si="37"/>
        <v>5795.2475000089617</v>
      </c>
      <c r="BU36" s="107">
        <f t="shared" si="37"/>
        <v>5795.2475000089617</v>
      </c>
      <c r="BV36" s="107">
        <f t="shared" si="37"/>
        <v>5795.2475000089617</v>
      </c>
      <c r="BW36" s="107">
        <f t="shared" si="37"/>
        <v>5795.2475000089617</v>
      </c>
      <c r="BX36" s="107">
        <f t="shared" si="37"/>
        <v>5795.2475000089617</v>
      </c>
      <c r="BY36" s="107">
        <f t="shared" si="35"/>
        <v>5795.2475000089617</v>
      </c>
      <c r="BZ36" s="107">
        <f t="shared" si="35"/>
        <v>5795.2475000089617</v>
      </c>
      <c r="CA36" s="107">
        <f t="shared" si="35"/>
        <v>5795.2475000089617</v>
      </c>
      <c r="CB36" s="107">
        <f t="shared" si="35"/>
        <v>5795.2475000089617</v>
      </c>
      <c r="CC36" s="107">
        <f t="shared" si="35"/>
        <v>5795.2475000089617</v>
      </c>
      <c r="CD36" s="107">
        <f t="shared" si="35"/>
        <v>5795.2475000089617</v>
      </c>
      <c r="CE36" s="107">
        <f t="shared" si="35"/>
        <v>5795.2475000089617</v>
      </c>
      <c r="CF36" s="107">
        <f t="shared" si="35"/>
        <v>5795.2475000089617</v>
      </c>
      <c r="CG36" s="107">
        <f t="shared" si="35"/>
        <v>5795.2475000089617</v>
      </c>
      <c r="CH36" s="107">
        <f t="shared" si="35"/>
        <v>5795.2475000089617</v>
      </c>
      <c r="CI36" s="107">
        <f t="shared" si="35"/>
        <v>5795.2475000089617</v>
      </c>
      <c r="CJ36" s="107">
        <f t="shared" si="35"/>
        <v>5795.2475000089617</v>
      </c>
      <c r="CK36" s="107">
        <f t="shared" si="35"/>
        <v>5795.2475000089617</v>
      </c>
      <c r="CL36" s="107">
        <f t="shared" si="35"/>
        <v>5795.2475000089617</v>
      </c>
      <c r="CM36" s="107">
        <f t="shared" si="35"/>
        <v>5795.2475000089617</v>
      </c>
      <c r="CN36" s="107">
        <f t="shared" si="35"/>
        <v>5795.2475000089617</v>
      </c>
      <c r="CO36" s="107">
        <f t="shared" si="35"/>
        <v>5795.2475000089617</v>
      </c>
      <c r="CP36" s="107">
        <f t="shared" si="35"/>
        <v>5795.2475000089617</v>
      </c>
      <c r="CQ36" s="107">
        <f t="shared" si="35"/>
        <v>5795.2475000089617</v>
      </c>
      <c r="CR36" s="107">
        <f t="shared" si="35"/>
        <v>5795.2475000089617</v>
      </c>
      <c r="CS36" s="107">
        <f t="shared" si="35"/>
        <v>5795.2475000089617</v>
      </c>
      <c r="CT36" s="107">
        <f t="shared" si="35"/>
        <v>5795.2475000089617</v>
      </c>
      <c r="CU36" s="107">
        <f t="shared" si="35"/>
        <v>5795.2475000089617</v>
      </c>
      <c r="CV36" s="107">
        <f t="shared" si="35"/>
        <v>5795.2475000089617</v>
      </c>
      <c r="CW36" s="107">
        <f t="shared" si="35"/>
        <v>5795.2475000089617</v>
      </c>
      <c r="CX36" s="107">
        <f t="shared" si="35"/>
        <v>5795.2475000089617</v>
      </c>
      <c r="CY36" s="107">
        <f t="shared" si="35"/>
        <v>5795.2475000089617</v>
      </c>
      <c r="CZ36" s="107">
        <f t="shared" si="35"/>
        <v>5795.2475000089617</v>
      </c>
      <c r="DA36" s="107">
        <f t="shared" si="35"/>
        <v>5795.2475000089617</v>
      </c>
      <c r="DB36" s="107">
        <f t="shared" si="35"/>
        <v>5795.2475000089617</v>
      </c>
      <c r="DC36" s="107">
        <f t="shared" si="35"/>
        <v>5795.2475000089617</v>
      </c>
      <c r="DD36" s="107">
        <f t="shared" si="35"/>
        <v>5795.2475000089617</v>
      </c>
      <c r="DE36" s="107">
        <f t="shared" si="35"/>
        <v>5795.2475000089617</v>
      </c>
      <c r="DF36" s="107">
        <f t="shared" si="35"/>
        <v>5795.2475000089617</v>
      </c>
      <c r="DG36" s="107">
        <f t="shared" si="35"/>
        <v>5795.2475000089617</v>
      </c>
      <c r="DH36" s="107">
        <f t="shared" si="35"/>
        <v>5795.2475000089617</v>
      </c>
      <c r="DI36" s="107">
        <f t="shared" si="35"/>
        <v>5795.2475000089617</v>
      </c>
      <c r="DJ36" s="107">
        <f t="shared" si="35"/>
        <v>5795.2475000089617</v>
      </c>
      <c r="DK36" s="107">
        <f t="shared" ref="DK36:DT36" si="38">DJ36</f>
        <v>5795.2475000089617</v>
      </c>
      <c r="DL36" s="107">
        <f t="shared" si="38"/>
        <v>5795.2475000089617</v>
      </c>
      <c r="DM36" s="107">
        <f t="shared" si="38"/>
        <v>5795.2475000089617</v>
      </c>
      <c r="DN36" s="107">
        <f t="shared" si="38"/>
        <v>5795.2475000089617</v>
      </c>
      <c r="DO36" s="107">
        <f t="shared" si="38"/>
        <v>5795.2475000089617</v>
      </c>
      <c r="DP36" s="107">
        <f t="shared" si="38"/>
        <v>5795.2475000089617</v>
      </c>
      <c r="DQ36" s="107">
        <f t="shared" si="38"/>
        <v>5795.2475000089617</v>
      </c>
      <c r="DR36" s="107">
        <f t="shared" si="38"/>
        <v>5795.2475000089617</v>
      </c>
      <c r="DS36" s="107">
        <f t="shared" si="38"/>
        <v>5795.2475000089617</v>
      </c>
      <c r="DT36" s="107">
        <f t="shared" si="38"/>
        <v>5795.2475000089617</v>
      </c>
    </row>
    <row r="37" spans="1:124" s="112" customFormat="1" x14ac:dyDescent="0.25">
      <c r="A37" s="114" t="s">
        <v>223</v>
      </c>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07">
        <v>0</v>
      </c>
      <c r="AA37" s="107">
        <v>-213533</v>
      </c>
      <c r="AB37" s="107">
        <v>12546</v>
      </c>
      <c r="AC37" s="107">
        <v>-16437</v>
      </c>
      <c r="AD37" s="107">
        <v>-37795</v>
      </c>
      <c r="AE37" s="107">
        <v>-70899</v>
      </c>
      <c r="AF37" s="107">
        <v>-180644</v>
      </c>
      <c r="AG37" s="107">
        <v>-82562</v>
      </c>
      <c r="AH37" s="107">
        <v>-93950</v>
      </c>
      <c r="AI37" s="107">
        <v>-57633</v>
      </c>
      <c r="AJ37" s="107">
        <v>-18265</v>
      </c>
      <c r="AK37" s="107">
        <v>-85727</v>
      </c>
      <c r="AL37" s="107"/>
      <c r="AM37" s="107"/>
      <c r="AN37" s="107"/>
      <c r="AO37" s="107">
        <v>0</v>
      </c>
      <c r="AP37" s="107"/>
      <c r="AQ37" s="108">
        <v>0</v>
      </c>
      <c r="AR37" s="108">
        <v>0</v>
      </c>
      <c r="AS37" s="108">
        <v>0</v>
      </c>
      <c r="AT37" s="108">
        <v>0</v>
      </c>
      <c r="AU37" s="108">
        <v>1</v>
      </c>
      <c r="AV37" s="108">
        <v>2</v>
      </c>
      <c r="AW37" s="108">
        <v>3</v>
      </c>
      <c r="AX37" s="116">
        <v>4</v>
      </c>
      <c r="AY37" s="111"/>
      <c r="AZ37" s="107"/>
      <c r="BA37" s="107"/>
      <c r="BB37" s="107"/>
      <c r="BC37" s="107"/>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108"/>
      <c r="BZ37" s="108"/>
      <c r="CA37" s="108"/>
      <c r="CB37" s="108"/>
      <c r="CC37" s="108"/>
      <c r="CD37" s="108"/>
      <c r="CE37" s="108"/>
      <c r="CF37" s="108"/>
      <c r="CG37" s="108"/>
      <c r="CH37" s="108"/>
      <c r="CI37" s="108"/>
      <c r="CJ37" s="108"/>
      <c r="CK37" s="108"/>
      <c r="CL37" s="108"/>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108"/>
      <c r="DI37" s="108"/>
      <c r="DJ37" s="108"/>
      <c r="DK37" s="108"/>
      <c r="DL37" s="108"/>
      <c r="DM37" s="108"/>
      <c r="DN37" s="108"/>
      <c r="DO37" s="108"/>
      <c r="DP37" s="108"/>
      <c r="DQ37" s="108"/>
      <c r="DR37" s="108"/>
      <c r="DS37" s="108"/>
      <c r="DT37" s="108"/>
    </row>
    <row r="38" spans="1:124" s="112" customFormat="1" x14ac:dyDescent="0.25">
      <c r="A38" s="113" t="s">
        <v>270</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22" t="e">
        <f t="shared" ref="Z38:AH38" si="39">SUM(Z34:Z37)</f>
        <v>#REF!</v>
      </c>
      <c r="AA38" s="122" t="e">
        <f t="shared" si="39"/>
        <v>#REF!</v>
      </c>
      <c r="AB38" s="122" t="e">
        <f t="shared" si="39"/>
        <v>#REF!</v>
      </c>
      <c r="AC38" s="122" t="e">
        <f t="shared" si="39"/>
        <v>#REF!</v>
      </c>
      <c r="AD38" s="122" t="e">
        <f t="shared" si="39"/>
        <v>#REF!</v>
      </c>
      <c r="AE38" s="122" t="e">
        <f t="shared" si="39"/>
        <v>#REF!</v>
      </c>
      <c r="AF38" s="122" t="e">
        <f t="shared" si="39"/>
        <v>#REF!</v>
      </c>
      <c r="AG38" s="122" t="e">
        <f t="shared" si="39"/>
        <v>#REF!</v>
      </c>
      <c r="AH38" s="122" t="e">
        <f t="shared" si="39"/>
        <v>#REF!</v>
      </c>
      <c r="AI38" s="122" t="e">
        <f>SUM(AI34:AI37)</f>
        <v>#REF!</v>
      </c>
      <c r="AJ38" s="122" t="e">
        <f t="shared" ref="AJ38:AS38" si="40">SUM(AJ34:AJ37)</f>
        <v>#REF!</v>
      </c>
      <c r="AK38" s="122" t="e">
        <f t="shared" si="40"/>
        <v>#REF!</v>
      </c>
      <c r="AL38" s="122"/>
      <c r="AM38" s="122"/>
      <c r="AN38" s="122"/>
      <c r="AO38" s="122" t="e">
        <f t="shared" si="40"/>
        <v>#REF!</v>
      </c>
      <c r="AP38" s="122" t="e">
        <f t="shared" si="40"/>
        <v>#REF!</v>
      </c>
      <c r="AQ38" s="122" t="e">
        <f t="shared" si="40"/>
        <v>#REF!</v>
      </c>
      <c r="AR38" s="122" t="e">
        <f t="shared" si="40"/>
        <v>#REF!</v>
      </c>
      <c r="AS38" s="122" t="e">
        <f t="shared" si="40"/>
        <v>#REF!</v>
      </c>
      <c r="AT38" s="124" t="e">
        <f>SUM(AT34:AT37)</f>
        <v>#REF!</v>
      </c>
      <c r="AU38" s="124" t="e">
        <f t="shared" ref="AU38:BL38" si="41">SUM(AU34:AU37)</f>
        <v>#REF!</v>
      </c>
      <c r="AV38" s="124" t="e">
        <f t="shared" si="41"/>
        <v>#REF!</v>
      </c>
      <c r="AW38" s="124" t="e">
        <f t="shared" si="41"/>
        <v>#REF!</v>
      </c>
      <c r="AX38" s="125" t="e">
        <f t="shared" si="41"/>
        <v>#REF!</v>
      </c>
      <c r="AY38" s="126" t="e">
        <f t="shared" si="41"/>
        <v>#REF!</v>
      </c>
      <c r="AZ38" s="123" t="e">
        <f t="shared" si="41"/>
        <v>#REF!</v>
      </c>
      <c r="BA38" s="123" t="e">
        <f>SUM(BA34:BA37)</f>
        <v>#REF!</v>
      </c>
      <c r="BB38" s="123" t="e">
        <f t="shared" si="41"/>
        <v>#REF!</v>
      </c>
      <c r="BC38" s="123" t="e">
        <f t="shared" si="41"/>
        <v>#REF!</v>
      </c>
      <c r="BD38" s="124" t="e">
        <f t="shared" si="41"/>
        <v>#REF!</v>
      </c>
      <c r="BE38" s="124" t="e">
        <f t="shared" si="41"/>
        <v>#REF!</v>
      </c>
      <c r="BF38" s="124" t="e">
        <f t="shared" si="41"/>
        <v>#REF!</v>
      </c>
      <c r="BG38" s="124" t="e">
        <f t="shared" si="41"/>
        <v>#REF!</v>
      </c>
      <c r="BH38" s="124" t="e">
        <f t="shared" si="41"/>
        <v>#REF!</v>
      </c>
      <c r="BI38" s="124" t="e">
        <f t="shared" si="41"/>
        <v>#REF!</v>
      </c>
      <c r="BJ38" s="124" t="e">
        <f t="shared" si="41"/>
        <v>#REF!</v>
      </c>
      <c r="BK38" s="124" t="e">
        <f t="shared" si="41"/>
        <v>#REF!</v>
      </c>
      <c r="BL38" s="124" t="e">
        <f t="shared" si="41"/>
        <v>#REF!</v>
      </c>
      <c r="BM38" s="124" t="e">
        <f>SUM(BM34:BM37)</f>
        <v>#REF!</v>
      </c>
      <c r="BN38" s="124" t="e">
        <f t="shared" ref="BN38:DT38" si="42">SUM(BN34:BN37)</f>
        <v>#REF!</v>
      </c>
      <c r="BO38" s="124" t="e">
        <f t="shared" si="42"/>
        <v>#REF!</v>
      </c>
      <c r="BP38" s="124" t="e">
        <f t="shared" si="42"/>
        <v>#REF!</v>
      </c>
      <c r="BQ38" s="124" t="e">
        <f t="shared" si="42"/>
        <v>#REF!</v>
      </c>
      <c r="BR38" s="124" t="e">
        <f t="shared" si="42"/>
        <v>#REF!</v>
      </c>
      <c r="BS38" s="124" t="e">
        <f t="shared" si="42"/>
        <v>#REF!</v>
      </c>
      <c r="BT38" s="124" t="e">
        <f t="shared" si="42"/>
        <v>#REF!</v>
      </c>
      <c r="BU38" s="124" t="e">
        <f t="shared" si="42"/>
        <v>#REF!</v>
      </c>
      <c r="BV38" s="124" t="e">
        <f t="shared" si="42"/>
        <v>#REF!</v>
      </c>
      <c r="BW38" s="124" t="e">
        <f t="shared" si="42"/>
        <v>#REF!</v>
      </c>
      <c r="BX38" s="124" t="e">
        <f t="shared" si="42"/>
        <v>#REF!</v>
      </c>
      <c r="BY38" s="124" t="e">
        <f t="shared" si="42"/>
        <v>#REF!</v>
      </c>
      <c r="BZ38" s="124" t="e">
        <f t="shared" si="42"/>
        <v>#REF!</v>
      </c>
      <c r="CA38" s="124" t="e">
        <f t="shared" si="42"/>
        <v>#REF!</v>
      </c>
      <c r="CB38" s="124" t="e">
        <f t="shared" si="42"/>
        <v>#REF!</v>
      </c>
      <c r="CC38" s="124" t="e">
        <f t="shared" si="42"/>
        <v>#REF!</v>
      </c>
      <c r="CD38" s="124" t="e">
        <f t="shared" si="42"/>
        <v>#REF!</v>
      </c>
      <c r="CE38" s="124" t="e">
        <f t="shared" si="42"/>
        <v>#REF!</v>
      </c>
      <c r="CF38" s="124" t="e">
        <f t="shared" si="42"/>
        <v>#REF!</v>
      </c>
      <c r="CG38" s="124" t="e">
        <f t="shared" si="42"/>
        <v>#REF!</v>
      </c>
      <c r="CH38" s="124" t="e">
        <f t="shared" si="42"/>
        <v>#REF!</v>
      </c>
      <c r="CI38" s="124" t="e">
        <f t="shared" si="42"/>
        <v>#REF!</v>
      </c>
      <c r="CJ38" s="124" t="e">
        <f>SUM(CJ34:CJ37)</f>
        <v>#REF!</v>
      </c>
      <c r="CK38" s="124" t="e">
        <f t="shared" si="42"/>
        <v>#REF!</v>
      </c>
      <c r="CL38" s="124" t="e">
        <f t="shared" si="42"/>
        <v>#REF!</v>
      </c>
      <c r="CM38" s="124" t="e">
        <f t="shared" si="42"/>
        <v>#REF!</v>
      </c>
      <c r="CN38" s="124" t="e">
        <f t="shared" si="42"/>
        <v>#REF!</v>
      </c>
      <c r="CO38" s="124" t="e">
        <f t="shared" si="42"/>
        <v>#REF!</v>
      </c>
      <c r="CP38" s="124" t="e">
        <f t="shared" si="42"/>
        <v>#REF!</v>
      </c>
      <c r="CQ38" s="124" t="e">
        <f t="shared" si="42"/>
        <v>#REF!</v>
      </c>
      <c r="CR38" s="124" t="e">
        <f t="shared" si="42"/>
        <v>#REF!</v>
      </c>
      <c r="CS38" s="124" t="e">
        <f t="shared" si="42"/>
        <v>#REF!</v>
      </c>
      <c r="CT38" s="124" t="e">
        <f t="shared" si="42"/>
        <v>#REF!</v>
      </c>
      <c r="CU38" s="124" t="e">
        <f t="shared" si="42"/>
        <v>#REF!</v>
      </c>
      <c r="CV38" s="124" t="e">
        <f t="shared" si="42"/>
        <v>#REF!</v>
      </c>
      <c r="CW38" s="124" t="e">
        <f t="shared" si="42"/>
        <v>#REF!</v>
      </c>
      <c r="CX38" s="124" t="e">
        <f t="shared" si="42"/>
        <v>#REF!</v>
      </c>
      <c r="CY38" s="124" t="e">
        <f t="shared" si="42"/>
        <v>#REF!</v>
      </c>
      <c r="CZ38" s="124" t="e">
        <f t="shared" si="42"/>
        <v>#REF!</v>
      </c>
      <c r="DA38" s="124" t="e">
        <f t="shared" si="42"/>
        <v>#REF!</v>
      </c>
      <c r="DB38" s="124" t="e">
        <f t="shared" si="42"/>
        <v>#REF!</v>
      </c>
      <c r="DC38" s="124" t="e">
        <f t="shared" si="42"/>
        <v>#REF!</v>
      </c>
      <c r="DD38" s="124" t="e">
        <f t="shared" si="42"/>
        <v>#REF!</v>
      </c>
      <c r="DE38" s="124" t="e">
        <f t="shared" si="42"/>
        <v>#REF!</v>
      </c>
      <c r="DF38" s="124" t="e">
        <f t="shared" si="42"/>
        <v>#REF!</v>
      </c>
      <c r="DG38" s="124" t="e">
        <f>SUM(DG34:DG37)</f>
        <v>#REF!</v>
      </c>
      <c r="DH38" s="124" t="e">
        <f>SUM(DH34:DH37)</f>
        <v>#REF!</v>
      </c>
      <c r="DI38" s="124" t="e">
        <f t="shared" si="42"/>
        <v>#REF!</v>
      </c>
      <c r="DJ38" s="124" t="e">
        <f t="shared" si="42"/>
        <v>#REF!</v>
      </c>
      <c r="DK38" s="124" t="e">
        <f t="shared" si="42"/>
        <v>#REF!</v>
      </c>
      <c r="DL38" s="124" t="e">
        <f t="shared" si="42"/>
        <v>#REF!</v>
      </c>
      <c r="DM38" s="124" t="e">
        <f t="shared" si="42"/>
        <v>#REF!</v>
      </c>
      <c r="DN38" s="124" t="e">
        <f t="shared" si="42"/>
        <v>#REF!</v>
      </c>
      <c r="DO38" s="124" t="e">
        <f t="shared" si="42"/>
        <v>#REF!</v>
      </c>
      <c r="DP38" s="124" t="e">
        <f t="shared" si="42"/>
        <v>#REF!</v>
      </c>
      <c r="DQ38" s="124" t="e">
        <f t="shared" si="42"/>
        <v>#REF!</v>
      </c>
      <c r="DR38" s="124" t="e">
        <f t="shared" si="42"/>
        <v>#REF!</v>
      </c>
      <c r="DS38" s="124" t="e">
        <f t="shared" si="42"/>
        <v>#REF!</v>
      </c>
      <c r="DT38" s="124" t="e">
        <f t="shared" si="42"/>
        <v>#REF!</v>
      </c>
    </row>
    <row r="39" spans="1:124" s="112" customFormat="1" ht="15.75" thickBot="1" x14ac:dyDescent="0.3">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36"/>
      <c r="AA39" s="136"/>
      <c r="AB39" s="136"/>
      <c r="AC39" s="136"/>
      <c r="AD39" s="136"/>
      <c r="AE39" s="136"/>
      <c r="AF39" s="136"/>
      <c r="AG39" s="136"/>
      <c r="AH39" s="136"/>
      <c r="AI39" s="136"/>
      <c r="AJ39" s="136"/>
      <c r="AK39" s="136"/>
      <c r="AL39" s="136"/>
      <c r="AM39" s="136"/>
      <c r="AN39" s="136"/>
      <c r="AO39" s="136"/>
      <c r="AP39" s="137"/>
      <c r="AQ39" s="137"/>
      <c r="AR39" s="137"/>
      <c r="AS39" s="137"/>
      <c r="AT39" s="137"/>
      <c r="AU39" s="137"/>
      <c r="AV39" s="137"/>
      <c r="AW39" s="137"/>
      <c r="AX39" s="138"/>
      <c r="AY39" s="139"/>
      <c r="AZ39" s="136"/>
      <c r="BA39" s="140">
        <v>791348.58333333337</v>
      </c>
      <c r="BB39" s="140">
        <v>791348.58333333337</v>
      </c>
      <c r="BC39" s="140">
        <v>791348.58333333337</v>
      </c>
      <c r="BD39" s="140">
        <v>791348.58333333337</v>
      </c>
      <c r="BE39" s="140">
        <v>791348.58333333337</v>
      </c>
      <c r="BF39" s="140">
        <f>791348.583333333+18750</f>
        <v>810098.58333333302</v>
      </c>
      <c r="BG39" s="140">
        <f>$BF$39</f>
        <v>810098.58333333302</v>
      </c>
      <c r="BH39" s="140">
        <f t="shared" ref="BH39:BL39" si="43">$BF$39</f>
        <v>810098.58333333302</v>
      </c>
      <c r="BI39" s="140">
        <f t="shared" si="43"/>
        <v>810098.58333333302</v>
      </c>
      <c r="BJ39" s="140">
        <f t="shared" si="43"/>
        <v>810098.58333333302</v>
      </c>
      <c r="BK39" s="140">
        <f t="shared" si="43"/>
        <v>810098.58333333302</v>
      </c>
      <c r="BL39" s="140">
        <f t="shared" si="43"/>
        <v>810098.58333333302</v>
      </c>
      <c r="BM39" s="141">
        <v>835098.58333333337</v>
      </c>
      <c r="BN39" s="141">
        <v>835098.58333333337</v>
      </c>
      <c r="BO39" s="141">
        <v>835098.58333333337</v>
      </c>
      <c r="BP39" s="141">
        <v>835098.58333333337</v>
      </c>
      <c r="BQ39" s="141">
        <v>835098.58333333337</v>
      </c>
      <c r="BR39" s="141">
        <v>835098.58333333337</v>
      </c>
      <c r="BS39" s="141">
        <v>835098.58333333337</v>
      </c>
      <c r="BT39" s="141">
        <v>835098.58333333337</v>
      </c>
      <c r="BU39" s="141">
        <v>835098.58333333337</v>
      </c>
      <c r="BV39" s="141">
        <v>835098.58333333337</v>
      </c>
      <c r="BW39" s="141">
        <v>835098.58333333337</v>
      </c>
      <c r="BX39" s="141">
        <v>835098.58333333337</v>
      </c>
      <c r="BY39" s="141">
        <v>878848.58333333337</v>
      </c>
      <c r="BZ39" s="141">
        <v>878848.58333333337</v>
      </c>
      <c r="CA39" s="141">
        <v>878848.58333333337</v>
      </c>
      <c r="CB39" s="141">
        <v>878848.58333333337</v>
      </c>
      <c r="CC39" s="141">
        <v>878848.58333333337</v>
      </c>
      <c r="CD39" s="141">
        <v>878848.58333333337</v>
      </c>
      <c r="CE39" s="141">
        <v>878848.58333333337</v>
      </c>
      <c r="CF39" s="141">
        <v>878848.58333333337</v>
      </c>
      <c r="CG39" s="141">
        <v>878848.58333333337</v>
      </c>
      <c r="CH39" s="141">
        <v>878848.58333333337</v>
      </c>
      <c r="CI39" s="141">
        <v>878848.58333333337</v>
      </c>
      <c r="CJ39" s="141">
        <v>878848.58333333337</v>
      </c>
      <c r="CK39" s="141">
        <v>1068431.9166666663</v>
      </c>
      <c r="CL39" s="141">
        <v>1068431.9166666663</v>
      </c>
      <c r="CM39" s="141">
        <v>1068431.9166666663</v>
      </c>
      <c r="CN39" s="141">
        <v>1068431.9166666663</v>
      </c>
      <c r="CO39" s="141">
        <v>1068431.9166666663</v>
      </c>
      <c r="CP39" s="141">
        <v>1068431.9166666663</v>
      </c>
      <c r="CQ39" s="141">
        <v>1068431.9166666663</v>
      </c>
      <c r="CR39" s="141">
        <v>1068431.9166666663</v>
      </c>
      <c r="CS39" s="141">
        <v>1068431.9166666663</v>
      </c>
      <c r="CT39" s="141">
        <v>1068431.9166666663</v>
      </c>
      <c r="CU39" s="141">
        <v>1068431.9166666663</v>
      </c>
      <c r="CV39" s="141">
        <v>1068431.9166666663</v>
      </c>
      <c r="CW39" s="141">
        <v>1105681.9166666663</v>
      </c>
      <c r="CX39" s="141">
        <v>1105681.9166666663</v>
      </c>
      <c r="CY39" s="141">
        <v>1105681.9166666663</v>
      </c>
      <c r="CZ39" s="141">
        <v>1105681.9166666663</v>
      </c>
      <c r="DA39" s="141">
        <v>1105681.9166666663</v>
      </c>
      <c r="DB39" s="141">
        <v>1105681.9166666663</v>
      </c>
      <c r="DC39" s="141">
        <v>1105681.9166666663</v>
      </c>
      <c r="DD39" s="141">
        <v>1105681.9166666663</v>
      </c>
      <c r="DE39" s="141">
        <v>1105681.9166666663</v>
      </c>
      <c r="DF39" s="141">
        <v>1105681.9166666663</v>
      </c>
      <c r="DG39" s="141">
        <v>1105681.9166666663</v>
      </c>
      <c r="DH39" s="141">
        <v>1105681.9166666663</v>
      </c>
      <c r="DI39" s="137"/>
      <c r="DJ39" s="137"/>
      <c r="DK39" s="137"/>
      <c r="DL39" s="137"/>
      <c r="DM39" s="137"/>
      <c r="DN39" s="137"/>
      <c r="DO39" s="137"/>
      <c r="DP39" s="137"/>
      <c r="DQ39" s="137"/>
      <c r="DR39" s="137"/>
      <c r="DS39" s="137"/>
      <c r="DT39" s="137"/>
    </row>
    <row r="40" spans="1:124" s="112" customFormat="1" ht="15.75" x14ac:dyDescent="0.25">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42">
        <v>2357170</v>
      </c>
      <c r="AA40" s="142">
        <v>1527014.2</v>
      </c>
      <c r="AB40" s="142">
        <v>1622906</v>
      </c>
      <c r="AC40" s="142">
        <v>1564988</v>
      </c>
      <c r="AD40" s="142">
        <v>1747283.7100000004</v>
      </c>
      <c r="AE40" s="142">
        <v>1933995</v>
      </c>
      <c r="AF40" s="142">
        <v>2185661</v>
      </c>
      <c r="AG40" s="142">
        <v>2058910.629999999</v>
      </c>
      <c r="AH40" s="142">
        <v>1996604.6200000048</v>
      </c>
      <c r="AI40" s="142">
        <v>1663861.2600000021</v>
      </c>
      <c r="AJ40" s="142">
        <v>1642233.9499999969</v>
      </c>
      <c r="AK40" s="142">
        <v>1559827</v>
      </c>
      <c r="AL40" s="142"/>
      <c r="AM40" s="142"/>
      <c r="AN40" s="142"/>
      <c r="AO40" s="142">
        <v>1790211</v>
      </c>
      <c r="AP40" s="143">
        <v>1818941</v>
      </c>
      <c r="AQ40" s="143">
        <v>1361828</v>
      </c>
      <c r="AR40" s="143">
        <v>1701014</v>
      </c>
      <c r="AS40" s="143">
        <v>1310251</v>
      </c>
      <c r="AT40" s="143">
        <v>2336747</v>
      </c>
      <c r="AU40" s="143">
        <v>2299845</v>
      </c>
      <c r="AV40" s="143">
        <v>2199835</v>
      </c>
      <c r="AW40" s="143">
        <v>2116810</v>
      </c>
      <c r="AX40" s="144">
        <v>1947140</v>
      </c>
      <c r="AY40" s="145">
        <v>1545928</v>
      </c>
      <c r="AZ40" s="146">
        <v>2078147</v>
      </c>
      <c r="BA40" s="146">
        <v>2356596</v>
      </c>
      <c r="BB40" s="146">
        <v>2421780</v>
      </c>
      <c r="BC40" s="146">
        <v>2296326</v>
      </c>
      <c r="BD40" s="146">
        <v>2448940</v>
      </c>
      <c r="BE40" s="146">
        <v>2626535</v>
      </c>
      <c r="BF40" s="146">
        <v>2854964</v>
      </c>
      <c r="BG40" s="146">
        <v>2822293</v>
      </c>
      <c r="BH40" s="146">
        <v>2815751</v>
      </c>
      <c r="BI40" s="146">
        <v>2609922</v>
      </c>
      <c r="BJ40" s="146">
        <v>2687807</v>
      </c>
      <c r="BK40" s="146">
        <v>2224170</v>
      </c>
      <c r="BL40" s="146">
        <v>3061725</v>
      </c>
      <c r="BM40" s="146">
        <v>2547561</v>
      </c>
      <c r="BN40" s="146">
        <v>2488421</v>
      </c>
      <c r="BO40" s="146">
        <v>2499359</v>
      </c>
      <c r="BP40" s="146">
        <v>2449988</v>
      </c>
      <c r="BQ40" s="146">
        <v>2683334</v>
      </c>
      <c r="BR40" s="146">
        <v>2803141</v>
      </c>
      <c r="BS40" s="146">
        <v>2821383</v>
      </c>
      <c r="BT40" s="146">
        <v>2858298</v>
      </c>
      <c r="BU40" s="146">
        <v>2632336</v>
      </c>
      <c r="BV40" s="146">
        <v>2739917</v>
      </c>
      <c r="BW40" s="146">
        <v>2508866</v>
      </c>
      <c r="BX40" s="146">
        <v>2513883</v>
      </c>
      <c r="BY40" s="146">
        <v>2551411</v>
      </c>
      <c r="BZ40" s="146">
        <v>2478375</v>
      </c>
      <c r="CA40" s="146">
        <v>2425351</v>
      </c>
      <c r="CB40" s="146">
        <v>2438575</v>
      </c>
      <c r="CC40" s="146">
        <v>2686664</v>
      </c>
      <c r="CD40" s="146">
        <v>2884286</v>
      </c>
      <c r="CE40" s="146">
        <v>2890521</v>
      </c>
      <c r="CF40" s="146">
        <v>2931737</v>
      </c>
      <c r="CG40" s="146">
        <v>2730965</v>
      </c>
      <c r="CH40" s="146">
        <v>2739356</v>
      </c>
      <c r="CI40" s="146">
        <v>2516040</v>
      </c>
      <c r="CJ40" s="146">
        <v>2533346</v>
      </c>
      <c r="CK40" s="146">
        <v>3391801</v>
      </c>
      <c r="CL40" s="146">
        <v>2678150</v>
      </c>
      <c r="CM40" s="146">
        <v>2633870</v>
      </c>
      <c r="CN40" s="146">
        <v>2628751</v>
      </c>
      <c r="CO40" s="146">
        <v>2893689</v>
      </c>
      <c r="CP40" s="146">
        <v>3088729</v>
      </c>
      <c r="CQ40" s="146">
        <v>3083995</v>
      </c>
      <c r="CR40" s="146">
        <v>3131501</v>
      </c>
      <c r="CS40" s="146">
        <v>2926354</v>
      </c>
      <c r="CT40" s="146">
        <v>2921628</v>
      </c>
      <c r="CU40" s="146">
        <v>2716697</v>
      </c>
      <c r="CV40" s="146">
        <v>2721856</v>
      </c>
      <c r="CW40" s="146">
        <v>3131206</v>
      </c>
      <c r="CX40" s="146">
        <v>3299803</v>
      </c>
      <c r="CY40" s="146">
        <v>2706692</v>
      </c>
      <c r="CZ40" s="146">
        <v>2695287</v>
      </c>
      <c r="DA40" s="146">
        <v>2907372</v>
      </c>
      <c r="DB40" s="146">
        <v>2996645</v>
      </c>
      <c r="DC40" s="146">
        <v>3051245</v>
      </c>
      <c r="DD40" s="146">
        <v>3158353</v>
      </c>
      <c r="DE40" s="146">
        <v>2945585</v>
      </c>
      <c r="DF40" s="146">
        <v>3004766</v>
      </c>
      <c r="DG40" s="146">
        <v>2812768</v>
      </c>
      <c r="DH40" s="146">
        <v>2775935</v>
      </c>
      <c r="DI40" s="137"/>
      <c r="DJ40" s="137"/>
      <c r="DK40" s="137"/>
      <c r="DL40" s="137"/>
      <c r="DM40" s="137"/>
      <c r="DN40" s="137"/>
      <c r="DO40" s="137"/>
      <c r="DP40" s="137"/>
      <c r="DQ40" s="137"/>
      <c r="DR40" s="137"/>
      <c r="DS40" s="137"/>
      <c r="DT40" s="137"/>
    </row>
    <row r="41" spans="1:124" s="112" customFormat="1" x14ac:dyDescent="0.25">
      <c r="A41" s="113"/>
      <c r="B41" s="113"/>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47"/>
      <c r="AY41" s="139"/>
      <c r="AZ41" s="136"/>
      <c r="BA41" s="148"/>
      <c r="BB41" s="149"/>
      <c r="BM41" s="136"/>
      <c r="BN41" s="136"/>
      <c r="BO41" s="136"/>
      <c r="BP41" s="136"/>
      <c r="BQ41" s="136"/>
      <c r="BR41" s="136"/>
      <c r="BS41" s="136"/>
      <c r="BT41" s="136"/>
      <c r="BU41" s="136"/>
      <c r="BV41" s="136"/>
      <c r="BW41" s="136"/>
      <c r="BX41" s="136"/>
      <c r="BY41" s="136"/>
      <c r="BZ41" s="136"/>
      <c r="CA41" s="136"/>
      <c r="CB41" s="136"/>
      <c r="CC41" s="136"/>
      <c r="CD41" s="136"/>
      <c r="CE41" s="136"/>
      <c r="CF41" s="136"/>
      <c r="CG41" s="136"/>
      <c r="CH41" s="136"/>
      <c r="CI41" s="136"/>
      <c r="CJ41" s="136"/>
      <c r="CK41" s="137"/>
      <c r="CL41" s="137"/>
      <c r="CM41" s="137"/>
      <c r="CN41" s="137"/>
      <c r="CO41" s="137"/>
      <c r="CP41" s="137"/>
      <c r="CQ41" s="137"/>
      <c r="CR41" s="137"/>
      <c r="CS41" s="137"/>
      <c r="CT41" s="137"/>
      <c r="CU41" s="137"/>
      <c r="CV41" s="137"/>
      <c r="CW41" s="137"/>
      <c r="CX41" s="137"/>
      <c r="CY41" s="137"/>
      <c r="CZ41" s="137"/>
      <c r="DA41" s="137"/>
      <c r="DB41" s="137"/>
      <c r="DC41" s="137"/>
      <c r="DD41" s="137"/>
      <c r="DE41" s="137"/>
      <c r="DF41" s="137"/>
      <c r="DG41" s="137"/>
      <c r="DH41" s="137"/>
      <c r="DI41" s="137"/>
      <c r="DJ41" s="137"/>
      <c r="DK41" s="137"/>
      <c r="DL41" s="137"/>
      <c r="DM41" s="137"/>
      <c r="DN41" s="137"/>
      <c r="DO41" s="137"/>
      <c r="DP41" s="137"/>
      <c r="DQ41" s="137"/>
      <c r="DR41" s="137"/>
      <c r="DS41" s="137"/>
      <c r="DT41" s="137"/>
    </row>
    <row r="42" spans="1:124" s="112" customFormat="1" x14ac:dyDescent="0.25">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50">
        <v>-2.0000001415610313E-2</v>
      </c>
      <c r="AA42" s="150">
        <v>0</v>
      </c>
      <c r="AB42" s="150">
        <v>0.29000000050291419</v>
      </c>
      <c r="AC42" s="150">
        <v>0</v>
      </c>
      <c r="AD42" s="150">
        <v>0</v>
      </c>
      <c r="AE42" s="150">
        <v>0</v>
      </c>
      <c r="AF42" s="150">
        <v>0</v>
      </c>
      <c r="AG42" s="150">
        <v>0</v>
      </c>
      <c r="AH42" s="150">
        <v>0</v>
      </c>
      <c r="AI42" s="150">
        <v>0</v>
      </c>
      <c r="AJ42" s="150">
        <v>0</v>
      </c>
      <c r="AK42" s="150">
        <v>0</v>
      </c>
      <c r="AL42" s="150"/>
      <c r="AM42" s="150"/>
      <c r="AN42" s="150"/>
      <c r="AO42" s="150" t="e">
        <f>AO40-AO38</f>
        <v>#REF!</v>
      </c>
      <c r="AP42" s="150" t="e">
        <f t="shared" ref="AP42" si="44">AP40-AP38</f>
        <v>#REF!</v>
      </c>
      <c r="AQ42" s="150" t="e">
        <f>AQ38-AQ40</f>
        <v>#REF!</v>
      </c>
      <c r="AR42" s="150" t="e">
        <f>AR38-AR40</f>
        <v>#REF!</v>
      </c>
      <c r="AS42" s="150" t="e">
        <f>AS38-AS40</f>
        <v>#REF!</v>
      </c>
      <c r="AT42" s="150" t="e">
        <f t="shared" ref="AT42:AX42" si="45">AT38-AT40</f>
        <v>#REF!</v>
      </c>
      <c r="AU42" s="150" t="e">
        <f t="shared" si="45"/>
        <v>#REF!</v>
      </c>
      <c r="AV42" s="150" t="e">
        <f t="shared" si="45"/>
        <v>#REF!</v>
      </c>
      <c r="AW42" s="150" t="e">
        <f t="shared" si="45"/>
        <v>#REF!</v>
      </c>
      <c r="AX42" s="151" t="e">
        <f t="shared" si="45"/>
        <v>#REF!</v>
      </c>
      <c r="AY42" s="152"/>
      <c r="AZ42" s="150"/>
      <c r="BA42" s="107"/>
      <c r="BB42" s="107"/>
      <c r="BC42" s="107"/>
      <c r="BD42" s="107"/>
      <c r="BE42" s="107"/>
      <c r="BF42" s="107"/>
      <c r="BG42" s="107"/>
      <c r="BH42" s="107"/>
      <c r="BI42" s="107"/>
      <c r="BJ42" s="107"/>
      <c r="BK42" s="107"/>
      <c r="BL42" s="107"/>
      <c r="BM42" s="107"/>
      <c r="BN42" s="107"/>
      <c r="BO42" s="107"/>
      <c r="BP42" s="107" t="e">
        <f t="shared" ref="BP42:DG42" si="46">SUM(BP38:BP39)-BP40</f>
        <v>#REF!</v>
      </c>
      <c r="BQ42" s="107" t="e">
        <f t="shared" si="46"/>
        <v>#REF!</v>
      </c>
      <c r="BR42" s="107" t="e">
        <f t="shared" si="46"/>
        <v>#REF!</v>
      </c>
      <c r="BS42" s="107" t="e">
        <f t="shared" si="46"/>
        <v>#REF!</v>
      </c>
      <c r="BT42" s="107" t="e">
        <f t="shared" si="46"/>
        <v>#REF!</v>
      </c>
      <c r="BU42" s="107" t="e">
        <f t="shared" si="46"/>
        <v>#REF!</v>
      </c>
      <c r="BV42" s="107" t="e">
        <f t="shared" si="46"/>
        <v>#REF!</v>
      </c>
      <c r="BW42" s="107" t="e">
        <f t="shared" si="46"/>
        <v>#REF!</v>
      </c>
      <c r="BX42" s="107" t="e">
        <f t="shared" si="46"/>
        <v>#REF!</v>
      </c>
      <c r="BY42" s="107" t="e">
        <f t="shared" si="46"/>
        <v>#REF!</v>
      </c>
      <c r="BZ42" s="107" t="e">
        <f t="shared" si="46"/>
        <v>#REF!</v>
      </c>
      <c r="CA42" s="107" t="e">
        <f t="shared" si="46"/>
        <v>#REF!</v>
      </c>
      <c r="CB42" s="107" t="e">
        <f t="shared" si="46"/>
        <v>#REF!</v>
      </c>
      <c r="CC42" s="107" t="e">
        <f t="shared" si="46"/>
        <v>#REF!</v>
      </c>
      <c r="CD42" s="107" t="e">
        <f t="shared" si="46"/>
        <v>#REF!</v>
      </c>
      <c r="CE42" s="107" t="e">
        <f t="shared" si="46"/>
        <v>#REF!</v>
      </c>
      <c r="CF42" s="107" t="e">
        <f t="shared" si="46"/>
        <v>#REF!</v>
      </c>
      <c r="CG42" s="107" t="e">
        <f t="shared" si="46"/>
        <v>#REF!</v>
      </c>
      <c r="CH42" s="107" t="e">
        <f t="shared" si="46"/>
        <v>#REF!</v>
      </c>
      <c r="CI42" s="107" t="e">
        <f t="shared" si="46"/>
        <v>#REF!</v>
      </c>
      <c r="CJ42" s="107" t="e">
        <f t="shared" si="46"/>
        <v>#REF!</v>
      </c>
      <c r="CK42" s="107" t="e">
        <f t="shared" si="46"/>
        <v>#REF!</v>
      </c>
      <c r="CL42" s="107" t="e">
        <f t="shared" si="46"/>
        <v>#REF!</v>
      </c>
      <c r="CM42" s="107" t="e">
        <f t="shared" si="46"/>
        <v>#REF!</v>
      </c>
      <c r="CN42" s="107" t="e">
        <f t="shared" si="46"/>
        <v>#REF!</v>
      </c>
      <c r="CO42" s="107" t="e">
        <f t="shared" si="46"/>
        <v>#REF!</v>
      </c>
      <c r="CP42" s="107" t="e">
        <f t="shared" si="46"/>
        <v>#REF!</v>
      </c>
      <c r="CQ42" s="107" t="e">
        <f t="shared" si="46"/>
        <v>#REF!</v>
      </c>
      <c r="CR42" s="107" t="e">
        <f t="shared" si="46"/>
        <v>#REF!</v>
      </c>
      <c r="CS42" s="107" t="e">
        <f t="shared" si="46"/>
        <v>#REF!</v>
      </c>
      <c r="CT42" s="107" t="e">
        <f t="shared" si="46"/>
        <v>#REF!</v>
      </c>
      <c r="CU42" s="107" t="e">
        <f t="shared" si="46"/>
        <v>#REF!</v>
      </c>
      <c r="CV42" s="107" t="e">
        <f t="shared" si="46"/>
        <v>#REF!</v>
      </c>
      <c r="CW42" s="107" t="e">
        <f t="shared" si="46"/>
        <v>#REF!</v>
      </c>
      <c r="CX42" s="107" t="e">
        <f t="shared" si="46"/>
        <v>#REF!</v>
      </c>
      <c r="CY42" s="107" t="e">
        <f t="shared" si="46"/>
        <v>#REF!</v>
      </c>
      <c r="CZ42" s="107" t="e">
        <f t="shared" si="46"/>
        <v>#REF!</v>
      </c>
      <c r="DA42" s="107" t="e">
        <f t="shared" si="46"/>
        <v>#REF!</v>
      </c>
      <c r="DB42" s="107" t="e">
        <f t="shared" si="46"/>
        <v>#REF!</v>
      </c>
      <c r="DC42" s="107" t="e">
        <f t="shared" si="46"/>
        <v>#REF!</v>
      </c>
      <c r="DD42" s="107" t="e">
        <f t="shared" si="46"/>
        <v>#REF!</v>
      </c>
      <c r="DE42" s="107" t="e">
        <f t="shared" si="46"/>
        <v>#REF!</v>
      </c>
      <c r="DF42" s="107" t="e">
        <f t="shared" si="46"/>
        <v>#REF!</v>
      </c>
      <c r="DG42" s="107" t="e">
        <f t="shared" si="46"/>
        <v>#REF!</v>
      </c>
      <c r="DH42" s="107" t="e">
        <f>SUM(DH38:DH39)-DH40</f>
        <v>#REF!</v>
      </c>
      <c r="DI42" s="108"/>
      <c r="DJ42" s="108"/>
      <c r="DK42" s="108"/>
      <c r="DL42" s="108"/>
      <c r="DM42" s="108"/>
      <c r="DN42" s="108"/>
      <c r="DO42" s="108"/>
      <c r="DP42" s="108"/>
      <c r="DQ42" s="108"/>
      <c r="DR42" s="108"/>
      <c r="DS42" s="108"/>
      <c r="DT42" s="108"/>
    </row>
    <row r="43" spans="1:124" s="112" customFormat="1" x14ac:dyDescent="0.25">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16"/>
      <c r="AY43" s="129"/>
      <c r="AZ43" s="108"/>
      <c r="BA43" s="108"/>
      <c r="BB43" s="108"/>
      <c r="BC43" s="108"/>
    </row>
    <row r="44" spans="1:124" s="112" customFormat="1" x14ac:dyDescent="0.25">
      <c r="A44" s="113" t="s">
        <v>271</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07"/>
      <c r="AA44" s="107"/>
      <c r="AB44" s="107"/>
      <c r="AC44" s="107"/>
      <c r="AD44" s="107"/>
      <c r="AE44" s="107"/>
      <c r="AF44" s="107"/>
      <c r="AG44" s="107"/>
      <c r="AH44" s="107"/>
      <c r="AI44" s="107"/>
      <c r="AJ44" s="107"/>
      <c r="AK44" s="107"/>
      <c r="AL44" s="107" t="s">
        <v>272</v>
      </c>
      <c r="AM44" s="107" t="s">
        <v>273</v>
      </c>
      <c r="AN44" s="107" t="s">
        <v>274</v>
      </c>
      <c r="AO44" s="107"/>
      <c r="AP44" s="108"/>
      <c r="AQ44" s="108"/>
      <c r="AR44" s="108"/>
      <c r="AS44" s="108"/>
      <c r="AT44" s="108"/>
      <c r="AU44" s="108"/>
      <c r="AV44" s="108"/>
      <c r="AW44" s="108"/>
      <c r="AX44" s="116"/>
      <c r="AY44" s="111"/>
      <c r="AZ44" s="107"/>
      <c r="BA44" s="107"/>
      <c r="BB44" s="107"/>
      <c r="BC44" s="107"/>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row>
    <row r="45" spans="1:124" s="112" customFormat="1" x14ac:dyDescent="0.25">
      <c r="A45" s="114" t="s">
        <v>7</v>
      </c>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07">
        <f>Z46+Z47</f>
        <v>496957.62734999997</v>
      </c>
      <c r="AA45" s="107">
        <f t="shared" ref="AA45:AS45" si="47">AA46+AA47</f>
        <v>498273.06735000003</v>
      </c>
      <c r="AB45" s="107">
        <f t="shared" si="47"/>
        <v>461806.10844000004</v>
      </c>
      <c r="AC45" s="107">
        <f t="shared" si="47"/>
        <v>488414.58032000001</v>
      </c>
      <c r="AD45" s="107">
        <f t="shared" si="47"/>
        <v>495333.98107999994</v>
      </c>
      <c r="AE45" s="107">
        <f t="shared" si="47"/>
        <v>656260.61210000003</v>
      </c>
      <c r="AF45" s="107">
        <f t="shared" si="47"/>
        <v>656200.13209999993</v>
      </c>
      <c r="AG45" s="107">
        <f t="shared" si="47"/>
        <v>656351.3321</v>
      </c>
      <c r="AH45" s="107">
        <f t="shared" si="47"/>
        <v>656804.93209999998</v>
      </c>
      <c r="AI45" s="107">
        <f t="shared" si="47"/>
        <v>647031.39003000001</v>
      </c>
      <c r="AJ45" s="107">
        <f t="shared" si="47"/>
        <v>518161.25020999997</v>
      </c>
      <c r="AK45" s="107">
        <f t="shared" si="47"/>
        <v>537444.18662999989</v>
      </c>
      <c r="AL45" s="107">
        <f>SUM(Z45:AK45)</f>
        <v>6769039.1998100001</v>
      </c>
      <c r="AM45" s="107">
        <v>7348590.4099999303</v>
      </c>
      <c r="AN45" s="107">
        <f>AL45-AM45</f>
        <v>-579551.21018993016</v>
      </c>
      <c r="AO45" s="107">
        <f t="shared" si="47"/>
        <v>555367.65647000005</v>
      </c>
      <c r="AP45" s="107">
        <f t="shared" si="47"/>
        <v>539819.84072999994</v>
      </c>
      <c r="AQ45" s="107">
        <f t="shared" si="47"/>
        <v>452296.96916000004</v>
      </c>
      <c r="AR45" s="107">
        <f t="shared" si="47"/>
        <v>462981.80588000006</v>
      </c>
      <c r="AS45" s="107">
        <f t="shared" si="47"/>
        <v>546807.48689000006</v>
      </c>
      <c r="AT45" s="108">
        <v>721609.22</v>
      </c>
      <c r="AU45" s="108">
        <v>742002.78</v>
      </c>
      <c r="AV45" s="108">
        <v>740849.8600000001</v>
      </c>
      <c r="AW45" s="108">
        <v>737934.58000000007</v>
      </c>
      <c r="AX45" s="116">
        <v>637116</v>
      </c>
      <c r="AY45" s="111">
        <f t="shared" ref="AY45:DJ45" si="48">AY46+AY47</f>
        <v>481410.114814386</v>
      </c>
      <c r="AZ45" s="107">
        <f t="shared" si="48"/>
        <v>492271.57600531046</v>
      </c>
      <c r="BA45" s="107">
        <f t="shared" si="48"/>
        <v>462614.39211516158</v>
      </c>
      <c r="BB45" s="107">
        <f t="shared" si="48"/>
        <v>484942.78616971301</v>
      </c>
      <c r="BC45" s="107">
        <f t="shared" si="48"/>
        <v>474831.45104537031</v>
      </c>
      <c r="BD45" s="107">
        <f t="shared" si="48"/>
        <v>493994.55756341427</v>
      </c>
      <c r="BE45" s="107">
        <f t="shared" si="48"/>
        <v>507483.28403714008</v>
      </c>
      <c r="BF45" s="107">
        <f t="shared" si="48"/>
        <v>655206.15200714325</v>
      </c>
      <c r="BG45" s="107">
        <f t="shared" si="48"/>
        <v>656640.935464393</v>
      </c>
      <c r="BH45" s="107">
        <f t="shared" si="48"/>
        <v>656233.4396096064</v>
      </c>
      <c r="BI45" s="107">
        <f t="shared" si="48"/>
        <v>636367.91887882922</v>
      </c>
      <c r="BJ45" s="107">
        <f t="shared" si="48"/>
        <v>622597.96526867629</v>
      </c>
      <c r="BK45" s="107">
        <f t="shared" si="48"/>
        <v>496316.48016425397</v>
      </c>
      <c r="BL45" s="107">
        <f t="shared" si="48"/>
        <v>510374.83494727354</v>
      </c>
      <c r="BM45" s="108">
        <f t="shared" si="48"/>
        <v>462614.39211516158</v>
      </c>
      <c r="BN45" s="108">
        <f t="shared" si="48"/>
        <v>484942.78616971301</v>
      </c>
      <c r="BO45" s="108">
        <f t="shared" si="48"/>
        <v>474831.45104537031</v>
      </c>
      <c r="BP45" s="108">
        <f t="shared" si="48"/>
        <v>493994.55756341427</v>
      </c>
      <c r="BQ45" s="108">
        <f t="shared" si="48"/>
        <v>507483.28403714008</v>
      </c>
      <c r="BR45" s="108">
        <f t="shared" si="48"/>
        <v>655206.15200714325</v>
      </c>
      <c r="BS45" s="108">
        <f t="shared" si="48"/>
        <v>656640.935464393</v>
      </c>
      <c r="BT45" s="108">
        <f t="shared" si="48"/>
        <v>656233.4396096064</v>
      </c>
      <c r="BU45" s="108">
        <f t="shared" si="48"/>
        <v>636367.91887882922</v>
      </c>
      <c r="BV45" s="108">
        <f t="shared" si="48"/>
        <v>622597.96526867629</v>
      </c>
      <c r="BW45" s="108">
        <f t="shared" si="48"/>
        <v>496316.48016425397</v>
      </c>
      <c r="BX45" s="108">
        <f t="shared" si="48"/>
        <v>510374.83494727354</v>
      </c>
      <c r="BY45" s="108">
        <f t="shared" si="48"/>
        <v>486177.38261458615</v>
      </c>
      <c r="BZ45" s="108">
        <f t="shared" si="48"/>
        <v>497843.97614959255</v>
      </c>
      <c r="CA45" s="108">
        <f t="shared" si="48"/>
        <v>461831.40819221165</v>
      </c>
      <c r="CB45" s="108">
        <f t="shared" si="48"/>
        <v>484613.02849808463</v>
      </c>
      <c r="CC45" s="108">
        <f t="shared" si="48"/>
        <v>536058.76529489551</v>
      </c>
      <c r="CD45" s="108">
        <f t="shared" si="48"/>
        <v>694260.18238569319</v>
      </c>
      <c r="CE45" s="108">
        <f t="shared" si="48"/>
        <v>672876.78740582697</v>
      </c>
      <c r="CF45" s="108">
        <f t="shared" si="48"/>
        <v>663593.89125449525</v>
      </c>
      <c r="CG45" s="108">
        <f t="shared" si="48"/>
        <v>645726.85649012181</v>
      </c>
      <c r="CH45" s="108">
        <f t="shared" si="48"/>
        <v>601226.39350328851</v>
      </c>
      <c r="CI45" s="108">
        <f t="shared" si="48"/>
        <v>489710.07107154612</v>
      </c>
      <c r="CJ45" s="108">
        <f t="shared" si="48"/>
        <v>502146.13881827483</v>
      </c>
      <c r="CK45" s="108">
        <f t="shared" si="48"/>
        <v>495149.88042967266</v>
      </c>
      <c r="CL45" s="108">
        <f t="shared" si="48"/>
        <v>500571.791148394</v>
      </c>
      <c r="CM45" s="108">
        <f t="shared" si="48"/>
        <v>456578.69726477319</v>
      </c>
      <c r="CN45" s="108">
        <f t="shared" si="48"/>
        <v>484765.4715433002</v>
      </c>
      <c r="CO45" s="108">
        <f t="shared" si="48"/>
        <v>547800.9141736466</v>
      </c>
      <c r="CP45" s="108">
        <f t="shared" si="48"/>
        <v>713200.30336627061</v>
      </c>
      <c r="CQ45" s="108">
        <f t="shared" si="48"/>
        <v>682877.40135715134</v>
      </c>
      <c r="CR45" s="108">
        <f t="shared" si="48"/>
        <v>671124.40242261987</v>
      </c>
      <c r="CS45" s="108">
        <f t="shared" si="48"/>
        <v>653664.04198233131</v>
      </c>
      <c r="CT45" s="108">
        <f t="shared" si="48"/>
        <v>595657.15778561018</v>
      </c>
      <c r="CU45" s="108">
        <f t="shared" si="48"/>
        <v>488663.98726831761</v>
      </c>
      <c r="CV45" s="108">
        <f t="shared" si="48"/>
        <v>500789.35345903982</v>
      </c>
      <c r="CW45" s="108">
        <f t="shared" si="48"/>
        <v>478985.76262481144</v>
      </c>
      <c r="CX45" s="108">
        <f t="shared" si="48"/>
        <v>496310.13081926812</v>
      </c>
      <c r="CY45" s="108">
        <f t="shared" si="48"/>
        <v>474554.31796552293</v>
      </c>
      <c r="CZ45" s="108">
        <f t="shared" si="48"/>
        <v>486966.30745408719</v>
      </c>
      <c r="DA45" s="108">
        <f t="shared" si="48"/>
        <v>511394.77358500793</v>
      </c>
      <c r="DB45" s="108">
        <f t="shared" si="48"/>
        <v>600262.7077258249</v>
      </c>
      <c r="DC45" s="108">
        <f t="shared" si="48"/>
        <v>628675.59624630329</v>
      </c>
      <c r="DD45" s="108">
        <f t="shared" si="48"/>
        <v>670619.9662732631</v>
      </c>
      <c r="DE45" s="108">
        <f t="shared" si="48"/>
        <v>648009.19264963153</v>
      </c>
      <c r="DF45" s="108">
        <f t="shared" si="48"/>
        <v>636467.62165951787</v>
      </c>
      <c r="DG45" s="108">
        <f t="shared" si="48"/>
        <v>542825.66602466442</v>
      </c>
      <c r="DH45" s="108">
        <f t="shared" si="48"/>
        <v>496642.25280802848</v>
      </c>
      <c r="DI45" s="108">
        <f t="shared" si="48"/>
        <v>465193.75154428766</v>
      </c>
      <c r="DJ45" s="108">
        <f t="shared" si="48"/>
        <v>500998.20619220944</v>
      </c>
      <c r="DK45" s="108">
        <f t="shared" ref="DK45:DT45" si="49">DK46+DK47</f>
        <v>472900.68222766818</v>
      </c>
      <c r="DL45" s="108">
        <f t="shared" si="49"/>
        <v>501548.67331041663</v>
      </c>
      <c r="DM45" s="108">
        <f t="shared" si="49"/>
        <v>520650.15112229064</v>
      </c>
      <c r="DN45" s="108">
        <f t="shared" si="49"/>
        <v>584367.51163546473</v>
      </c>
      <c r="DO45" s="108">
        <f t="shared" si="49"/>
        <v>568900.20608812408</v>
      </c>
      <c r="DP45" s="108">
        <f t="shared" si="49"/>
        <v>635092.05245021801</v>
      </c>
      <c r="DQ45" s="108">
        <f t="shared" si="49"/>
        <v>661483.44653513981</v>
      </c>
      <c r="DR45" s="108">
        <f t="shared" si="49"/>
        <v>635308.02680939646</v>
      </c>
      <c r="DS45" s="108">
        <f t="shared" si="49"/>
        <v>564550.97668197658</v>
      </c>
      <c r="DT45" s="108">
        <f t="shared" si="49"/>
        <v>546243.49054745317</v>
      </c>
    </row>
    <row r="46" spans="1:124" s="112" customFormat="1" x14ac:dyDescent="0.25">
      <c r="A46" s="117" t="s">
        <v>212</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53">
        <v>416318.46632999997</v>
      </c>
      <c r="AA46" s="153">
        <v>417633.90633000003</v>
      </c>
      <c r="AB46" s="153">
        <v>409101.05180000002</v>
      </c>
      <c r="AC46" s="153">
        <v>419158.27370000002</v>
      </c>
      <c r="AD46" s="153">
        <v>418919.39422999998</v>
      </c>
      <c r="AE46" s="153">
        <v>465592.98177000001</v>
      </c>
      <c r="AF46" s="153">
        <v>465532.50176999997</v>
      </c>
      <c r="AG46" s="153">
        <v>465683.70177000004</v>
      </c>
      <c r="AH46" s="153">
        <v>466137.30177000002</v>
      </c>
      <c r="AI46" s="153">
        <v>468545.82694</v>
      </c>
      <c r="AJ46" s="153">
        <v>430536.11885999999</v>
      </c>
      <c r="AK46" s="153">
        <v>432777.46748999995</v>
      </c>
      <c r="AL46" s="107"/>
      <c r="AM46" s="153"/>
      <c r="AN46" s="107">
        <f t="shared" ref="AN46:AN53" si="50">AL46-AM46</f>
        <v>0</v>
      </c>
      <c r="AO46" s="153">
        <v>434841.27719000005</v>
      </c>
      <c r="AP46" s="153">
        <v>432393.44735999999</v>
      </c>
      <c r="AQ46" s="153">
        <v>402320.41460000002</v>
      </c>
      <c r="AR46" s="153">
        <v>408298.48880000005</v>
      </c>
      <c r="AS46" s="153">
        <v>433395.76181000005</v>
      </c>
      <c r="AT46" s="108">
        <v>470383.04098000005</v>
      </c>
      <c r="AU46" s="108">
        <v>473528.08357429999</v>
      </c>
      <c r="AV46" s="108">
        <v>473901.9694</v>
      </c>
      <c r="AW46" s="108">
        <v>472278.30403</v>
      </c>
      <c r="AX46" s="116">
        <v>455490.02286000003</v>
      </c>
      <c r="AY46" s="111">
        <v>415768.36680660374</v>
      </c>
      <c r="AZ46" s="107">
        <v>418117.47296556499</v>
      </c>
      <c r="BA46" s="107">
        <v>413495.86305026943</v>
      </c>
      <c r="BB46" s="107">
        <v>414081.42352439521</v>
      </c>
      <c r="BC46" s="107">
        <v>405975.18364574586</v>
      </c>
      <c r="BD46" s="107">
        <v>417050.65040221589</v>
      </c>
      <c r="BE46" s="107">
        <v>415851.52210790006</v>
      </c>
      <c r="BF46" s="107">
        <v>461115.58204224275</v>
      </c>
      <c r="BG46" s="107">
        <v>461103.95878938818</v>
      </c>
      <c r="BH46" s="107">
        <v>461698.84289097117</v>
      </c>
      <c r="BI46" s="107">
        <v>462121.83900224918</v>
      </c>
      <c r="BJ46" s="107">
        <v>463399.34544553154</v>
      </c>
      <c r="BK46" s="107">
        <v>426273.94548870233</v>
      </c>
      <c r="BL46" s="107">
        <v>430280.39827512531</v>
      </c>
      <c r="BM46" s="108">
        <v>413495.86305026943</v>
      </c>
      <c r="BN46" s="108">
        <v>414081.42352439521</v>
      </c>
      <c r="BO46" s="108">
        <v>405975.18364574586</v>
      </c>
      <c r="BP46" s="108">
        <v>417050.65040221589</v>
      </c>
      <c r="BQ46" s="108">
        <v>415851.52210790006</v>
      </c>
      <c r="BR46" s="108">
        <v>461115.58204224275</v>
      </c>
      <c r="BS46" s="108">
        <v>461103.95878938818</v>
      </c>
      <c r="BT46" s="108">
        <v>461698.84289097117</v>
      </c>
      <c r="BU46" s="108">
        <v>462121.83900224918</v>
      </c>
      <c r="BV46" s="108">
        <v>463399.34544553154</v>
      </c>
      <c r="BW46" s="108">
        <v>426273.94548870233</v>
      </c>
      <c r="BX46" s="108">
        <v>430280.39827512531</v>
      </c>
      <c r="BY46" s="108">
        <v>422269.6796311161</v>
      </c>
      <c r="BZ46" s="108">
        <v>422293.45495072543</v>
      </c>
      <c r="CA46" s="108">
        <v>406911.35774748167</v>
      </c>
      <c r="CB46" s="108">
        <v>416175.78401596611</v>
      </c>
      <c r="CC46" s="108">
        <v>423679.03801907157</v>
      </c>
      <c r="CD46" s="108">
        <v>466307.56845240068</v>
      </c>
      <c r="CE46" s="108">
        <v>467091.25609137188</v>
      </c>
      <c r="CF46" s="108">
        <v>467547.32315977348</v>
      </c>
      <c r="CG46" s="108">
        <v>467073.06453621422</v>
      </c>
      <c r="CH46" s="108">
        <v>461887.50843195431</v>
      </c>
      <c r="CI46" s="108">
        <v>424667.73063518165</v>
      </c>
      <c r="CJ46" s="108">
        <v>428135.06718568667</v>
      </c>
      <c r="CK46" s="108">
        <v>425963.70367282425</v>
      </c>
      <c r="CL46" s="108">
        <v>425844.94323061558</v>
      </c>
      <c r="CM46" s="108">
        <v>408120.75185569929</v>
      </c>
      <c r="CN46" s="108">
        <v>416740.34650718683</v>
      </c>
      <c r="CO46" s="108">
        <v>427166.09863098955</v>
      </c>
      <c r="CP46" s="108">
        <v>469027.59597468586</v>
      </c>
      <c r="CQ46" s="108">
        <v>470005.8803434507</v>
      </c>
      <c r="CR46" s="108">
        <v>470415.23776336038</v>
      </c>
      <c r="CS46" s="108">
        <v>469700.76520878146</v>
      </c>
      <c r="CT46" s="108">
        <v>462347.90084662114</v>
      </c>
      <c r="CU46" s="108">
        <v>424960.49635859451</v>
      </c>
      <c r="CV46" s="108">
        <v>428272.34942161263</v>
      </c>
      <c r="CW46" s="108">
        <v>424198.44170614448</v>
      </c>
      <c r="CX46" s="108">
        <v>422791.12331929686</v>
      </c>
      <c r="CY46" s="108">
        <v>409092.23613837722</v>
      </c>
      <c r="CZ46" s="108">
        <v>418832.38035837869</v>
      </c>
      <c r="DA46" s="108">
        <v>424400.38765191962</v>
      </c>
      <c r="DB46" s="108">
        <v>467922.00308445934</v>
      </c>
      <c r="DC46" s="108">
        <v>468805.3898418165</v>
      </c>
      <c r="DD46" s="108">
        <v>469092.79741377383</v>
      </c>
      <c r="DE46" s="108">
        <v>468780.4637551757</v>
      </c>
      <c r="DF46" s="108">
        <v>465463.72929372685</v>
      </c>
      <c r="DG46" s="108">
        <v>427577.2223426514</v>
      </c>
      <c r="DH46" s="108">
        <v>431385.04237349733</v>
      </c>
      <c r="DI46" s="108">
        <v>428501.78312068514</v>
      </c>
      <c r="DJ46" s="108">
        <v>426981.71982590028</v>
      </c>
      <c r="DK46" s="108">
        <v>409836.72327418876</v>
      </c>
      <c r="DL46" s="108">
        <v>419150.30397315347</v>
      </c>
      <c r="DM46" s="108">
        <v>427040.7475558283</v>
      </c>
      <c r="DN46" s="108">
        <v>469878.87902283488</v>
      </c>
      <c r="DO46" s="108">
        <v>471030.31282626069</v>
      </c>
      <c r="DP46" s="108">
        <v>471580.75047422154</v>
      </c>
      <c r="DQ46" s="108">
        <v>470847.05430890631</v>
      </c>
      <c r="DR46" s="108">
        <v>465795.39394201239</v>
      </c>
      <c r="DS46" s="108">
        <v>428234.23556258273</v>
      </c>
      <c r="DT46" s="108">
        <v>431497.44315723935</v>
      </c>
    </row>
    <row r="47" spans="1:124" s="112" customFormat="1" x14ac:dyDescent="0.25">
      <c r="A47" s="117" t="s">
        <v>213</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53">
        <v>80639.16102</v>
      </c>
      <c r="AA47" s="153">
        <v>80639.16102</v>
      </c>
      <c r="AB47" s="153">
        <v>52705.056640000003</v>
      </c>
      <c r="AC47" s="153">
        <v>69256.306620000003</v>
      </c>
      <c r="AD47" s="153">
        <v>76414.586849999992</v>
      </c>
      <c r="AE47" s="153">
        <v>190667.63032999999</v>
      </c>
      <c r="AF47" s="153">
        <v>190667.63032999999</v>
      </c>
      <c r="AG47" s="153">
        <v>190667.63032999999</v>
      </c>
      <c r="AH47" s="153">
        <v>190667.63032999999</v>
      </c>
      <c r="AI47" s="153">
        <v>178485.56309000001</v>
      </c>
      <c r="AJ47" s="153">
        <v>87625.131349999996</v>
      </c>
      <c r="AK47" s="153">
        <v>104666.71914</v>
      </c>
      <c r="AL47" s="107"/>
      <c r="AM47" s="153"/>
      <c r="AN47" s="107">
        <f t="shared" si="50"/>
        <v>0</v>
      </c>
      <c r="AO47" s="153">
        <v>120526.37927999999</v>
      </c>
      <c r="AP47" s="153">
        <v>107426.39336999999</v>
      </c>
      <c r="AQ47" s="153">
        <v>49976.554559999997</v>
      </c>
      <c r="AR47" s="153">
        <v>54683.317079999993</v>
      </c>
      <c r="AS47" s="153">
        <v>113411.72507999999</v>
      </c>
      <c r="AT47" s="108">
        <v>223579.00208999999</v>
      </c>
      <c r="AU47" s="108">
        <v>239426.50856999998</v>
      </c>
      <c r="AV47" s="108">
        <v>238158.85493999999</v>
      </c>
      <c r="AW47" s="108">
        <v>236495.37749999997</v>
      </c>
      <c r="AX47" s="116">
        <v>157527.87044999999</v>
      </c>
      <c r="AY47" s="111">
        <v>65641.748007782284</v>
      </c>
      <c r="AZ47" s="107">
        <v>74154.103039745474</v>
      </c>
      <c r="BA47" s="107">
        <v>49118.529064892151</v>
      </c>
      <c r="BB47" s="107">
        <v>70861.3626453178</v>
      </c>
      <c r="BC47" s="107">
        <v>68856.26739962447</v>
      </c>
      <c r="BD47" s="107">
        <v>76943.907161198367</v>
      </c>
      <c r="BE47" s="107">
        <v>91631.761929240049</v>
      </c>
      <c r="BF47" s="107">
        <v>194090.56996490055</v>
      </c>
      <c r="BG47" s="107">
        <v>195536.97667500481</v>
      </c>
      <c r="BH47" s="107">
        <v>194534.59671863526</v>
      </c>
      <c r="BI47" s="107">
        <v>174246.07987658004</v>
      </c>
      <c r="BJ47" s="107">
        <v>159198.61982314478</v>
      </c>
      <c r="BK47" s="107">
        <v>70042.534675551622</v>
      </c>
      <c r="BL47" s="107">
        <v>80094.436672148237</v>
      </c>
      <c r="BM47" s="108">
        <v>49118.529064892151</v>
      </c>
      <c r="BN47" s="108">
        <v>70861.3626453178</v>
      </c>
      <c r="BO47" s="108">
        <v>68856.26739962447</v>
      </c>
      <c r="BP47" s="108">
        <v>76943.907161198367</v>
      </c>
      <c r="BQ47" s="108">
        <v>91631.761929240049</v>
      </c>
      <c r="BR47" s="108">
        <v>194090.56996490055</v>
      </c>
      <c r="BS47" s="108">
        <v>195536.97667500481</v>
      </c>
      <c r="BT47" s="108">
        <v>194534.59671863526</v>
      </c>
      <c r="BU47" s="108">
        <v>174246.07987658004</v>
      </c>
      <c r="BV47" s="108">
        <v>159198.61982314478</v>
      </c>
      <c r="BW47" s="108">
        <v>70042.534675551622</v>
      </c>
      <c r="BX47" s="108">
        <v>80094.436672148237</v>
      </c>
      <c r="BY47" s="108">
        <v>63907.702983470059</v>
      </c>
      <c r="BZ47" s="108">
        <v>75550.521198867151</v>
      </c>
      <c r="CA47" s="108">
        <v>54920.050444729961</v>
      </c>
      <c r="CB47" s="108">
        <v>68437.244482118505</v>
      </c>
      <c r="CC47" s="108">
        <v>112379.72727582397</v>
      </c>
      <c r="CD47" s="108">
        <v>227952.61393329251</v>
      </c>
      <c r="CE47" s="108">
        <v>205785.53131445506</v>
      </c>
      <c r="CF47" s="108">
        <v>196046.56809472173</v>
      </c>
      <c r="CG47" s="108">
        <v>178653.79195390755</v>
      </c>
      <c r="CH47" s="108">
        <v>139338.88507133423</v>
      </c>
      <c r="CI47" s="108">
        <v>65042.340436364466</v>
      </c>
      <c r="CJ47" s="108">
        <v>74011.07163258818</v>
      </c>
      <c r="CK47" s="108">
        <v>69186.176756848421</v>
      </c>
      <c r="CL47" s="108">
        <v>74726.847917778432</v>
      </c>
      <c r="CM47" s="108">
        <v>48457.945409073902</v>
      </c>
      <c r="CN47" s="108">
        <v>68025.125036113357</v>
      </c>
      <c r="CO47" s="108">
        <v>120634.81554265707</v>
      </c>
      <c r="CP47" s="108">
        <v>244172.7073915847</v>
      </c>
      <c r="CQ47" s="108">
        <v>212871.52101370067</v>
      </c>
      <c r="CR47" s="108">
        <v>200709.16465925949</v>
      </c>
      <c r="CS47" s="108">
        <v>183963.27677354991</v>
      </c>
      <c r="CT47" s="108">
        <v>133309.25693898904</v>
      </c>
      <c r="CU47" s="108">
        <v>63703.490909723121</v>
      </c>
      <c r="CV47" s="108">
        <v>72517.004037427192</v>
      </c>
      <c r="CW47" s="108">
        <v>54787.320918666934</v>
      </c>
      <c r="CX47" s="108">
        <v>73519.007499971252</v>
      </c>
      <c r="CY47" s="108">
        <v>65462.081827145703</v>
      </c>
      <c r="CZ47" s="108">
        <v>68133.927095708495</v>
      </c>
      <c r="DA47" s="108">
        <v>86994.385933088328</v>
      </c>
      <c r="DB47" s="108">
        <v>132340.70464136556</v>
      </c>
      <c r="DC47" s="108">
        <v>159870.20640448685</v>
      </c>
      <c r="DD47" s="108">
        <v>201527.1688594892</v>
      </c>
      <c r="DE47" s="108">
        <v>179228.72889445588</v>
      </c>
      <c r="DF47" s="108">
        <v>171003.89236579102</v>
      </c>
      <c r="DG47" s="108">
        <v>115248.44368201308</v>
      </c>
      <c r="DH47" s="108">
        <v>65257.210434531175</v>
      </c>
      <c r="DI47" s="108">
        <v>36691.968423602542</v>
      </c>
      <c r="DJ47" s="108">
        <v>74016.486366309153</v>
      </c>
      <c r="DK47" s="108">
        <v>63063.958953479429</v>
      </c>
      <c r="DL47" s="108">
        <v>82398.369337263139</v>
      </c>
      <c r="DM47" s="108">
        <v>93609.403566462308</v>
      </c>
      <c r="DN47" s="108">
        <v>114488.63261262988</v>
      </c>
      <c r="DO47" s="108">
        <v>97869.893261863399</v>
      </c>
      <c r="DP47" s="108">
        <v>163511.30197599641</v>
      </c>
      <c r="DQ47" s="108">
        <v>190636.3922262335</v>
      </c>
      <c r="DR47" s="108">
        <v>169512.63286738412</v>
      </c>
      <c r="DS47" s="108">
        <v>136316.74111939382</v>
      </c>
      <c r="DT47" s="108">
        <v>114746.04739021379</v>
      </c>
    </row>
    <row r="48" spans="1:124" s="112" customFormat="1" x14ac:dyDescent="0.25">
      <c r="A48" s="114" t="s">
        <v>275</v>
      </c>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53">
        <v>96101.150399999999</v>
      </c>
      <c r="AA48" s="153">
        <v>96135.267749999999</v>
      </c>
      <c r="AB48" s="153">
        <v>88152.644189999992</v>
      </c>
      <c r="AC48" s="153">
        <v>91403.171219999989</v>
      </c>
      <c r="AD48" s="153">
        <v>92605.238099999988</v>
      </c>
      <c r="AE48" s="153">
        <v>110140.52652000001</v>
      </c>
      <c r="AF48" s="153">
        <v>116207.82764999999</v>
      </c>
      <c r="AG48" s="153">
        <v>116549.59893000001</v>
      </c>
      <c r="AH48" s="153">
        <v>116499.91893000001</v>
      </c>
      <c r="AI48" s="153">
        <v>108403.82241000001</v>
      </c>
      <c r="AJ48" s="153">
        <v>98040.699599999993</v>
      </c>
      <c r="AK48" s="153">
        <v>92357.688209999993</v>
      </c>
      <c r="AL48" s="107">
        <f t="shared" ref="AL48:AL53" si="51">SUM(Z48:AK48)</f>
        <v>1222597.55391</v>
      </c>
      <c r="AM48" s="153">
        <v>1235071.9799999967</v>
      </c>
      <c r="AN48" s="107">
        <f t="shared" si="50"/>
        <v>-12474.426089996705</v>
      </c>
      <c r="AO48" s="153">
        <v>89805.51784</v>
      </c>
      <c r="AP48" s="153">
        <v>87826.088159999985</v>
      </c>
      <c r="AQ48" s="153">
        <v>82397.930359999998</v>
      </c>
      <c r="AR48" s="153">
        <v>86854.859120000008</v>
      </c>
      <c r="AS48" s="153">
        <v>95996.131759999989</v>
      </c>
      <c r="AT48" s="108">
        <v>113204.39671999999</v>
      </c>
      <c r="AU48" s="108">
        <v>111443.03555999999</v>
      </c>
      <c r="AV48" s="108">
        <v>117196.33196</v>
      </c>
      <c r="AW48" s="108">
        <v>111229.68624</v>
      </c>
      <c r="AX48" s="116">
        <v>107811.15828</v>
      </c>
      <c r="AY48" s="111">
        <v>96917.122122562665</v>
      </c>
      <c r="AZ48" s="107">
        <v>93942.28367952579</v>
      </c>
      <c r="BA48" s="107">
        <v>94786.619491625621</v>
      </c>
      <c r="BB48" s="107">
        <v>95342.682400867401</v>
      </c>
      <c r="BC48" s="107">
        <v>87227.642865829694</v>
      </c>
      <c r="BD48" s="107">
        <v>90175.801701818185</v>
      </c>
      <c r="BE48" s="107">
        <v>91797.847535860783</v>
      </c>
      <c r="BF48" s="107">
        <v>109299.33379570986</v>
      </c>
      <c r="BG48" s="107">
        <v>108369.6918314693</v>
      </c>
      <c r="BH48" s="107">
        <v>108436.09482891505</v>
      </c>
      <c r="BI48" s="107">
        <v>108701.70681869806</v>
      </c>
      <c r="BJ48" s="107">
        <v>106906.2025811208</v>
      </c>
      <c r="BK48" s="107">
        <v>96484.924608436733</v>
      </c>
      <c r="BL48" s="107">
        <v>90690.077666444849</v>
      </c>
      <c r="BM48" s="108">
        <v>94786.619491625621</v>
      </c>
      <c r="BN48" s="108">
        <v>95342.682400867401</v>
      </c>
      <c r="BO48" s="108">
        <v>87227.642865829694</v>
      </c>
      <c r="BP48" s="108">
        <v>90175.801701818185</v>
      </c>
      <c r="BQ48" s="108">
        <v>91797.847535860783</v>
      </c>
      <c r="BR48" s="108">
        <v>109299.33379570986</v>
      </c>
      <c r="BS48" s="108">
        <v>108369.6918314693</v>
      </c>
      <c r="BT48" s="108">
        <v>108436.09482891505</v>
      </c>
      <c r="BU48" s="108">
        <v>108701.70681869806</v>
      </c>
      <c r="BV48" s="108">
        <v>106906.2025811208</v>
      </c>
      <c r="BW48" s="108">
        <v>96484.924608436733</v>
      </c>
      <c r="BX48" s="108">
        <v>90690.077666444849</v>
      </c>
      <c r="BY48" s="108">
        <v>93570.465269999491</v>
      </c>
      <c r="BZ48" s="108">
        <v>93355.945547334093</v>
      </c>
      <c r="CA48" s="108">
        <v>86121.158033533226</v>
      </c>
      <c r="CB48" s="108">
        <v>89457.872164659319</v>
      </c>
      <c r="CC48" s="108">
        <v>93704.388506814095</v>
      </c>
      <c r="CD48" s="108">
        <v>111203.2932029472</v>
      </c>
      <c r="CE48" s="108">
        <v>109514.6173262877</v>
      </c>
      <c r="CF48" s="108">
        <v>111322.17980421288</v>
      </c>
      <c r="CG48" s="108">
        <v>109815.62478687991</v>
      </c>
      <c r="CH48" s="108">
        <v>107396.47075958093</v>
      </c>
      <c r="CI48" s="108">
        <v>96825.632280951162</v>
      </c>
      <c r="CJ48" s="108">
        <v>91881.874842860954</v>
      </c>
      <c r="CK48" s="108">
        <v>93485.603576544905</v>
      </c>
      <c r="CL48" s="108">
        <v>92955.894150242326</v>
      </c>
      <c r="CM48" s="108">
        <v>85995.530926045554</v>
      </c>
      <c r="CN48" s="108">
        <v>89453.756647808113</v>
      </c>
      <c r="CO48" s="108">
        <v>94494.344489010196</v>
      </c>
      <c r="CP48" s="108">
        <v>112042.66897700526</v>
      </c>
      <c r="CQ48" s="108">
        <v>110031.37883230211</v>
      </c>
      <c r="CR48" s="108">
        <v>112423.5835031351</v>
      </c>
      <c r="CS48" s="108">
        <v>110165.84931805967</v>
      </c>
      <c r="CT48" s="108">
        <v>107516.1677215349</v>
      </c>
      <c r="CU48" s="108">
        <v>96919.438226778439</v>
      </c>
      <c r="CV48" s="108">
        <v>92336.667641281616</v>
      </c>
      <c r="CW48" s="108">
        <v>94111.936504406811</v>
      </c>
      <c r="CX48" s="108">
        <v>94290.405664729245</v>
      </c>
      <c r="CY48" s="108">
        <v>86937.314914654329</v>
      </c>
      <c r="CZ48" s="108">
        <v>90225.375980699609</v>
      </c>
      <c r="DA48" s="108">
        <v>93564.410608388192</v>
      </c>
      <c r="DB48" s="108">
        <v>111232.91513149941</v>
      </c>
      <c r="DC48" s="108">
        <v>110413.12145414244</v>
      </c>
      <c r="DD48" s="108">
        <v>111179.45851253839</v>
      </c>
      <c r="DE48" s="108">
        <v>109816.22101219956</v>
      </c>
      <c r="DF48" s="108">
        <v>107938.18013771082</v>
      </c>
      <c r="DG48" s="108">
        <v>97021.210131881671</v>
      </c>
      <c r="DH48" s="108">
        <v>92113.531172270974</v>
      </c>
      <c r="DI48" s="108">
        <v>93967.959358432097</v>
      </c>
      <c r="DJ48" s="108">
        <v>93702.730365054886</v>
      </c>
      <c r="DK48" s="108">
        <v>86791.65274564331</v>
      </c>
      <c r="DL48" s="108">
        <v>90263.88232276075</v>
      </c>
      <c r="DM48" s="108">
        <v>94294.598427294201</v>
      </c>
      <c r="DN48" s="108">
        <v>111661.97739302545</v>
      </c>
      <c r="DO48" s="108">
        <v>110801.02918993564</v>
      </c>
      <c r="DP48" s="108">
        <v>112742.42180377922</v>
      </c>
      <c r="DQ48" s="108">
        <v>110166.41031309305</v>
      </c>
      <c r="DR48" s="108">
        <v>107926.03381045369</v>
      </c>
      <c r="DS48" s="108">
        <v>97411.917828022968</v>
      </c>
      <c r="DT48" s="108">
        <v>92433.930187796912</v>
      </c>
    </row>
    <row r="49" spans="1:124" s="112" customFormat="1" x14ac:dyDescent="0.25">
      <c r="A49" s="114" t="s">
        <v>276</v>
      </c>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53">
        <v>129357.45439999996</v>
      </c>
      <c r="AA49" s="153">
        <v>128232.83536</v>
      </c>
      <c r="AB49" s="153">
        <v>118493.82407999998</v>
      </c>
      <c r="AC49" s="153">
        <v>120646.96583999999</v>
      </c>
      <c r="AD49" s="153">
        <v>122484.10927999998</v>
      </c>
      <c r="AE49" s="153">
        <v>136678.3008</v>
      </c>
      <c r="AF49" s="153">
        <v>141402.71768</v>
      </c>
      <c r="AG49" s="153">
        <v>140928.58007999999</v>
      </c>
      <c r="AH49" s="153">
        <v>144678.66007999994</v>
      </c>
      <c r="AI49" s="153">
        <v>141339.75824</v>
      </c>
      <c r="AJ49" s="153">
        <v>137328.27135999998</v>
      </c>
      <c r="AK49" s="153">
        <v>129368.98591333332</v>
      </c>
      <c r="AL49" s="107">
        <f t="shared" si="51"/>
        <v>1590940.4631133331</v>
      </c>
      <c r="AM49" s="153">
        <v>1597967.2999999989</v>
      </c>
      <c r="AN49" s="107">
        <f t="shared" si="50"/>
        <v>-7026.8368866657838</v>
      </c>
      <c r="AO49" s="153">
        <v>124862.21022000001</v>
      </c>
      <c r="AP49" s="153">
        <v>134713.82220000002</v>
      </c>
      <c r="AQ49" s="153">
        <v>123077.37782000002</v>
      </c>
      <c r="AR49" s="153">
        <v>118708.17229999993</v>
      </c>
      <c r="AS49" s="153">
        <v>128155.91248000003</v>
      </c>
      <c r="AT49" s="108">
        <v>137283.05789999999</v>
      </c>
      <c r="AU49" s="108">
        <v>126476.35686</v>
      </c>
      <c r="AV49" s="108">
        <v>140606.93614000001</v>
      </c>
      <c r="AW49" s="108">
        <v>144712.93666000001</v>
      </c>
      <c r="AX49" s="116">
        <v>133588.31468000001</v>
      </c>
      <c r="AY49" s="111">
        <v>137221.50071776137</v>
      </c>
      <c r="AZ49" s="107">
        <v>131253.5639334133</v>
      </c>
      <c r="BA49" s="107">
        <v>124077.09746387656</v>
      </c>
      <c r="BB49" s="107">
        <v>138290.88711072071</v>
      </c>
      <c r="BC49" s="107">
        <v>125004.53481634488</v>
      </c>
      <c r="BD49" s="107">
        <v>120289.50484747285</v>
      </c>
      <c r="BE49" s="107">
        <v>125145.75493119407</v>
      </c>
      <c r="BF49" s="107">
        <v>137784.41242145235</v>
      </c>
      <c r="BG49" s="107">
        <v>139719.84768011095</v>
      </c>
      <c r="BH49" s="107">
        <v>143431.12541449661</v>
      </c>
      <c r="BI49" s="107">
        <v>137786.35495819373</v>
      </c>
      <c r="BJ49" s="107">
        <v>140749.33021247029</v>
      </c>
      <c r="BK49" s="107">
        <v>135807.16437649803</v>
      </c>
      <c r="BL49" s="107">
        <v>127122.43781586766</v>
      </c>
      <c r="BM49" s="108">
        <v>124077.09746387656</v>
      </c>
      <c r="BN49" s="108">
        <v>138290.88711072071</v>
      </c>
      <c r="BO49" s="108">
        <v>125004.53481634488</v>
      </c>
      <c r="BP49" s="108">
        <v>120289.50484747285</v>
      </c>
      <c r="BQ49" s="108">
        <v>125145.75493119407</v>
      </c>
      <c r="BR49" s="108">
        <v>137784.41242145235</v>
      </c>
      <c r="BS49" s="108">
        <v>139719.84768011095</v>
      </c>
      <c r="BT49" s="108">
        <v>143431.12541449661</v>
      </c>
      <c r="BU49" s="108">
        <v>137786.35495819373</v>
      </c>
      <c r="BV49" s="108">
        <v>140749.33021247029</v>
      </c>
      <c r="BW49" s="108">
        <v>135807.16437649803</v>
      </c>
      <c r="BX49" s="108">
        <v>127122.43781586766</v>
      </c>
      <c r="BY49" s="108">
        <v>130646.08263502429</v>
      </c>
      <c r="BZ49" s="108">
        <v>136049.22819028288</v>
      </c>
      <c r="CA49" s="108">
        <v>123289.55469974582</v>
      </c>
      <c r="CB49" s="108">
        <v>120967.32349712793</v>
      </c>
      <c r="CC49" s="108">
        <v>126465.57939085146</v>
      </c>
      <c r="CD49" s="108">
        <v>139141.28064576158</v>
      </c>
      <c r="CE49" s="108">
        <v>137003.66664046896</v>
      </c>
      <c r="CF49" s="108">
        <v>144022.62011560454</v>
      </c>
      <c r="CG49" s="108">
        <v>146049.46899186366</v>
      </c>
      <c r="CH49" s="108">
        <v>141481.58443332493</v>
      </c>
      <c r="CI49" s="108">
        <v>137073.9230584309</v>
      </c>
      <c r="CJ49" s="108">
        <v>130207.44586432981</v>
      </c>
      <c r="CK49" s="108">
        <v>127449.28846739166</v>
      </c>
      <c r="CL49" s="108">
        <v>137820.91129583257</v>
      </c>
      <c r="CM49" s="108">
        <v>124489.79738796806</v>
      </c>
      <c r="CN49" s="108">
        <v>120690.67276683965</v>
      </c>
      <c r="CO49" s="108">
        <v>127700.09594387257</v>
      </c>
      <c r="CP49" s="108">
        <v>140403.88452261314</v>
      </c>
      <c r="CQ49" s="108">
        <v>136624.80989357777</v>
      </c>
      <c r="CR49" s="108">
        <v>145993.6677942244</v>
      </c>
      <c r="CS49" s="108">
        <v>147166.58406744953</v>
      </c>
      <c r="CT49" s="108">
        <v>142588.8151510657</v>
      </c>
      <c r="CU49" s="108">
        <v>138155.27404383122</v>
      </c>
      <c r="CV49" s="108">
        <v>130741.48456554575</v>
      </c>
      <c r="CW49" s="108">
        <v>129609.34996066823</v>
      </c>
      <c r="CX49" s="108">
        <v>139216.49388586401</v>
      </c>
      <c r="CY49" s="108">
        <v>125916.19575620948</v>
      </c>
      <c r="CZ49" s="108">
        <v>122032.52721606013</v>
      </c>
      <c r="DA49" s="108">
        <v>128267.55854743562</v>
      </c>
      <c r="DB49" s="108">
        <v>140686.35791066207</v>
      </c>
      <c r="DC49" s="108">
        <v>139348.8057969299</v>
      </c>
      <c r="DD49" s="108">
        <v>146004.44437738849</v>
      </c>
      <c r="DE49" s="108">
        <v>145419.25355539436</v>
      </c>
      <c r="DF49" s="108">
        <v>143017.45797738817</v>
      </c>
      <c r="DG49" s="108">
        <v>138537.91181918781</v>
      </c>
      <c r="DH49" s="108">
        <v>131098.71267174464</v>
      </c>
      <c r="DI49" s="108">
        <v>133855.13164931862</v>
      </c>
      <c r="DJ49" s="108">
        <v>140489.36089033567</v>
      </c>
      <c r="DK49" s="108">
        <v>126514.45892550334</v>
      </c>
      <c r="DL49" s="108">
        <v>122880.60651872345</v>
      </c>
      <c r="DM49" s="108">
        <v>129080.18670574027</v>
      </c>
      <c r="DN49" s="108">
        <v>141799.99014324456</v>
      </c>
      <c r="DO49" s="108">
        <v>139092.90446830416</v>
      </c>
      <c r="DP49" s="108">
        <v>146540.06025877615</v>
      </c>
      <c r="DQ49" s="108">
        <v>146993.2445382069</v>
      </c>
      <c r="DR49" s="108">
        <v>143484.48845488107</v>
      </c>
      <c r="DS49" s="108">
        <v>139493.40930167265</v>
      </c>
      <c r="DT49" s="108">
        <v>131869.7560448382</v>
      </c>
    </row>
    <row r="50" spans="1:124" s="112" customFormat="1" x14ac:dyDescent="0.25">
      <c r="A50" s="114" t="s">
        <v>277</v>
      </c>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53" t="e">
        <f>#REF!</f>
        <v>#REF!</v>
      </c>
      <c r="AA50" s="153" t="e">
        <f>#REF!</f>
        <v>#REF!</v>
      </c>
      <c r="AB50" s="153" t="e">
        <f>#REF!</f>
        <v>#REF!</v>
      </c>
      <c r="AC50" s="153" t="e">
        <f>#REF!</f>
        <v>#REF!</v>
      </c>
      <c r="AD50" s="153" t="e">
        <f>#REF!</f>
        <v>#REF!</v>
      </c>
      <c r="AE50" s="153" t="e">
        <f>#REF!</f>
        <v>#REF!</v>
      </c>
      <c r="AF50" s="153" t="e">
        <f>#REF!</f>
        <v>#REF!</v>
      </c>
      <c r="AG50" s="153" t="e">
        <f>#REF!</f>
        <v>#REF!</v>
      </c>
      <c r="AH50" s="153" t="e">
        <f>#REF!</f>
        <v>#REF!</v>
      </c>
      <c r="AI50" s="153" t="e">
        <f>#REF!</f>
        <v>#REF!</v>
      </c>
      <c r="AJ50" s="153" t="e">
        <f>#REF!</f>
        <v>#REF!</v>
      </c>
      <c r="AK50" s="153" t="e">
        <f>#REF!</f>
        <v>#REF!</v>
      </c>
      <c r="AL50" s="107" t="e">
        <f t="shared" si="51"/>
        <v>#REF!</v>
      </c>
      <c r="AM50" s="153">
        <v>510116.75</v>
      </c>
      <c r="AN50" s="107" t="e">
        <f t="shared" si="50"/>
        <v>#REF!</v>
      </c>
      <c r="AO50" s="108" t="e">
        <f>#REF!</f>
        <v>#REF!</v>
      </c>
      <c r="AP50" s="108" t="e">
        <f>#REF!</f>
        <v>#REF!</v>
      </c>
      <c r="AQ50" s="108" t="e">
        <f>#REF!</f>
        <v>#REF!</v>
      </c>
      <c r="AR50" s="108" t="e">
        <f>#REF!</f>
        <v>#REF!</v>
      </c>
      <c r="AS50" s="108" t="e">
        <f>#REF!</f>
        <v>#REF!</v>
      </c>
      <c r="AT50" s="108" t="e">
        <f>#REF!</f>
        <v>#REF!</v>
      </c>
      <c r="AU50" s="108" t="e">
        <f>#REF!</f>
        <v>#REF!</v>
      </c>
      <c r="AV50" s="108" t="e">
        <f>#REF!</f>
        <v>#REF!</v>
      </c>
      <c r="AW50" s="108" t="e">
        <f>#REF!</f>
        <v>#REF!</v>
      </c>
      <c r="AX50" s="116" t="e">
        <f>#REF!</f>
        <v>#REF!</v>
      </c>
      <c r="AY50" s="111" t="e">
        <f>#REF!</f>
        <v>#REF!</v>
      </c>
      <c r="AZ50" s="107" t="e">
        <f>#REF!</f>
        <v>#REF!</v>
      </c>
      <c r="BA50" s="135" t="e">
        <f>#REF!</f>
        <v>#REF!</v>
      </c>
      <c r="BB50" s="135" t="e">
        <f>#REF!</f>
        <v>#REF!</v>
      </c>
      <c r="BC50" s="135" t="e">
        <f>#REF!</f>
        <v>#REF!</v>
      </c>
      <c r="BD50" s="135" t="e">
        <f>#REF!</f>
        <v>#REF!</v>
      </c>
      <c r="BE50" s="135" t="e">
        <f>#REF!</f>
        <v>#REF!</v>
      </c>
      <c r="BF50" s="135" t="e">
        <f>#REF!</f>
        <v>#REF!</v>
      </c>
      <c r="BG50" s="135" t="e">
        <f>#REF!</f>
        <v>#REF!</v>
      </c>
      <c r="BH50" s="135" t="e">
        <f>#REF!</f>
        <v>#REF!</v>
      </c>
      <c r="BI50" s="135" t="e">
        <f>#REF!</f>
        <v>#REF!</v>
      </c>
      <c r="BJ50" s="135" t="e">
        <f>#REF!</f>
        <v>#REF!</v>
      </c>
      <c r="BK50" s="135" t="e">
        <f>#REF!</f>
        <v>#REF!</v>
      </c>
      <c r="BL50" s="135" t="e">
        <f>#REF!</f>
        <v>#REF!</v>
      </c>
      <c r="BM50" s="108" t="e">
        <f>#REF!</f>
        <v>#REF!</v>
      </c>
      <c r="BN50" s="108" t="e">
        <f>#REF!</f>
        <v>#REF!</v>
      </c>
      <c r="BO50" s="108" t="e">
        <f>#REF!</f>
        <v>#REF!</v>
      </c>
      <c r="BP50" s="108" t="e">
        <f>#REF!</f>
        <v>#REF!</v>
      </c>
      <c r="BQ50" s="108" t="e">
        <f>#REF!</f>
        <v>#REF!</v>
      </c>
      <c r="BR50" s="108" t="e">
        <f>#REF!</f>
        <v>#REF!</v>
      </c>
      <c r="BS50" s="108" t="e">
        <f>#REF!</f>
        <v>#REF!</v>
      </c>
      <c r="BT50" s="108" t="e">
        <f>#REF!</f>
        <v>#REF!</v>
      </c>
      <c r="BU50" s="108" t="e">
        <f>#REF!</f>
        <v>#REF!</v>
      </c>
      <c r="BV50" s="108" t="e">
        <f>#REF!</f>
        <v>#REF!</v>
      </c>
      <c r="BW50" s="108" t="e">
        <f>#REF!</f>
        <v>#REF!</v>
      </c>
      <c r="BX50" s="108" t="e">
        <f>#REF!</f>
        <v>#REF!</v>
      </c>
      <c r="BY50" s="108" t="e">
        <f>#REF!</f>
        <v>#REF!</v>
      </c>
      <c r="BZ50" s="108" t="e">
        <f>#REF!</f>
        <v>#REF!</v>
      </c>
      <c r="CA50" s="108" t="e">
        <f>#REF!</f>
        <v>#REF!</v>
      </c>
      <c r="CB50" s="108" t="e">
        <f>#REF!</f>
        <v>#REF!</v>
      </c>
      <c r="CC50" s="108" t="e">
        <f>#REF!</f>
        <v>#REF!</v>
      </c>
      <c r="CD50" s="108" t="e">
        <f>#REF!</f>
        <v>#REF!</v>
      </c>
      <c r="CE50" s="108" t="e">
        <f>#REF!</f>
        <v>#REF!</v>
      </c>
      <c r="CF50" s="108" t="e">
        <f>#REF!</f>
        <v>#REF!</v>
      </c>
      <c r="CG50" s="108" t="e">
        <f>#REF!</f>
        <v>#REF!</v>
      </c>
      <c r="CH50" s="108" t="e">
        <f>#REF!</f>
        <v>#REF!</v>
      </c>
      <c r="CI50" s="108" t="e">
        <f>#REF!</f>
        <v>#REF!</v>
      </c>
      <c r="CJ50" s="108" t="e">
        <f>#REF!</f>
        <v>#REF!</v>
      </c>
      <c r="CK50" s="108" t="e">
        <f>#REF!</f>
        <v>#REF!</v>
      </c>
      <c r="CL50" s="108" t="e">
        <f>#REF!</f>
        <v>#REF!</v>
      </c>
      <c r="CM50" s="108" t="e">
        <f>#REF!</f>
        <v>#REF!</v>
      </c>
      <c r="CN50" s="108" t="e">
        <f>#REF!</f>
        <v>#REF!</v>
      </c>
      <c r="CO50" s="108" t="e">
        <f>#REF!</f>
        <v>#REF!</v>
      </c>
      <c r="CP50" s="108" t="e">
        <f>#REF!</f>
        <v>#REF!</v>
      </c>
      <c r="CQ50" s="108" t="e">
        <f>#REF!</f>
        <v>#REF!</v>
      </c>
      <c r="CR50" s="108" t="e">
        <f>#REF!</f>
        <v>#REF!</v>
      </c>
      <c r="CS50" s="108" t="e">
        <f>#REF!</f>
        <v>#REF!</v>
      </c>
      <c r="CT50" s="108" t="e">
        <f>#REF!</f>
        <v>#REF!</v>
      </c>
      <c r="CU50" s="108" t="e">
        <f>#REF!</f>
        <v>#REF!</v>
      </c>
      <c r="CV50" s="108" t="e">
        <f>#REF!</f>
        <v>#REF!</v>
      </c>
      <c r="CW50" s="108">
        <v>400316.77631111111</v>
      </c>
      <c r="CX50" s="108">
        <v>40409.9371308642</v>
      </c>
      <c r="CY50" s="108">
        <v>40923.289456790117</v>
      </c>
      <c r="CZ50" s="108">
        <v>39477.903333333335</v>
      </c>
      <c r="DA50" s="108">
        <v>39185.461209876536</v>
      </c>
      <c r="DB50" s="108">
        <v>40166.074098765428</v>
      </c>
      <c r="DC50" s="108">
        <v>40346.905687242797</v>
      </c>
      <c r="DD50" s="108">
        <v>41161.055069958849</v>
      </c>
      <c r="DE50" s="108">
        <v>40876.583366255138</v>
      </c>
      <c r="DF50" s="108">
        <v>44252.268172839504</v>
      </c>
      <c r="DG50" s="108">
        <v>43372.206378600822</v>
      </c>
      <c r="DH50" s="108">
        <v>42073.105012345681</v>
      </c>
      <c r="DI50" s="108">
        <v>38956.689193415645</v>
      </c>
      <c r="DJ50" s="108">
        <v>398574.18379753083</v>
      </c>
      <c r="DK50" s="108">
        <v>40341.309473251022</v>
      </c>
      <c r="DL50" s="108">
        <v>41218.232304526748</v>
      </c>
      <c r="DM50" s="108">
        <v>39558.923218106997</v>
      </c>
      <c r="DN50" s="108">
        <v>39679.546098765437</v>
      </c>
      <c r="DO50" s="108">
        <v>40207.927163237306</v>
      </c>
      <c r="DP50" s="108">
        <v>39510.519986282576</v>
      </c>
      <c r="DQ50" s="108">
        <v>42548.29352537723</v>
      </c>
      <c r="DR50" s="108">
        <v>40114.790063100139</v>
      </c>
      <c r="DS50" s="108">
        <v>44082.875588477364</v>
      </c>
      <c r="DT50" s="108">
        <v>43404.965218106998</v>
      </c>
    </row>
    <row r="51" spans="1:124" s="112" customFormat="1" x14ac:dyDescent="0.25">
      <c r="A51" s="114" t="s">
        <v>249</v>
      </c>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08">
        <v>16419.689999999995</v>
      </c>
      <c r="AA51" s="108">
        <v>20309.46</v>
      </c>
      <c r="AB51" s="108">
        <v>22922.28</v>
      </c>
      <c r="AC51" s="108">
        <v>22588.050000000003</v>
      </c>
      <c r="AD51" s="108">
        <v>10695.600000000002</v>
      </c>
      <c r="AE51" s="108">
        <v>19608.870000000003</v>
      </c>
      <c r="AF51" s="108">
        <v>36671.910000000003</v>
      </c>
      <c r="AG51" s="108">
        <v>17636.700000000004</v>
      </c>
      <c r="AH51" s="108">
        <v>21089.190000000002</v>
      </c>
      <c r="AI51" s="108">
        <v>24217.410000000003</v>
      </c>
      <c r="AJ51" s="108">
        <v>22088.22</v>
      </c>
      <c r="AK51" s="108">
        <v>20471.46</v>
      </c>
      <c r="AL51" s="107">
        <f t="shared" si="51"/>
        <v>254718.84000000003</v>
      </c>
      <c r="AM51" s="108">
        <v>483552.36</v>
      </c>
      <c r="AN51" s="107">
        <f t="shared" si="50"/>
        <v>-228833.51999999996</v>
      </c>
      <c r="AO51" s="153">
        <v>21325.546666666665</v>
      </c>
      <c r="AP51" s="153">
        <v>20669.308888888885</v>
      </c>
      <c r="AQ51" s="153">
        <v>20693.965185185181</v>
      </c>
      <c r="AR51" s="153">
        <v>18094.879999999997</v>
      </c>
      <c r="AS51" s="153">
        <v>19819.38469135802</v>
      </c>
      <c r="AT51" s="108">
        <v>19536.076625514397</v>
      </c>
      <c r="AU51" s="108">
        <v>19150.113772290806</v>
      </c>
      <c r="AV51" s="108">
        <v>19501.858363054409</v>
      </c>
      <c r="AW51" s="108">
        <v>19396.01625361987</v>
      </c>
      <c r="AX51" s="116">
        <v>19349.329462988364</v>
      </c>
      <c r="AY51" s="111">
        <v>19386.305834730476</v>
      </c>
      <c r="AZ51" s="107">
        <v>19386.305834730476</v>
      </c>
      <c r="BA51" s="107">
        <v>19386.305834730476</v>
      </c>
      <c r="BB51" s="107">
        <v>19386.305834730476</v>
      </c>
      <c r="BC51" s="107">
        <v>19386.305834730476</v>
      </c>
      <c r="BD51" s="107">
        <v>19386.305834730476</v>
      </c>
      <c r="BE51" s="107">
        <v>19386.305834730476</v>
      </c>
      <c r="BF51" s="107">
        <v>19386.305834730476</v>
      </c>
      <c r="BG51" s="107">
        <v>19386.305834730476</v>
      </c>
      <c r="BH51" s="107">
        <v>19386.305834730476</v>
      </c>
      <c r="BI51" s="107">
        <v>19386.305834730476</v>
      </c>
      <c r="BJ51" s="107">
        <v>19386.305834730476</v>
      </c>
      <c r="BK51" s="107">
        <v>19386.305834730476</v>
      </c>
      <c r="BL51" s="107">
        <v>19386.305834730476</v>
      </c>
      <c r="BM51" s="108">
        <v>19386.305834730476</v>
      </c>
      <c r="BN51" s="108">
        <v>19386.305834730476</v>
      </c>
      <c r="BO51" s="108">
        <v>19386.305834730476</v>
      </c>
      <c r="BP51" s="108">
        <v>19386.305834730476</v>
      </c>
      <c r="BQ51" s="108">
        <v>19386.305834730476</v>
      </c>
      <c r="BR51" s="108">
        <v>19386.305834730476</v>
      </c>
      <c r="BS51" s="108">
        <v>19386.305834730476</v>
      </c>
      <c r="BT51" s="108">
        <v>19386.305834730476</v>
      </c>
      <c r="BU51" s="108">
        <v>19386.305834730476</v>
      </c>
      <c r="BV51" s="108">
        <v>19386.305834730476</v>
      </c>
      <c r="BW51" s="108">
        <v>19386.305834730476</v>
      </c>
      <c r="BX51" s="108">
        <v>19386.305834730476</v>
      </c>
      <c r="BY51" s="108">
        <v>19392.385658804553</v>
      </c>
      <c r="BZ51" s="108">
        <v>19392.385658804553</v>
      </c>
      <c r="CA51" s="108">
        <v>19392.385658804553</v>
      </c>
      <c r="CB51" s="108">
        <v>19392.385658804553</v>
      </c>
      <c r="CC51" s="108">
        <v>19392.385658804553</v>
      </c>
      <c r="CD51" s="108">
        <v>19392.385658804553</v>
      </c>
      <c r="CE51" s="108">
        <v>19392.385658804553</v>
      </c>
      <c r="CF51" s="108">
        <v>19392.385658804553</v>
      </c>
      <c r="CG51" s="108">
        <v>19392.385658804553</v>
      </c>
      <c r="CH51" s="108">
        <v>19392.385658804553</v>
      </c>
      <c r="CI51" s="108">
        <v>19392.385658804553</v>
      </c>
      <c r="CJ51" s="108">
        <v>19392.385658804553</v>
      </c>
      <c r="CK51" s="108">
        <v>20912.72</v>
      </c>
      <c r="CL51" s="108">
        <v>20913.72</v>
      </c>
      <c r="CM51" s="108">
        <v>20914.72</v>
      </c>
      <c r="CN51" s="108">
        <v>20915.72</v>
      </c>
      <c r="CO51" s="108">
        <v>20916.72</v>
      </c>
      <c r="CP51" s="108">
        <v>20917.72</v>
      </c>
      <c r="CQ51" s="108">
        <v>20918.72</v>
      </c>
      <c r="CR51" s="108">
        <v>20919.72</v>
      </c>
      <c r="CS51" s="108">
        <v>20920.72</v>
      </c>
      <c r="CT51" s="108">
        <v>20921.72</v>
      </c>
      <c r="CU51" s="108">
        <v>20922.72</v>
      </c>
      <c r="CV51" s="108">
        <v>20923.72</v>
      </c>
      <c r="CW51" s="108">
        <v>20924.72</v>
      </c>
      <c r="CX51" s="108">
        <v>20925.72</v>
      </c>
      <c r="CY51" s="108">
        <v>20926.72</v>
      </c>
      <c r="CZ51" s="108">
        <v>20927.72</v>
      </c>
      <c r="DA51" s="108">
        <v>20928.72</v>
      </c>
      <c r="DB51" s="108">
        <v>20929.72</v>
      </c>
      <c r="DC51" s="108">
        <v>20930.72</v>
      </c>
      <c r="DD51" s="108">
        <v>20931.72</v>
      </c>
      <c r="DE51" s="108">
        <v>20932.72</v>
      </c>
      <c r="DF51" s="108">
        <v>20933.72</v>
      </c>
      <c r="DG51" s="108">
        <v>20934.72</v>
      </c>
      <c r="DH51" s="108">
        <v>20935.72</v>
      </c>
      <c r="DI51" s="108">
        <v>20936.72</v>
      </c>
      <c r="DJ51" s="108">
        <v>20937.72</v>
      </c>
      <c r="DK51" s="108">
        <v>20938.72</v>
      </c>
      <c r="DL51" s="108">
        <v>20939.72</v>
      </c>
      <c r="DM51" s="108">
        <v>20940.72</v>
      </c>
      <c r="DN51" s="108">
        <v>20941.72</v>
      </c>
      <c r="DO51" s="108">
        <v>20942.72</v>
      </c>
      <c r="DP51" s="108">
        <v>20943.72</v>
      </c>
      <c r="DQ51" s="108">
        <v>20944.72</v>
      </c>
      <c r="DR51" s="108">
        <v>20945.72</v>
      </c>
      <c r="DS51" s="108">
        <v>20946.72</v>
      </c>
      <c r="DT51" s="108">
        <v>20947.72</v>
      </c>
    </row>
    <row r="52" spans="1:124" s="112" customFormat="1" x14ac:dyDescent="0.25">
      <c r="A52" s="114" t="s">
        <v>250</v>
      </c>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53">
        <v>19069.46</v>
      </c>
      <c r="AA52" s="153">
        <v>19069.46</v>
      </c>
      <c r="AB52" s="153">
        <v>19069.46</v>
      </c>
      <c r="AC52" s="153">
        <v>19069.46</v>
      </c>
      <c r="AD52" s="153">
        <v>19069.46</v>
      </c>
      <c r="AE52" s="153">
        <v>19069.46</v>
      </c>
      <c r="AF52" s="153">
        <v>19069.46</v>
      </c>
      <c r="AG52" s="153">
        <v>19069.46</v>
      </c>
      <c r="AH52" s="153">
        <v>19069.46</v>
      </c>
      <c r="AI52" s="153">
        <v>19069.46</v>
      </c>
      <c r="AJ52" s="153">
        <v>19069.46</v>
      </c>
      <c r="AK52" s="153">
        <v>19069.46</v>
      </c>
      <c r="AL52" s="107">
        <f t="shared" si="51"/>
        <v>228833.51999999993</v>
      </c>
      <c r="AN52" s="107">
        <f t="shared" si="50"/>
        <v>228833.51999999993</v>
      </c>
      <c r="AO52" s="153">
        <v>18524.939999999999</v>
      </c>
      <c r="AP52" s="153">
        <v>18524.939999999999</v>
      </c>
      <c r="AQ52" s="153">
        <v>18524.939999999999</v>
      </c>
      <c r="AR52" s="153">
        <v>18524.939999999999</v>
      </c>
      <c r="AS52" s="153">
        <v>18524.939999999999</v>
      </c>
      <c r="AT52" s="108">
        <v>18524.939999999999</v>
      </c>
      <c r="AU52" s="108">
        <v>18524.939999999999</v>
      </c>
      <c r="AV52" s="108">
        <v>18524.939999999999</v>
      </c>
      <c r="AW52" s="108">
        <v>18524.939999999999</v>
      </c>
      <c r="AX52" s="116">
        <v>18524.939999999999</v>
      </c>
      <c r="AY52" s="111">
        <v>18524.939999999999</v>
      </c>
      <c r="AZ52" s="107">
        <v>18524.939999999999</v>
      </c>
      <c r="BA52" s="107">
        <v>18524.939999999999</v>
      </c>
      <c r="BB52" s="107">
        <v>18524.939999999999</v>
      </c>
      <c r="BC52" s="107">
        <v>18524.939999999999</v>
      </c>
      <c r="BD52" s="107">
        <v>18524.939999999999</v>
      </c>
      <c r="BE52" s="107">
        <v>18524.939999999999</v>
      </c>
      <c r="BF52" s="107">
        <v>18524.939999999999</v>
      </c>
      <c r="BG52" s="107">
        <v>18524.939999999999</v>
      </c>
      <c r="BH52" s="107">
        <v>18524.939999999999</v>
      </c>
      <c r="BI52" s="107">
        <v>18524.939999999999</v>
      </c>
      <c r="BJ52" s="107">
        <v>18524.939999999999</v>
      </c>
      <c r="BK52" s="107">
        <v>18524.939999999999</v>
      </c>
      <c r="BL52" s="107">
        <v>18524.939999999999</v>
      </c>
      <c r="BM52" s="108">
        <v>18524.939999999999</v>
      </c>
      <c r="BN52" s="108">
        <v>18524.939999999999</v>
      </c>
      <c r="BO52" s="108">
        <v>18524.939999999999</v>
      </c>
      <c r="BP52" s="108">
        <v>18524.939999999999</v>
      </c>
      <c r="BQ52" s="108">
        <v>18524.939999999999</v>
      </c>
      <c r="BR52" s="108">
        <v>18524.939999999999</v>
      </c>
      <c r="BS52" s="108">
        <v>18524.939999999999</v>
      </c>
      <c r="BT52" s="108">
        <v>18524.939999999999</v>
      </c>
      <c r="BU52" s="108">
        <v>18524.939999999999</v>
      </c>
      <c r="BV52" s="108">
        <v>18524.939999999999</v>
      </c>
      <c r="BW52" s="108">
        <v>18524.939999999999</v>
      </c>
      <c r="BX52" s="108">
        <v>18524.939999999999</v>
      </c>
      <c r="BY52" s="108">
        <v>18524.939999999999</v>
      </c>
      <c r="BZ52" s="108">
        <v>18524.939999999999</v>
      </c>
      <c r="CA52" s="108">
        <v>18524.939999999999</v>
      </c>
      <c r="CB52" s="108">
        <v>18524.939999999999</v>
      </c>
      <c r="CC52" s="108">
        <v>18524.939999999999</v>
      </c>
      <c r="CD52" s="108">
        <v>18524.939999999999</v>
      </c>
      <c r="CE52" s="108">
        <v>18524.939999999999</v>
      </c>
      <c r="CF52" s="108">
        <v>18524.939999999999</v>
      </c>
      <c r="CG52" s="108">
        <v>18524.939999999999</v>
      </c>
      <c r="CH52" s="108">
        <v>18524.939999999999</v>
      </c>
      <c r="CI52" s="108">
        <v>18524.939999999999</v>
      </c>
      <c r="CJ52" s="108">
        <v>18524.939999999999</v>
      </c>
      <c r="CK52" s="108">
        <v>19069.46</v>
      </c>
      <c r="CL52" s="108">
        <v>19069.46</v>
      </c>
      <c r="CM52" s="108">
        <v>19069.46</v>
      </c>
      <c r="CN52" s="108">
        <v>19069.46</v>
      </c>
      <c r="CO52" s="108">
        <v>19069.46</v>
      </c>
      <c r="CP52" s="108">
        <v>19069.46</v>
      </c>
      <c r="CQ52" s="108">
        <v>19069.46</v>
      </c>
      <c r="CR52" s="108">
        <v>19069.46</v>
      </c>
      <c r="CS52" s="108">
        <v>19069.46</v>
      </c>
      <c r="CT52" s="108">
        <v>19069.46</v>
      </c>
      <c r="CU52" s="108">
        <v>19069.46</v>
      </c>
      <c r="CV52" s="108">
        <v>19069.46</v>
      </c>
      <c r="CW52" s="108">
        <v>19069.46</v>
      </c>
      <c r="CX52" s="108">
        <v>19069.46</v>
      </c>
      <c r="CY52" s="108">
        <v>19069.46</v>
      </c>
      <c r="CZ52" s="108">
        <v>19069.46</v>
      </c>
      <c r="DA52" s="108">
        <v>19069.46</v>
      </c>
      <c r="DB52" s="108">
        <v>19069.46</v>
      </c>
      <c r="DC52" s="108">
        <v>19069.46</v>
      </c>
      <c r="DD52" s="108">
        <v>19069.46</v>
      </c>
      <c r="DE52" s="108">
        <v>19069.46</v>
      </c>
      <c r="DF52" s="108">
        <v>19069.46</v>
      </c>
      <c r="DG52" s="108">
        <v>19069.46</v>
      </c>
      <c r="DH52" s="108">
        <v>19069.46</v>
      </c>
      <c r="DI52" s="108">
        <v>19069.46</v>
      </c>
      <c r="DJ52" s="108">
        <v>19069.46</v>
      </c>
      <c r="DK52" s="108">
        <v>19069.46</v>
      </c>
      <c r="DL52" s="108">
        <v>19069.46</v>
      </c>
      <c r="DM52" s="108">
        <v>19069.46</v>
      </c>
      <c r="DN52" s="108">
        <v>19069.46</v>
      </c>
      <c r="DO52" s="108">
        <v>19069.46</v>
      </c>
      <c r="DP52" s="108">
        <v>19069.46</v>
      </c>
      <c r="DQ52" s="108">
        <v>19069.46</v>
      </c>
      <c r="DR52" s="108">
        <v>19069.46</v>
      </c>
      <c r="DS52" s="108">
        <v>19069.46</v>
      </c>
      <c r="DT52" s="108">
        <v>19069.46</v>
      </c>
    </row>
    <row r="53" spans="1:124" s="112" customFormat="1" x14ac:dyDescent="0.25">
      <c r="A53" s="114" t="s">
        <v>278</v>
      </c>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07">
        <v>58843.24</v>
      </c>
      <c r="AA53" s="107">
        <v>57854.61</v>
      </c>
      <c r="AB53" s="107">
        <v>59550.57</v>
      </c>
      <c r="AC53" s="107">
        <v>58126.71</v>
      </c>
      <c r="AD53" s="107">
        <v>58759.17</v>
      </c>
      <c r="AE53" s="107">
        <v>58424.35</v>
      </c>
      <c r="AF53" s="107">
        <v>60777.4</v>
      </c>
      <c r="AG53" s="107">
        <v>57615.09</v>
      </c>
      <c r="AH53" s="107">
        <v>59693.97</v>
      </c>
      <c r="AI53" s="107">
        <v>59035.91</v>
      </c>
      <c r="AJ53" s="107">
        <v>59058.47</v>
      </c>
      <c r="AK53" s="107">
        <v>59044.85</v>
      </c>
      <c r="AL53" s="107">
        <f t="shared" si="51"/>
        <v>706784.34</v>
      </c>
      <c r="AM53" s="153">
        <v>706784.0899999995</v>
      </c>
      <c r="AN53" s="107">
        <f t="shared" si="50"/>
        <v>0.25000000046566129</v>
      </c>
      <c r="AO53" s="135">
        <v>57401.16</v>
      </c>
      <c r="AP53" s="107">
        <v>57434.35</v>
      </c>
      <c r="AQ53" s="108">
        <v>57384.83</v>
      </c>
      <c r="AR53" s="108">
        <v>57376.79</v>
      </c>
      <c r="AS53" s="108">
        <v>57923.700000000004</v>
      </c>
      <c r="AT53" s="108">
        <v>63244.52</v>
      </c>
      <c r="AU53" s="108">
        <v>58038.89</v>
      </c>
      <c r="AV53" s="108">
        <v>57995.9</v>
      </c>
      <c r="AW53" s="108">
        <v>58023.22</v>
      </c>
      <c r="AX53" s="116">
        <v>58397.409999999996</v>
      </c>
      <c r="AY53" s="111">
        <v>23290.796215728307</v>
      </c>
      <c r="AZ53" s="107">
        <v>23290.796215728307</v>
      </c>
      <c r="BA53" s="107">
        <v>23555.105725629019</v>
      </c>
      <c r="BB53" s="107">
        <v>23555.105725629019</v>
      </c>
      <c r="BC53" s="107">
        <v>23555.105725629019</v>
      </c>
      <c r="BD53" s="107">
        <v>23555.105725629019</v>
      </c>
      <c r="BE53" s="107">
        <v>23555.105725629019</v>
      </c>
      <c r="BF53" s="107">
        <v>23555.105725629019</v>
      </c>
      <c r="BG53" s="107">
        <v>23555.105725629019</v>
      </c>
      <c r="BH53" s="107">
        <v>23555.105725629019</v>
      </c>
      <c r="BI53" s="107">
        <v>23555.105725629019</v>
      </c>
      <c r="BJ53" s="107">
        <v>23555.105725629019</v>
      </c>
      <c r="BK53" s="107">
        <v>23555.105725629019</v>
      </c>
      <c r="BL53" s="107">
        <v>23555.105725629019</v>
      </c>
      <c r="BM53" s="108">
        <v>23555.105725629019</v>
      </c>
      <c r="BN53" s="108">
        <v>23555.105725629019</v>
      </c>
      <c r="BO53" s="108">
        <v>23555.105725629019</v>
      </c>
      <c r="BP53" s="108">
        <v>23555.105725629019</v>
      </c>
      <c r="BQ53" s="108">
        <v>23555.105725629019</v>
      </c>
      <c r="BR53" s="108">
        <v>23555.105725629019</v>
      </c>
      <c r="BS53" s="108">
        <v>23555.105725629019</v>
      </c>
      <c r="BT53" s="108">
        <v>23555.105725629019</v>
      </c>
      <c r="BU53" s="108">
        <v>23555.105725629019</v>
      </c>
      <c r="BV53" s="108">
        <v>23555.105725629019</v>
      </c>
      <c r="BW53" s="108">
        <v>23555.105725629019</v>
      </c>
      <c r="BX53" s="108">
        <v>23555.105725629019</v>
      </c>
      <c r="BY53" s="108">
        <v>23744.461792423554</v>
      </c>
      <c r="BZ53" s="108">
        <v>23744.461792423554</v>
      </c>
      <c r="CA53" s="108">
        <v>23744.461792423554</v>
      </c>
      <c r="CB53" s="108">
        <v>23744.461792423554</v>
      </c>
      <c r="CC53" s="108">
        <v>23744.461792423554</v>
      </c>
      <c r="CD53" s="108">
        <v>23744.461792423554</v>
      </c>
      <c r="CE53" s="108">
        <v>23744.461792423554</v>
      </c>
      <c r="CF53" s="108">
        <v>23744.461792423554</v>
      </c>
      <c r="CG53" s="108">
        <v>23744.461792423554</v>
      </c>
      <c r="CH53" s="108">
        <v>23744.461792423554</v>
      </c>
      <c r="CI53" s="108">
        <v>23744.461792423554</v>
      </c>
      <c r="CJ53" s="108">
        <v>23744.461792423554</v>
      </c>
      <c r="CK53" s="108">
        <v>23744.461792423546</v>
      </c>
      <c r="CL53" s="108">
        <v>23933.817859218085</v>
      </c>
      <c r="CM53" s="108">
        <v>23933.817859218085</v>
      </c>
      <c r="CN53" s="108">
        <v>23933.817859218085</v>
      </c>
      <c r="CO53" s="108">
        <v>23933.817859218085</v>
      </c>
      <c r="CP53" s="108">
        <v>23933.817859218085</v>
      </c>
      <c r="CQ53" s="108">
        <v>23933.817859218085</v>
      </c>
      <c r="CR53" s="108">
        <v>23933.817859218085</v>
      </c>
      <c r="CS53" s="108">
        <v>23933.817859218085</v>
      </c>
      <c r="CT53" s="108">
        <v>23933.817859218085</v>
      </c>
      <c r="CU53" s="108">
        <v>23933.817859218085</v>
      </c>
      <c r="CV53" s="108">
        <v>23933.817859218085</v>
      </c>
      <c r="CW53" s="108">
        <v>23933.817859218085</v>
      </c>
      <c r="CX53" s="108">
        <v>23933.817859218085</v>
      </c>
      <c r="CY53" s="108">
        <v>24123.173926012623</v>
      </c>
      <c r="CZ53" s="108">
        <v>24123.173926012623</v>
      </c>
      <c r="DA53" s="108">
        <v>24123.173926012623</v>
      </c>
      <c r="DB53" s="108">
        <v>24123.173926012623</v>
      </c>
      <c r="DC53" s="108">
        <v>24123.173926012623</v>
      </c>
      <c r="DD53" s="108">
        <v>24123.173926012623</v>
      </c>
      <c r="DE53" s="108">
        <v>24123.173926012623</v>
      </c>
      <c r="DF53" s="108">
        <v>24123.173926012623</v>
      </c>
      <c r="DG53" s="108">
        <v>24123.173926012623</v>
      </c>
      <c r="DH53" s="108">
        <v>24123.173926012623</v>
      </c>
      <c r="DI53" s="108">
        <v>24123.173926012623</v>
      </c>
      <c r="DJ53" s="108">
        <v>24123.173926012623</v>
      </c>
      <c r="DK53" s="108">
        <v>24123.173926012623</v>
      </c>
      <c r="DL53" s="108">
        <v>24312.529992807162</v>
      </c>
      <c r="DM53" s="108">
        <v>24312.529992807162</v>
      </c>
      <c r="DN53" s="108">
        <v>24312.529992807162</v>
      </c>
      <c r="DO53" s="108">
        <v>24312.529992807162</v>
      </c>
      <c r="DP53" s="108">
        <v>24312.529992807162</v>
      </c>
      <c r="DQ53" s="108">
        <v>24312.529992807162</v>
      </c>
      <c r="DR53" s="108">
        <v>24312.529992807162</v>
      </c>
      <c r="DS53" s="108">
        <v>24312.529992807162</v>
      </c>
      <c r="DT53" s="108">
        <v>24312.529992807162</v>
      </c>
    </row>
    <row r="54" spans="1:124" s="127" customFormat="1" x14ac:dyDescent="0.25">
      <c r="A54" s="121" t="s">
        <v>251</v>
      </c>
      <c r="B54" s="121"/>
      <c r="C54" s="121"/>
      <c r="D54" s="121"/>
      <c r="E54" s="121"/>
      <c r="F54" s="121"/>
      <c r="G54" s="121"/>
      <c r="H54" s="121"/>
      <c r="I54" s="121"/>
      <c r="J54" s="121"/>
      <c r="K54" s="121"/>
      <c r="L54" s="121"/>
      <c r="M54" s="121"/>
      <c r="N54" s="121"/>
      <c r="O54" s="121"/>
      <c r="P54" s="121"/>
      <c r="Q54" s="121"/>
      <c r="R54" s="121"/>
      <c r="S54" s="121"/>
      <c r="T54" s="121"/>
      <c r="U54" s="121"/>
      <c r="V54" s="121"/>
      <c r="W54" s="121"/>
      <c r="X54" s="121"/>
      <c r="Y54" s="121"/>
      <c r="Z54" s="123">
        <v>1148727.1399999999</v>
      </c>
      <c r="AA54" s="123">
        <v>923581.33999999985</v>
      </c>
      <c r="AB54" s="123">
        <v>804774.97999999986</v>
      </c>
      <c r="AC54" s="123">
        <v>835563.74999992573</v>
      </c>
      <c r="AD54" s="123">
        <v>839204.87000000011</v>
      </c>
      <c r="AE54" s="123">
        <v>1037549.61</v>
      </c>
      <c r="AF54" s="123">
        <v>1167751.5899999999</v>
      </c>
      <c r="AG54" s="123">
        <v>1103142.5499999998</v>
      </c>
      <c r="AH54" s="123">
        <v>1168862.5799999998</v>
      </c>
      <c r="AI54" s="123">
        <v>1046561.27</v>
      </c>
      <c r="AJ54" s="123">
        <v>901257.14999999991</v>
      </c>
      <c r="AK54" s="123">
        <v>905106.30999999994</v>
      </c>
      <c r="AL54" s="123" t="e">
        <f>SUM(AL45:AL53)</f>
        <v>#REF!</v>
      </c>
      <c r="AM54" s="123">
        <f>SUM(AM45:AM53)</f>
        <v>11882082.889999924</v>
      </c>
      <c r="AN54" s="123" t="e">
        <f>SUM(AN45:AN53)</f>
        <v>#REF!</v>
      </c>
      <c r="AO54" s="123" t="e">
        <f t="shared" ref="AO54:AZ54" si="52">SUM(AO45,AO48:AO53)</f>
        <v>#REF!</v>
      </c>
      <c r="AP54" s="123" t="e">
        <f t="shared" si="52"/>
        <v>#REF!</v>
      </c>
      <c r="AQ54" s="124" t="e">
        <f t="shared" si="52"/>
        <v>#REF!</v>
      </c>
      <c r="AR54" s="124" t="e">
        <f t="shared" si="52"/>
        <v>#REF!</v>
      </c>
      <c r="AS54" s="124" t="e">
        <f t="shared" si="52"/>
        <v>#REF!</v>
      </c>
      <c r="AT54" s="124" t="e">
        <f t="shared" si="52"/>
        <v>#REF!</v>
      </c>
      <c r="AU54" s="124" t="e">
        <f t="shared" si="52"/>
        <v>#REF!</v>
      </c>
      <c r="AV54" s="124" t="e">
        <f t="shared" si="52"/>
        <v>#REF!</v>
      </c>
      <c r="AW54" s="124" t="e">
        <f t="shared" si="52"/>
        <v>#REF!</v>
      </c>
      <c r="AX54" s="125" t="e">
        <f t="shared" si="52"/>
        <v>#REF!</v>
      </c>
      <c r="AY54" s="126" t="e">
        <f t="shared" si="52"/>
        <v>#REF!</v>
      </c>
      <c r="AZ54" s="123" t="e">
        <f t="shared" si="52"/>
        <v>#REF!</v>
      </c>
      <c r="BA54" s="123" t="e">
        <f>SUM(BA45,BA48:BA53)</f>
        <v>#REF!</v>
      </c>
      <c r="BB54" s="123" t="e">
        <f>SUM(BB45,BB48:BB53)</f>
        <v>#REF!</v>
      </c>
      <c r="BC54" s="123" t="e">
        <f t="shared" ref="BC54:DN54" si="53">SUM(BC45,BC48:BC53)</f>
        <v>#REF!</v>
      </c>
      <c r="BD54" s="124" t="e">
        <f t="shared" si="53"/>
        <v>#REF!</v>
      </c>
      <c r="BE54" s="124" t="e">
        <f t="shared" si="53"/>
        <v>#REF!</v>
      </c>
      <c r="BF54" s="124" t="e">
        <f t="shared" si="53"/>
        <v>#REF!</v>
      </c>
      <c r="BG54" s="124" t="e">
        <f t="shared" si="53"/>
        <v>#REF!</v>
      </c>
      <c r="BH54" s="124" t="e">
        <f t="shared" si="53"/>
        <v>#REF!</v>
      </c>
      <c r="BI54" s="124" t="e">
        <f t="shared" si="53"/>
        <v>#REF!</v>
      </c>
      <c r="BJ54" s="124" t="e">
        <f t="shared" si="53"/>
        <v>#REF!</v>
      </c>
      <c r="BK54" s="124" t="e">
        <f t="shared" si="53"/>
        <v>#REF!</v>
      </c>
      <c r="BL54" s="124" t="e">
        <f t="shared" si="53"/>
        <v>#REF!</v>
      </c>
      <c r="BM54" s="124" t="e">
        <f t="shared" si="53"/>
        <v>#REF!</v>
      </c>
      <c r="BN54" s="124" t="e">
        <f t="shared" si="53"/>
        <v>#REF!</v>
      </c>
      <c r="BO54" s="124" t="e">
        <f t="shared" si="53"/>
        <v>#REF!</v>
      </c>
      <c r="BP54" s="124" t="e">
        <f t="shared" si="53"/>
        <v>#REF!</v>
      </c>
      <c r="BQ54" s="124" t="e">
        <f t="shared" si="53"/>
        <v>#REF!</v>
      </c>
      <c r="BR54" s="124" t="e">
        <f t="shared" si="53"/>
        <v>#REF!</v>
      </c>
      <c r="BS54" s="124" t="e">
        <f t="shared" si="53"/>
        <v>#REF!</v>
      </c>
      <c r="BT54" s="124" t="e">
        <f t="shared" si="53"/>
        <v>#REF!</v>
      </c>
      <c r="BU54" s="124" t="e">
        <f t="shared" si="53"/>
        <v>#REF!</v>
      </c>
      <c r="BV54" s="124" t="e">
        <f t="shared" si="53"/>
        <v>#REF!</v>
      </c>
      <c r="BW54" s="124" t="e">
        <f t="shared" si="53"/>
        <v>#REF!</v>
      </c>
      <c r="BX54" s="124" t="e">
        <f t="shared" si="53"/>
        <v>#REF!</v>
      </c>
      <c r="BY54" s="124" t="e">
        <f t="shared" si="53"/>
        <v>#REF!</v>
      </c>
      <c r="BZ54" s="124" t="e">
        <f t="shared" si="53"/>
        <v>#REF!</v>
      </c>
      <c r="CA54" s="124" t="e">
        <f t="shared" si="53"/>
        <v>#REF!</v>
      </c>
      <c r="CB54" s="124" t="e">
        <f t="shared" si="53"/>
        <v>#REF!</v>
      </c>
      <c r="CC54" s="124" t="e">
        <f t="shared" si="53"/>
        <v>#REF!</v>
      </c>
      <c r="CD54" s="124" t="e">
        <f t="shared" si="53"/>
        <v>#REF!</v>
      </c>
      <c r="CE54" s="124" t="e">
        <f t="shared" si="53"/>
        <v>#REF!</v>
      </c>
      <c r="CF54" s="124" t="e">
        <f t="shared" si="53"/>
        <v>#REF!</v>
      </c>
      <c r="CG54" s="124" t="e">
        <f t="shared" si="53"/>
        <v>#REF!</v>
      </c>
      <c r="CH54" s="124" t="e">
        <f t="shared" si="53"/>
        <v>#REF!</v>
      </c>
      <c r="CI54" s="124" t="e">
        <f t="shared" si="53"/>
        <v>#REF!</v>
      </c>
      <c r="CJ54" s="124" t="e">
        <f t="shared" si="53"/>
        <v>#REF!</v>
      </c>
      <c r="CK54" s="124" t="e">
        <f t="shared" si="53"/>
        <v>#REF!</v>
      </c>
      <c r="CL54" s="124" t="e">
        <f t="shared" si="53"/>
        <v>#REF!</v>
      </c>
      <c r="CM54" s="124" t="e">
        <f t="shared" si="53"/>
        <v>#REF!</v>
      </c>
      <c r="CN54" s="124" t="e">
        <f t="shared" si="53"/>
        <v>#REF!</v>
      </c>
      <c r="CO54" s="124" t="e">
        <f t="shared" si="53"/>
        <v>#REF!</v>
      </c>
      <c r="CP54" s="124" t="e">
        <f t="shared" si="53"/>
        <v>#REF!</v>
      </c>
      <c r="CQ54" s="124" t="e">
        <f t="shared" si="53"/>
        <v>#REF!</v>
      </c>
      <c r="CR54" s="124" t="e">
        <f t="shared" si="53"/>
        <v>#REF!</v>
      </c>
      <c r="CS54" s="124" t="e">
        <f t="shared" si="53"/>
        <v>#REF!</v>
      </c>
      <c r="CT54" s="124" t="e">
        <f t="shared" si="53"/>
        <v>#REF!</v>
      </c>
      <c r="CU54" s="124" t="e">
        <f t="shared" si="53"/>
        <v>#REF!</v>
      </c>
      <c r="CV54" s="124" t="e">
        <f t="shared" si="53"/>
        <v>#REF!</v>
      </c>
      <c r="CW54" s="124">
        <f t="shared" si="53"/>
        <v>1166951.8232602156</v>
      </c>
      <c r="CX54" s="124">
        <f t="shared" si="53"/>
        <v>834155.96535994369</v>
      </c>
      <c r="CY54" s="124">
        <f t="shared" si="53"/>
        <v>792450.47201918927</v>
      </c>
      <c r="CZ54" s="124">
        <f t="shared" si="53"/>
        <v>802822.46791019267</v>
      </c>
      <c r="DA54" s="124">
        <f t="shared" si="53"/>
        <v>836533.55787672091</v>
      </c>
      <c r="DB54" s="124">
        <f t="shared" si="53"/>
        <v>956470.4087927643</v>
      </c>
      <c r="DC54" s="124">
        <f t="shared" si="53"/>
        <v>982907.78311063093</v>
      </c>
      <c r="DD54" s="124">
        <f t="shared" si="53"/>
        <v>1033089.2781591613</v>
      </c>
      <c r="DE54" s="124">
        <f t="shared" si="53"/>
        <v>1008246.6045094931</v>
      </c>
      <c r="DF54" s="124">
        <f t="shared" si="53"/>
        <v>995801.88187346887</v>
      </c>
      <c r="DG54" s="124">
        <f t="shared" si="53"/>
        <v>885884.34828034719</v>
      </c>
      <c r="DH54" s="124">
        <f t="shared" si="53"/>
        <v>826055.95559040236</v>
      </c>
      <c r="DI54" s="124">
        <f t="shared" si="53"/>
        <v>796102.88567146659</v>
      </c>
      <c r="DJ54" s="124">
        <f t="shared" si="53"/>
        <v>1197894.8351711433</v>
      </c>
      <c r="DK54" s="124">
        <f t="shared" si="53"/>
        <v>790679.45729807834</v>
      </c>
      <c r="DL54" s="124">
        <f t="shared" si="53"/>
        <v>820233.10444923467</v>
      </c>
      <c r="DM54" s="124">
        <f t="shared" si="53"/>
        <v>847906.56946623919</v>
      </c>
      <c r="DN54" s="124">
        <f t="shared" si="53"/>
        <v>941832.73526330735</v>
      </c>
      <c r="DO54" s="124">
        <f t="shared" ref="DO54:DT54" si="54">SUM(DO45,DO48:DO53)</f>
        <v>923326.77690240834</v>
      </c>
      <c r="DP54" s="124">
        <f t="shared" si="54"/>
        <v>998210.76449186308</v>
      </c>
      <c r="DQ54" s="124">
        <f t="shared" si="54"/>
        <v>1025518.1049046242</v>
      </c>
      <c r="DR54" s="124">
        <f t="shared" si="54"/>
        <v>991161.0491306386</v>
      </c>
      <c r="DS54" s="124">
        <f t="shared" si="54"/>
        <v>909867.88939295663</v>
      </c>
      <c r="DT54" s="124">
        <f t="shared" si="54"/>
        <v>878281.85199100245</v>
      </c>
    </row>
    <row r="55" spans="1:124" s="127" customFormat="1" x14ac:dyDescent="0.25">
      <c r="A55" s="121"/>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36"/>
      <c r="AA55" s="136"/>
      <c r="AB55" s="136"/>
      <c r="AC55" s="136"/>
      <c r="AD55" s="136"/>
      <c r="AE55" s="136"/>
      <c r="AF55" s="136"/>
      <c r="AG55" s="136"/>
      <c r="AH55" s="136"/>
      <c r="AI55" s="136"/>
      <c r="AJ55" s="136"/>
      <c r="AK55" s="136"/>
      <c r="AL55" s="136"/>
      <c r="AM55" s="136"/>
      <c r="AN55" s="136"/>
      <c r="AO55" s="136"/>
      <c r="AP55" s="137"/>
      <c r="AQ55" s="137"/>
      <c r="AR55" s="137"/>
      <c r="AS55" s="137"/>
      <c r="AT55" s="137"/>
      <c r="AU55" s="137"/>
      <c r="AV55" s="137"/>
      <c r="AW55" s="137"/>
      <c r="AX55" s="138"/>
      <c r="AY55" s="139"/>
      <c r="AZ55" s="136"/>
      <c r="BA55" s="136"/>
      <c r="BB55" s="136"/>
      <c r="BC55" s="136"/>
      <c r="BD55" s="137"/>
      <c r="BE55" s="137"/>
      <c r="BF55" s="137"/>
      <c r="BG55" s="137"/>
      <c r="BH55" s="137"/>
      <c r="BI55" s="137"/>
      <c r="BJ55" s="137"/>
      <c r="BK55" s="137"/>
      <c r="BL55" s="137"/>
      <c r="BM55" s="137"/>
      <c r="BN55" s="137"/>
      <c r="BO55" s="137"/>
      <c r="BP55" s="137"/>
      <c r="BQ55" s="137"/>
      <c r="BR55" s="137"/>
      <c r="BS55" s="137"/>
      <c r="BT55" s="137"/>
      <c r="BU55" s="137"/>
      <c r="BV55" s="137"/>
      <c r="BW55" s="137"/>
      <c r="BX55" s="137"/>
      <c r="BY55" s="137"/>
      <c r="BZ55" s="137"/>
      <c r="CA55" s="137"/>
      <c r="CB55" s="137"/>
      <c r="CC55" s="137"/>
      <c r="CD55" s="137"/>
      <c r="CE55" s="137"/>
      <c r="CF55" s="137"/>
      <c r="CG55" s="137"/>
      <c r="CH55" s="137"/>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7"/>
      <c r="DF55" s="137"/>
      <c r="DG55" s="137"/>
      <c r="DH55" s="137"/>
      <c r="DI55" s="137"/>
      <c r="DJ55" s="137"/>
      <c r="DK55" s="137"/>
      <c r="DL55" s="137"/>
      <c r="DM55" s="137"/>
      <c r="DN55" s="137"/>
      <c r="DO55" s="137"/>
      <c r="DP55" s="137"/>
      <c r="DQ55" s="137"/>
      <c r="DR55" s="137"/>
      <c r="DS55" s="137"/>
      <c r="DT55" s="137"/>
    </row>
    <row r="56" spans="1:124" s="127" customFormat="1" x14ac:dyDescent="0.25">
      <c r="A56" s="113" t="s">
        <v>279</v>
      </c>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36"/>
      <c r="AA56" s="136"/>
      <c r="AB56" s="136"/>
      <c r="AC56" s="136"/>
      <c r="AD56" s="136"/>
      <c r="AE56" s="136"/>
      <c r="AF56" s="136"/>
      <c r="AG56" s="136"/>
      <c r="AH56" s="136"/>
      <c r="AI56" s="136"/>
      <c r="AJ56" s="154" t="e">
        <f>SUM(Z53:AK53)/#REF!</f>
        <v>#REF!</v>
      </c>
      <c r="AK56" s="154" t="e">
        <f>AJ56/12</f>
        <v>#REF!</v>
      </c>
      <c r="AL56" s="154"/>
      <c r="AM56" s="154"/>
      <c r="AN56" s="154"/>
      <c r="AO56" s="136"/>
      <c r="AP56" s="137"/>
      <c r="AQ56" s="137"/>
      <c r="AR56" s="137"/>
      <c r="AS56" s="137"/>
      <c r="AT56" s="137"/>
      <c r="AU56" s="137"/>
      <c r="AV56" s="137"/>
      <c r="AW56" s="137"/>
      <c r="AX56" s="138"/>
      <c r="AY56" s="139"/>
      <c r="AZ56" s="136"/>
      <c r="BA56" s="136"/>
      <c r="BB56" s="136"/>
      <c r="BC56" s="136"/>
      <c r="BD56" s="137"/>
      <c r="BE56" s="137"/>
      <c r="BF56" s="137"/>
      <c r="BG56" s="137"/>
      <c r="BH56" s="137"/>
      <c r="BI56" s="137"/>
      <c r="BJ56" s="137"/>
      <c r="BK56" s="137"/>
      <c r="BL56" s="137"/>
      <c r="BM56" s="137"/>
      <c r="BN56" s="137"/>
      <c r="BO56" s="137"/>
      <c r="BP56" s="137"/>
      <c r="BQ56" s="137"/>
      <c r="BR56" s="137"/>
      <c r="BS56" s="137"/>
      <c r="BT56" s="137"/>
      <c r="BU56" s="137"/>
      <c r="BV56" s="137"/>
      <c r="BW56" s="137"/>
      <c r="BX56" s="137"/>
      <c r="BY56" s="137"/>
      <c r="BZ56" s="137"/>
      <c r="CA56" s="137"/>
      <c r="CB56" s="137"/>
      <c r="CC56" s="137"/>
      <c r="CD56" s="137"/>
      <c r="CE56" s="137"/>
      <c r="CF56" s="137"/>
      <c r="CG56" s="137"/>
      <c r="CH56" s="137"/>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7"/>
      <c r="DF56" s="137"/>
      <c r="DG56" s="137"/>
      <c r="DH56" s="137"/>
      <c r="DI56" s="137"/>
      <c r="DJ56" s="137"/>
      <c r="DK56" s="137"/>
      <c r="DL56" s="137"/>
      <c r="DM56" s="137"/>
      <c r="DN56" s="137"/>
      <c r="DO56" s="137"/>
      <c r="DP56" s="137"/>
      <c r="DQ56" s="137"/>
      <c r="DR56" s="137"/>
      <c r="DS56" s="137"/>
      <c r="DT56" s="137"/>
    </row>
    <row r="57" spans="1:124" s="127" customFormat="1" x14ac:dyDescent="0.25">
      <c r="A57" s="114" t="s">
        <v>256</v>
      </c>
      <c r="B57" s="155">
        <v>14316.81</v>
      </c>
      <c r="C57" s="155">
        <v>11207.36</v>
      </c>
      <c r="D57" s="155">
        <v>13661.14</v>
      </c>
      <c r="E57" s="155">
        <v>11801.59</v>
      </c>
      <c r="F57" s="155">
        <v>9272.0400000000009</v>
      </c>
      <c r="G57" s="155">
        <v>10734.31</v>
      </c>
      <c r="H57" s="155">
        <v>11401</v>
      </c>
      <c r="I57" s="155">
        <v>13140.68</v>
      </c>
      <c r="J57" s="155">
        <v>12131.78</v>
      </c>
      <c r="K57" s="155">
        <v>15230.88</v>
      </c>
      <c r="L57" s="155">
        <v>13959.36</v>
      </c>
      <c r="M57" s="155">
        <v>12507.29</v>
      </c>
      <c r="N57" s="155">
        <v>12583.82</v>
      </c>
      <c r="O57" s="155">
        <v>12502.16</v>
      </c>
      <c r="P57" s="155">
        <v>9606.0499999999993</v>
      </c>
      <c r="Q57" s="155">
        <v>10248.98</v>
      </c>
      <c r="R57" s="155">
        <v>10239.82</v>
      </c>
      <c r="S57" s="155">
        <v>12357.52</v>
      </c>
      <c r="T57" s="155">
        <v>11939.03</v>
      </c>
      <c r="U57" s="155">
        <v>11656.9</v>
      </c>
      <c r="V57" s="155">
        <v>16460.560000000001</v>
      </c>
      <c r="W57" s="155">
        <v>13856.43</v>
      </c>
      <c r="X57" s="155">
        <v>12130.2</v>
      </c>
      <c r="Y57" s="155">
        <v>12925.67</v>
      </c>
      <c r="Z57" s="107">
        <v>10537.57</v>
      </c>
      <c r="AA57" s="107">
        <v>9725.11</v>
      </c>
      <c r="AB57" s="107">
        <v>11821</v>
      </c>
      <c r="AC57" s="107">
        <v>11944.45</v>
      </c>
      <c r="AD57" s="107">
        <v>9681.9599999999991</v>
      </c>
      <c r="AE57" s="107">
        <v>9681.9599999999991</v>
      </c>
      <c r="AF57" s="107">
        <v>9681.9599999999991</v>
      </c>
      <c r="AG57" s="107">
        <v>12261.14</v>
      </c>
      <c r="AH57" s="107">
        <v>11385.77</v>
      </c>
      <c r="AI57" s="107">
        <v>13308.05</v>
      </c>
      <c r="AJ57" s="107">
        <v>12890.25</v>
      </c>
      <c r="AK57" s="107">
        <v>14958.41</v>
      </c>
      <c r="AL57" s="107"/>
      <c r="AM57" s="107"/>
      <c r="AN57" s="107"/>
      <c r="AO57" s="135">
        <v>11717.99</v>
      </c>
      <c r="AP57" s="107">
        <v>9301.44</v>
      </c>
      <c r="AQ57" s="108">
        <v>13131.53</v>
      </c>
      <c r="AR57" s="108">
        <v>11449.42</v>
      </c>
      <c r="AS57" s="108">
        <v>15243.61</v>
      </c>
      <c r="AT57" s="108">
        <v>13789.45</v>
      </c>
      <c r="AU57" s="108">
        <v>13702.66</v>
      </c>
      <c r="AV57" s="108">
        <v>7635.5199999999995</v>
      </c>
      <c r="AW57" s="108">
        <v>12675.53</v>
      </c>
      <c r="AX57" s="116">
        <v>16791.810000000001</v>
      </c>
      <c r="AY57" s="111">
        <v>13363.536296296297</v>
      </c>
      <c r="AZ57" s="107">
        <v>12734.493333333332</v>
      </c>
      <c r="BA57" s="135">
        <f>AVERAGE(B57,N57,AO57)</f>
        <v>12872.873333333331</v>
      </c>
      <c r="BB57" s="135">
        <f t="shared" ref="BA57:BL65" si="55">AVERAGE(C57,O57,AP57)</f>
        <v>11003.653333333334</v>
      </c>
      <c r="BC57" s="135">
        <f t="shared" si="55"/>
        <v>12132.906666666668</v>
      </c>
      <c r="BD57" s="108">
        <f t="shared" si="55"/>
        <v>11166.663333333332</v>
      </c>
      <c r="BE57" s="108">
        <f t="shared" si="55"/>
        <v>11585.156666666668</v>
      </c>
      <c r="BF57" s="108">
        <f t="shared" si="55"/>
        <v>12293.76</v>
      </c>
      <c r="BG57" s="108">
        <f t="shared" si="55"/>
        <v>12347.563333333334</v>
      </c>
      <c r="BH57" s="108">
        <f t="shared" si="55"/>
        <v>10811.033333333335</v>
      </c>
      <c r="BI57" s="108">
        <f t="shared" si="55"/>
        <v>13755.956666666667</v>
      </c>
      <c r="BJ57" s="108">
        <f t="shared" si="55"/>
        <v>15293.039999999999</v>
      </c>
      <c r="BK57" s="108">
        <f t="shared" si="55"/>
        <v>13151.032098765432</v>
      </c>
      <c r="BL57" s="108">
        <f t="shared" si="55"/>
        <v>12722.484444444444</v>
      </c>
      <c r="BM57" s="108">
        <f t="shared" ref="BM57:BX64" si="56">AVERAGE(N57,AO57,BA57)</f>
        <v>12391.561111111108</v>
      </c>
      <c r="BN57" s="108">
        <f t="shared" si="56"/>
        <v>10935.751111111111</v>
      </c>
      <c r="BO57" s="108">
        <f t="shared" si="56"/>
        <v>11623.495555555557</v>
      </c>
      <c r="BP57" s="108">
        <f t="shared" si="56"/>
        <v>10955.021111111111</v>
      </c>
      <c r="BQ57" s="108">
        <f t="shared" si="56"/>
        <v>12356.195555555556</v>
      </c>
      <c r="BR57" s="108">
        <f t="shared" si="56"/>
        <v>12813.576666666668</v>
      </c>
      <c r="BS57" s="108">
        <f t="shared" si="56"/>
        <v>12663.084444444445</v>
      </c>
      <c r="BT57" s="108">
        <f t="shared" si="56"/>
        <v>10034.484444444444</v>
      </c>
      <c r="BU57" s="108">
        <f t="shared" si="56"/>
        <v>14297.34888888889</v>
      </c>
      <c r="BV57" s="108">
        <f t="shared" si="56"/>
        <v>15313.76</v>
      </c>
      <c r="BW57" s="108">
        <f t="shared" si="56"/>
        <v>12881.589465020576</v>
      </c>
      <c r="BX57" s="108">
        <f t="shared" si="56"/>
        <v>12794.215925925926</v>
      </c>
      <c r="BY57" s="108">
        <f t="shared" ref="BY57:CN64" si="57">AVERAGE(AO57,BA57,BM57)</f>
        <v>12327.474814814814</v>
      </c>
      <c r="BZ57" s="108">
        <f t="shared" si="57"/>
        <v>10413.614814814815</v>
      </c>
      <c r="CA57" s="108">
        <f t="shared" si="57"/>
        <v>12295.977407407408</v>
      </c>
      <c r="CB57" s="108">
        <f t="shared" si="57"/>
        <v>11190.368148148147</v>
      </c>
      <c r="CC57" s="108">
        <f t="shared" si="57"/>
        <v>13061.654074074075</v>
      </c>
      <c r="CD57" s="108">
        <f t="shared" si="57"/>
        <v>12965.595555555556</v>
      </c>
      <c r="CE57" s="108">
        <f t="shared" si="57"/>
        <v>12904.435925925927</v>
      </c>
      <c r="CF57" s="108">
        <f t="shared" si="57"/>
        <v>9493.6792592592592</v>
      </c>
      <c r="CG57" s="108">
        <f t="shared" si="57"/>
        <v>13576.27851851852</v>
      </c>
      <c r="CH57" s="108">
        <f t="shared" si="57"/>
        <v>15799.536666666667</v>
      </c>
      <c r="CI57" s="108">
        <f t="shared" si="57"/>
        <v>13132.052620027434</v>
      </c>
      <c r="CJ57" s="108">
        <f t="shared" si="57"/>
        <v>12750.397901234568</v>
      </c>
      <c r="CK57" s="108">
        <f t="shared" si="57"/>
        <v>12530.636419753084</v>
      </c>
      <c r="CL57" s="108">
        <f t="shared" si="57"/>
        <v>10784.339753086419</v>
      </c>
      <c r="CM57" s="108">
        <f t="shared" si="57"/>
        <v>12017.459876543211</v>
      </c>
      <c r="CN57" s="108">
        <f t="shared" si="57"/>
        <v>11104.017530864197</v>
      </c>
      <c r="CO57" s="108">
        <f t="shared" ref="CO57:DD64" si="58">AVERAGE(BE57,BQ57,CC57)</f>
        <v>12334.335432098766</v>
      </c>
      <c r="CP57" s="108">
        <f t="shared" si="58"/>
        <v>12690.977407407408</v>
      </c>
      <c r="CQ57" s="108">
        <f t="shared" si="58"/>
        <v>12638.361234567901</v>
      </c>
      <c r="CR57" s="108">
        <f t="shared" si="58"/>
        <v>10113.065679012347</v>
      </c>
      <c r="CS57" s="108">
        <f t="shared" si="58"/>
        <v>13876.528024691359</v>
      </c>
      <c r="CT57" s="108">
        <f t="shared" si="58"/>
        <v>15468.77888888889</v>
      </c>
      <c r="CU57" s="108">
        <f t="shared" si="58"/>
        <v>13054.89139460448</v>
      </c>
      <c r="CV57" s="108">
        <f t="shared" si="58"/>
        <v>12755.699423868313</v>
      </c>
      <c r="CW57" s="108">
        <f t="shared" si="58"/>
        <v>12416.557448559668</v>
      </c>
      <c r="CX57" s="108">
        <f t="shared" si="58"/>
        <v>10711.235226337449</v>
      </c>
      <c r="CY57" s="108">
        <f t="shared" si="58"/>
        <v>11978.977613168725</v>
      </c>
      <c r="CZ57" s="108">
        <f t="shared" si="58"/>
        <v>11083.13559670782</v>
      </c>
      <c r="DA57" s="108">
        <f t="shared" si="58"/>
        <v>12584.061687242798</v>
      </c>
      <c r="DB57" s="108">
        <f t="shared" si="58"/>
        <v>12823.383209876543</v>
      </c>
      <c r="DC57" s="108">
        <f t="shared" si="58"/>
        <v>12735.293868312758</v>
      </c>
      <c r="DD57" s="108">
        <f t="shared" si="58"/>
        <v>9880.4097942386834</v>
      </c>
      <c r="DE57" s="108">
        <f t="shared" ref="DE57:DT64" si="59">AVERAGE(BU57,CG57,CS57)</f>
        <v>13916.718477366258</v>
      </c>
      <c r="DF57" s="108">
        <f t="shared" si="59"/>
        <v>15527.35851851852</v>
      </c>
      <c r="DG57" s="108">
        <f t="shared" si="59"/>
        <v>13022.844493217497</v>
      </c>
      <c r="DH57" s="108">
        <f t="shared" si="59"/>
        <v>12766.771083676269</v>
      </c>
      <c r="DI57" s="108">
        <f t="shared" si="59"/>
        <v>12424.889561042522</v>
      </c>
      <c r="DJ57" s="108">
        <f t="shared" si="59"/>
        <v>10636.39659807956</v>
      </c>
      <c r="DK57" s="108">
        <f t="shared" si="59"/>
        <v>12097.471632373114</v>
      </c>
      <c r="DL57" s="108">
        <f t="shared" si="59"/>
        <v>11125.840425240056</v>
      </c>
      <c r="DM57" s="108">
        <f t="shared" si="59"/>
        <v>12660.01706447188</v>
      </c>
      <c r="DN57" s="108">
        <f t="shared" si="59"/>
        <v>12826.652057613168</v>
      </c>
      <c r="DO57" s="108">
        <f t="shared" si="59"/>
        <v>12759.363676268862</v>
      </c>
      <c r="DP57" s="108">
        <f t="shared" si="59"/>
        <v>9829.051577503431</v>
      </c>
      <c r="DQ57" s="108">
        <f t="shared" si="59"/>
        <v>13789.84167352538</v>
      </c>
      <c r="DR57" s="108">
        <f t="shared" si="59"/>
        <v>15598.55802469136</v>
      </c>
      <c r="DS57" s="108">
        <f t="shared" si="59"/>
        <v>13069.929502616471</v>
      </c>
      <c r="DT57" s="108">
        <f t="shared" si="59"/>
        <v>12757.622802926382</v>
      </c>
    </row>
    <row r="58" spans="1:124" s="127" customFormat="1" x14ac:dyDescent="0.25">
      <c r="A58" s="114" t="s">
        <v>257</v>
      </c>
      <c r="B58" s="155">
        <v>549</v>
      </c>
      <c r="C58" s="155">
        <v>854</v>
      </c>
      <c r="D58" s="155">
        <v>1037</v>
      </c>
      <c r="E58" s="155">
        <v>1037</v>
      </c>
      <c r="F58" s="155">
        <v>1891</v>
      </c>
      <c r="G58" s="155">
        <v>1028</v>
      </c>
      <c r="H58" s="155">
        <v>671</v>
      </c>
      <c r="I58" s="155">
        <v>732</v>
      </c>
      <c r="J58" s="155">
        <v>1365</v>
      </c>
      <c r="K58" s="155">
        <v>1708</v>
      </c>
      <c r="L58" s="155">
        <v>671</v>
      </c>
      <c r="M58" s="155">
        <v>941</v>
      </c>
      <c r="N58" s="155">
        <v>1917</v>
      </c>
      <c r="O58" s="155">
        <v>2013</v>
      </c>
      <c r="P58" s="155">
        <v>1098</v>
      </c>
      <c r="Q58" s="155">
        <v>1337</v>
      </c>
      <c r="R58" s="155">
        <v>1368</v>
      </c>
      <c r="S58" s="155">
        <v>1769</v>
      </c>
      <c r="T58" s="155">
        <v>1525</v>
      </c>
      <c r="U58" s="155">
        <v>1384</v>
      </c>
      <c r="V58" s="155">
        <v>1133</v>
      </c>
      <c r="W58" s="155">
        <v>1159</v>
      </c>
      <c r="X58" s="155">
        <v>1037</v>
      </c>
      <c r="Y58" s="155">
        <v>2196</v>
      </c>
      <c r="Z58" s="107">
        <v>1551</v>
      </c>
      <c r="AA58" s="107">
        <v>1098</v>
      </c>
      <c r="AB58" s="107">
        <v>1586</v>
      </c>
      <c r="AC58" s="107">
        <v>1586</v>
      </c>
      <c r="AD58" s="107">
        <v>1342</v>
      </c>
      <c r="AE58" s="107">
        <v>1342</v>
      </c>
      <c r="AF58" s="107">
        <v>1342</v>
      </c>
      <c r="AG58" s="107">
        <v>2318</v>
      </c>
      <c r="AH58" s="107">
        <v>1220</v>
      </c>
      <c r="AI58" s="107">
        <v>976</v>
      </c>
      <c r="AJ58" s="107">
        <v>1098</v>
      </c>
      <c r="AK58" s="107">
        <v>1159</v>
      </c>
      <c r="AL58" s="107"/>
      <c r="AM58" s="107"/>
      <c r="AN58" s="107"/>
      <c r="AO58" s="107">
        <v>915</v>
      </c>
      <c r="AP58" s="107">
        <v>1830</v>
      </c>
      <c r="AQ58" s="108">
        <v>1159</v>
      </c>
      <c r="AR58" s="108">
        <v>3233</v>
      </c>
      <c r="AS58" s="108">
        <v>1403</v>
      </c>
      <c r="AT58" s="108">
        <v>2074</v>
      </c>
      <c r="AU58" s="108">
        <v>2222</v>
      </c>
      <c r="AV58" s="108">
        <v>1220</v>
      </c>
      <c r="AW58" s="108">
        <v>3843</v>
      </c>
      <c r="AX58" s="116">
        <v>4087</v>
      </c>
      <c r="AY58" s="111">
        <v>923.70370370370381</v>
      </c>
      <c r="AZ58" s="107">
        <v>1290.148148148148</v>
      </c>
      <c r="BA58" s="107">
        <f t="shared" si="55"/>
        <v>1127</v>
      </c>
      <c r="BB58" s="107">
        <f t="shared" si="55"/>
        <v>1565.6666666666667</v>
      </c>
      <c r="BC58" s="107">
        <f t="shared" si="55"/>
        <v>1098</v>
      </c>
      <c r="BD58" s="108">
        <f t="shared" si="55"/>
        <v>1869</v>
      </c>
      <c r="BE58" s="108">
        <f t="shared" si="55"/>
        <v>1554</v>
      </c>
      <c r="BF58" s="108">
        <f t="shared" si="55"/>
        <v>1623.6666666666667</v>
      </c>
      <c r="BG58" s="108">
        <f t="shared" si="55"/>
        <v>1472.6666666666667</v>
      </c>
      <c r="BH58" s="108">
        <f t="shared" si="55"/>
        <v>1112</v>
      </c>
      <c r="BI58" s="108">
        <f t="shared" si="55"/>
        <v>2113.6666666666665</v>
      </c>
      <c r="BJ58" s="108">
        <f t="shared" si="55"/>
        <v>2318</v>
      </c>
      <c r="BK58" s="108">
        <f t="shared" si="55"/>
        <v>877.23456790123464</v>
      </c>
      <c r="BL58" s="108">
        <f t="shared" si="55"/>
        <v>1475.7160493827159</v>
      </c>
      <c r="BM58" s="108">
        <f t="shared" si="56"/>
        <v>1319.6666666666667</v>
      </c>
      <c r="BN58" s="108">
        <f t="shared" si="56"/>
        <v>1802.8888888888889</v>
      </c>
      <c r="BO58" s="108">
        <f t="shared" si="56"/>
        <v>1118.3333333333333</v>
      </c>
      <c r="BP58" s="108">
        <f t="shared" si="56"/>
        <v>2146.3333333333335</v>
      </c>
      <c r="BQ58" s="108">
        <f t="shared" si="56"/>
        <v>1441.6666666666667</v>
      </c>
      <c r="BR58" s="108">
        <f t="shared" si="56"/>
        <v>1822.2222222222224</v>
      </c>
      <c r="BS58" s="108">
        <f t="shared" si="56"/>
        <v>1739.8888888888889</v>
      </c>
      <c r="BT58" s="108">
        <f t="shared" si="56"/>
        <v>1238.6666666666667</v>
      </c>
      <c r="BU58" s="108">
        <f t="shared" si="56"/>
        <v>2363.2222222222222</v>
      </c>
      <c r="BV58" s="108">
        <f t="shared" si="56"/>
        <v>2521.3333333333335</v>
      </c>
      <c r="BW58" s="108">
        <f t="shared" si="56"/>
        <v>945.97942386831289</v>
      </c>
      <c r="BX58" s="108">
        <f t="shared" si="56"/>
        <v>1653.9547325102878</v>
      </c>
      <c r="BY58" s="108">
        <f t="shared" si="57"/>
        <v>1120.5555555555557</v>
      </c>
      <c r="BZ58" s="108">
        <f t="shared" si="57"/>
        <v>1732.851851851852</v>
      </c>
      <c r="CA58" s="108">
        <f t="shared" si="57"/>
        <v>1125.1111111111111</v>
      </c>
      <c r="CB58" s="108">
        <f t="shared" si="57"/>
        <v>2416.1111111111113</v>
      </c>
      <c r="CC58" s="108">
        <f t="shared" si="57"/>
        <v>1466.2222222222224</v>
      </c>
      <c r="CD58" s="108">
        <f t="shared" si="57"/>
        <v>1839.9629629629633</v>
      </c>
      <c r="CE58" s="108">
        <f t="shared" si="57"/>
        <v>1811.5185185185185</v>
      </c>
      <c r="CF58" s="108">
        <f t="shared" si="57"/>
        <v>1190.2222222222224</v>
      </c>
      <c r="CG58" s="108">
        <f t="shared" si="57"/>
        <v>2773.2962962962961</v>
      </c>
      <c r="CH58" s="108">
        <f t="shared" si="57"/>
        <v>2975.4444444444448</v>
      </c>
      <c r="CI58" s="108">
        <f t="shared" si="57"/>
        <v>915.63923182441715</v>
      </c>
      <c r="CJ58" s="108">
        <f t="shared" si="57"/>
        <v>1473.2729766803839</v>
      </c>
      <c r="CK58" s="108">
        <f t="shared" si="57"/>
        <v>1189.0740740740741</v>
      </c>
      <c r="CL58" s="108">
        <f t="shared" si="57"/>
        <v>1700.4691358024693</v>
      </c>
      <c r="CM58" s="108">
        <f t="shared" si="57"/>
        <v>1113.8148148148148</v>
      </c>
      <c r="CN58" s="108">
        <f t="shared" si="57"/>
        <v>2143.8148148148152</v>
      </c>
      <c r="CO58" s="108">
        <f t="shared" si="58"/>
        <v>1487.2962962962965</v>
      </c>
      <c r="CP58" s="108">
        <f t="shared" si="58"/>
        <v>1761.9506172839508</v>
      </c>
      <c r="CQ58" s="108">
        <f t="shared" si="58"/>
        <v>1674.6913580246912</v>
      </c>
      <c r="CR58" s="108">
        <f t="shared" si="58"/>
        <v>1180.2962962962965</v>
      </c>
      <c r="CS58" s="108">
        <f t="shared" si="58"/>
        <v>2416.728395061728</v>
      </c>
      <c r="CT58" s="108">
        <f t="shared" si="58"/>
        <v>2604.9259259259265</v>
      </c>
      <c r="CU58" s="108">
        <f t="shared" si="58"/>
        <v>912.95107453132152</v>
      </c>
      <c r="CV58" s="108">
        <f t="shared" si="58"/>
        <v>1534.3145861911291</v>
      </c>
      <c r="CW58" s="108">
        <f t="shared" si="58"/>
        <v>1209.7654320987656</v>
      </c>
      <c r="CX58" s="108">
        <f t="shared" si="58"/>
        <v>1745.4032921810701</v>
      </c>
      <c r="CY58" s="108">
        <f t="shared" si="58"/>
        <v>1119.0864197530864</v>
      </c>
      <c r="CZ58" s="108">
        <f t="shared" si="58"/>
        <v>2235.4197530864203</v>
      </c>
      <c r="DA58" s="108">
        <f t="shared" si="58"/>
        <v>1465.0617283950621</v>
      </c>
      <c r="DB58" s="108">
        <f t="shared" si="58"/>
        <v>1808.0452674897122</v>
      </c>
      <c r="DC58" s="108">
        <f t="shared" si="58"/>
        <v>1742.0329218106997</v>
      </c>
      <c r="DD58" s="108">
        <f t="shared" si="58"/>
        <v>1203.0617283950619</v>
      </c>
      <c r="DE58" s="108">
        <f t="shared" si="59"/>
        <v>2517.7489711934154</v>
      </c>
      <c r="DF58" s="108">
        <f t="shared" si="59"/>
        <v>2700.5679012345681</v>
      </c>
      <c r="DG58" s="108">
        <f t="shared" si="59"/>
        <v>924.85657674135052</v>
      </c>
      <c r="DH58" s="108">
        <f t="shared" si="59"/>
        <v>1553.8474317939335</v>
      </c>
      <c r="DI58" s="108">
        <f t="shared" si="59"/>
        <v>1173.1316872427985</v>
      </c>
      <c r="DJ58" s="108">
        <f t="shared" si="59"/>
        <v>1726.2414266117974</v>
      </c>
      <c r="DK58" s="108">
        <f t="shared" si="59"/>
        <v>1119.3374485596707</v>
      </c>
      <c r="DL58" s="108">
        <f t="shared" si="59"/>
        <v>2265.1152263374493</v>
      </c>
      <c r="DM58" s="108">
        <f t="shared" si="59"/>
        <v>1472.8600823045272</v>
      </c>
      <c r="DN58" s="108">
        <f t="shared" si="59"/>
        <v>1803.3196159122087</v>
      </c>
      <c r="DO58" s="108">
        <f t="shared" si="59"/>
        <v>1742.7475994513031</v>
      </c>
      <c r="DP58" s="108">
        <f t="shared" si="59"/>
        <v>1191.1934156378604</v>
      </c>
      <c r="DQ58" s="108">
        <f t="shared" si="59"/>
        <v>2569.2578875171462</v>
      </c>
      <c r="DR58" s="108">
        <f t="shared" si="59"/>
        <v>2760.3127572016469</v>
      </c>
      <c r="DS58" s="108">
        <f t="shared" si="59"/>
        <v>917.81562769902973</v>
      </c>
      <c r="DT58" s="108">
        <f t="shared" si="59"/>
        <v>1520.4783315551488</v>
      </c>
    </row>
    <row r="59" spans="1:124" s="127" customFormat="1" x14ac:dyDescent="0.25">
      <c r="A59" s="114" t="s">
        <v>258</v>
      </c>
      <c r="B59" s="155">
        <v>5434</v>
      </c>
      <c r="C59" s="155">
        <v>5720</v>
      </c>
      <c r="D59" s="155">
        <v>5902</v>
      </c>
      <c r="E59" s="155">
        <v>6114</v>
      </c>
      <c r="F59" s="155">
        <v>5668</v>
      </c>
      <c r="G59" s="155">
        <v>6344</v>
      </c>
      <c r="H59" s="155">
        <v>6474</v>
      </c>
      <c r="I59" s="155">
        <v>5229</v>
      </c>
      <c r="J59" s="155">
        <v>6084</v>
      </c>
      <c r="K59" s="155">
        <v>5772</v>
      </c>
      <c r="L59" s="155">
        <v>5882</v>
      </c>
      <c r="M59" s="155">
        <v>4316</v>
      </c>
      <c r="N59" s="155">
        <v>5850</v>
      </c>
      <c r="O59" s="155">
        <v>5356</v>
      </c>
      <c r="P59" s="155">
        <v>6084</v>
      </c>
      <c r="Q59" s="155">
        <v>6058</v>
      </c>
      <c r="R59" s="155">
        <v>4888</v>
      </c>
      <c r="S59" s="155">
        <v>6968</v>
      </c>
      <c r="T59" s="155">
        <v>6344</v>
      </c>
      <c r="U59" s="155">
        <v>6084</v>
      </c>
      <c r="V59" s="155">
        <v>5850</v>
      </c>
      <c r="W59" s="155">
        <v>5694</v>
      </c>
      <c r="X59" s="155">
        <v>5772</v>
      </c>
      <c r="Y59" s="155">
        <v>5329</v>
      </c>
      <c r="Z59" s="107">
        <v>6200</v>
      </c>
      <c r="AA59" s="107">
        <v>3848</v>
      </c>
      <c r="AB59" s="107">
        <v>5856</v>
      </c>
      <c r="AC59" s="107">
        <v>6402</v>
      </c>
      <c r="AD59" s="107">
        <v>6214</v>
      </c>
      <c r="AE59" s="107">
        <v>6214</v>
      </c>
      <c r="AF59" s="107">
        <v>6214</v>
      </c>
      <c r="AG59" s="107">
        <v>7172</v>
      </c>
      <c r="AH59" s="107">
        <v>5785</v>
      </c>
      <c r="AI59" s="107">
        <v>5252</v>
      </c>
      <c r="AJ59" s="107">
        <v>5486</v>
      </c>
      <c r="AK59" s="107">
        <v>4754</v>
      </c>
      <c r="AL59" s="107"/>
      <c r="AM59" s="107"/>
      <c r="AN59" s="107"/>
      <c r="AO59" s="107">
        <v>5356</v>
      </c>
      <c r="AP59" s="107">
        <v>5044</v>
      </c>
      <c r="AQ59" s="108">
        <v>5070</v>
      </c>
      <c r="AR59" s="108">
        <v>5642</v>
      </c>
      <c r="AS59" s="108">
        <v>6136</v>
      </c>
      <c r="AT59" s="108">
        <v>6266</v>
      </c>
      <c r="AU59" s="108">
        <v>5590</v>
      </c>
      <c r="AV59" s="108">
        <v>6812</v>
      </c>
      <c r="AW59" s="108">
        <v>5746</v>
      </c>
      <c r="AX59" s="116">
        <v>4862</v>
      </c>
      <c r="AY59" s="111">
        <v>5788.5925925925922</v>
      </c>
      <c r="AZ59" s="107">
        <v>4899.5555555555557</v>
      </c>
      <c r="BA59" s="107">
        <f t="shared" si="55"/>
        <v>5546.666666666667</v>
      </c>
      <c r="BB59" s="107">
        <f t="shared" si="55"/>
        <v>5373.333333333333</v>
      </c>
      <c r="BC59" s="107">
        <f t="shared" si="55"/>
        <v>5685.333333333333</v>
      </c>
      <c r="BD59" s="108">
        <f t="shared" si="55"/>
        <v>5938</v>
      </c>
      <c r="BE59" s="108">
        <f t="shared" si="55"/>
        <v>5564</v>
      </c>
      <c r="BF59" s="108">
        <f t="shared" si="55"/>
        <v>6526</v>
      </c>
      <c r="BG59" s="108">
        <f t="shared" si="55"/>
        <v>6136</v>
      </c>
      <c r="BH59" s="108">
        <f t="shared" si="55"/>
        <v>6041.666666666667</v>
      </c>
      <c r="BI59" s="108">
        <f t="shared" si="55"/>
        <v>5893.333333333333</v>
      </c>
      <c r="BJ59" s="108">
        <f t="shared" si="55"/>
        <v>5442.666666666667</v>
      </c>
      <c r="BK59" s="108">
        <f t="shared" si="55"/>
        <v>5814.1975308641968</v>
      </c>
      <c r="BL59" s="108">
        <f t="shared" si="55"/>
        <v>4848.1851851851852</v>
      </c>
      <c r="BM59" s="108">
        <f t="shared" si="56"/>
        <v>5584.2222222222226</v>
      </c>
      <c r="BN59" s="108">
        <f t="shared" si="56"/>
        <v>5257.7777777777774</v>
      </c>
      <c r="BO59" s="108">
        <f t="shared" si="56"/>
        <v>5613.1111111111104</v>
      </c>
      <c r="BP59" s="108">
        <f t="shared" si="56"/>
        <v>5879.333333333333</v>
      </c>
      <c r="BQ59" s="108">
        <f t="shared" si="56"/>
        <v>5529.333333333333</v>
      </c>
      <c r="BR59" s="108">
        <f t="shared" si="56"/>
        <v>6586.666666666667</v>
      </c>
      <c r="BS59" s="108">
        <f t="shared" si="56"/>
        <v>6023.333333333333</v>
      </c>
      <c r="BT59" s="108">
        <f t="shared" si="56"/>
        <v>6312.5555555555557</v>
      </c>
      <c r="BU59" s="108">
        <f t="shared" si="56"/>
        <v>5829.7777777777774</v>
      </c>
      <c r="BV59" s="108">
        <f t="shared" si="56"/>
        <v>5332.8888888888896</v>
      </c>
      <c r="BW59" s="108">
        <f t="shared" si="56"/>
        <v>5791.5967078189287</v>
      </c>
      <c r="BX59" s="108">
        <f t="shared" si="56"/>
        <v>5025.5802469135806</v>
      </c>
      <c r="BY59" s="108">
        <f t="shared" si="57"/>
        <v>5495.6296296296305</v>
      </c>
      <c r="BZ59" s="108">
        <f t="shared" si="57"/>
        <v>5225.0370370370365</v>
      </c>
      <c r="CA59" s="108">
        <f t="shared" si="57"/>
        <v>5456.1481481481469</v>
      </c>
      <c r="CB59" s="108">
        <f t="shared" si="57"/>
        <v>5819.7777777777774</v>
      </c>
      <c r="CC59" s="108">
        <f t="shared" si="57"/>
        <v>5743.1111111111104</v>
      </c>
      <c r="CD59" s="108">
        <f t="shared" si="57"/>
        <v>6459.5555555555557</v>
      </c>
      <c r="CE59" s="108">
        <f t="shared" si="57"/>
        <v>5916.4444444444443</v>
      </c>
      <c r="CF59" s="108">
        <f t="shared" si="57"/>
        <v>6388.7407407407409</v>
      </c>
      <c r="CG59" s="108">
        <f t="shared" si="57"/>
        <v>5823.0370370370365</v>
      </c>
      <c r="CH59" s="108">
        <f t="shared" si="57"/>
        <v>5212.5185185185192</v>
      </c>
      <c r="CI59" s="108">
        <f t="shared" si="57"/>
        <v>5798.1289437585729</v>
      </c>
      <c r="CJ59" s="108">
        <f t="shared" si="57"/>
        <v>4924.4403292181078</v>
      </c>
      <c r="CK59" s="108">
        <f t="shared" si="57"/>
        <v>5542.1728395061737</v>
      </c>
      <c r="CL59" s="108">
        <f t="shared" si="57"/>
        <v>5285.382716049382</v>
      </c>
      <c r="CM59" s="108">
        <f t="shared" si="57"/>
        <v>5584.8641975308637</v>
      </c>
      <c r="CN59" s="108">
        <f t="shared" si="57"/>
        <v>5879.0370370370365</v>
      </c>
      <c r="CO59" s="108">
        <f t="shared" si="58"/>
        <v>5612.1481481481469</v>
      </c>
      <c r="CP59" s="108">
        <f t="shared" si="58"/>
        <v>6524.0740740740739</v>
      </c>
      <c r="CQ59" s="108">
        <f t="shared" si="58"/>
        <v>6025.2592592592591</v>
      </c>
      <c r="CR59" s="108">
        <f t="shared" si="58"/>
        <v>6247.6543209876545</v>
      </c>
      <c r="CS59" s="108">
        <f t="shared" si="58"/>
        <v>5848.716049382715</v>
      </c>
      <c r="CT59" s="108">
        <f t="shared" si="58"/>
        <v>5329.3580246913589</v>
      </c>
      <c r="CU59" s="108">
        <f t="shared" si="58"/>
        <v>5801.3077274805664</v>
      </c>
      <c r="CV59" s="108">
        <f t="shared" si="58"/>
        <v>4932.7352537722909</v>
      </c>
      <c r="CW59" s="108">
        <f t="shared" si="58"/>
        <v>5540.6748971193419</v>
      </c>
      <c r="CX59" s="108">
        <f t="shared" si="58"/>
        <v>5256.0658436213989</v>
      </c>
      <c r="CY59" s="108">
        <f t="shared" si="58"/>
        <v>5551.3744855967061</v>
      </c>
      <c r="CZ59" s="108">
        <f t="shared" si="58"/>
        <v>5859.382716049382</v>
      </c>
      <c r="DA59" s="108">
        <f t="shared" si="58"/>
        <v>5628.1975308641968</v>
      </c>
      <c r="DB59" s="108">
        <f t="shared" si="58"/>
        <v>6523.4320987654319</v>
      </c>
      <c r="DC59" s="108">
        <f t="shared" si="58"/>
        <v>5988.3456790123455</v>
      </c>
      <c r="DD59" s="108">
        <f t="shared" si="58"/>
        <v>6316.3168724279831</v>
      </c>
      <c r="DE59" s="108">
        <f t="shared" si="59"/>
        <v>5833.8436213991763</v>
      </c>
      <c r="DF59" s="108">
        <f t="shared" si="59"/>
        <v>5291.5884773662556</v>
      </c>
      <c r="DG59" s="108">
        <f t="shared" si="59"/>
        <v>5797.0111263526887</v>
      </c>
      <c r="DH59" s="108">
        <f t="shared" si="59"/>
        <v>4960.9186099679928</v>
      </c>
      <c r="DI59" s="108">
        <f t="shared" si="59"/>
        <v>5526.1591220850487</v>
      </c>
      <c r="DJ59" s="108">
        <f t="shared" si="59"/>
        <v>5255.4951989026058</v>
      </c>
      <c r="DK59" s="108">
        <f t="shared" si="59"/>
        <v>5530.795610425238</v>
      </c>
      <c r="DL59" s="108">
        <f t="shared" si="59"/>
        <v>5852.732510288065</v>
      </c>
      <c r="DM59" s="108">
        <f t="shared" si="59"/>
        <v>5661.1522633744853</v>
      </c>
      <c r="DN59" s="108">
        <f t="shared" si="59"/>
        <v>6502.3539094650214</v>
      </c>
      <c r="DO59" s="108">
        <f t="shared" si="59"/>
        <v>5976.6831275720169</v>
      </c>
      <c r="DP59" s="108">
        <f t="shared" si="59"/>
        <v>6317.5706447187922</v>
      </c>
      <c r="DQ59" s="108">
        <f t="shared" si="59"/>
        <v>5835.1989026063093</v>
      </c>
      <c r="DR59" s="108">
        <f t="shared" si="59"/>
        <v>5277.8216735253773</v>
      </c>
      <c r="DS59" s="108">
        <f t="shared" si="59"/>
        <v>5798.8159325306087</v>
      </c>
      <c r="DT59" s="108">
        <f t="shared" si="59"/>
        <v>4939.3647309861308</v>
      </c>
    </row>
    <row r="60" spans="1:124" s="127" customFormat="1" x14ac:dyDescent="0.25">
      <c r="A60" s="114" t="s">
        <v>259</v>
      </c>
      <c r="B60" s="155">
        <v>1488</v>
      </c>
      <c r="C60" s="155">
        <v>1152</v>
      </c>
      <c r="D60" s="155">
        <v>1424</v>
      </c>
      <c r="E60" s="155">
        <v>1040</v>
      </c>
      <c r="F60" s="155">
        <v>1520</v>
      </c>
      <c r="G60" s="155">
        <v>1072</v>
      </c>
      <c r="H60" s="155">
        <v>1344</v>
      </c>
      <c r="I60" s="155">
        <v>1760</v>
      </c>
      <c r="J60" s="155">
        <v>1616</v>
      </c>
      <c r="K60" s="155">
        <v>880</v>
      </c>
      <c r="L60" s="155">
        <v>2080</v>
      </c>
      <c r="M60" s="155">
        <v>1424</v>
      </c>
      <c r="N60" s="155">
        <v>1392</v>
      </c>
      <c r="O60" s="155">
        <v>1600</v>
      </c>
      <c r="P60" s="155">
        <v>1200</v>
      </c>
      <c r="Q60" s="155">
        <v>496</v>
      </c>
      <c r="R60" s="155"/>
      <c r="S60" s="155">
        <v>880</v>
      </c>
      <c r="T60" s="155">
        <v>336</v>
      </c>
      <c r="U60" s="155">
        <v>576</v>
      </c>
      <c r="V60" s="155">
        <v>464</v>
      </c>
      <c r="W60" s="155">
        <v>432</v>
      </c>
      <c r="X60" s="155">
        <v>1824</v>
      </c>
      <c r="Y60" s="155">
        <v>2048</v>
      </c>
      <c r="Z60" s="107">
        <v>912</v>
      </c>
      <c r="AA60" s="107">
        <v>1904</v>
      </c>
      <c r="AB60" s="107">
        <v>352</v>
      </c>
      <c r="AC60" s="107">
        <v>1120</v>
      </c>
      <c r="AD60" s="107">
        <v>160</v>
      </c>
      <c r="AE60" s="107">
        <v>160</v>
      </c>
      <c r="AF60" s="107">
        <v>160</v>
      </c>
      <c r="AG60" s="107">
        <v>2176</v>
      </c>
      <c r="AH60" s="107">
        <v>320</v>
      </c>
      <c r="AI60" s="107">
        <v>0</v>
      </c>
      <c r="AJ60" s="107">
        <v>256</v>
      </c>
      <c r="AK60" s="107">
        <v>80</v>
      </c>
      <c r="AL60" s="107"/>
      <c r="AM60" s="107"/>
      <c r="AN60" s="107"/>
      <c r="AO60" s="107">
        <v>1200</v>
      </c>
      <c r="AP60" s="107">
        <v>1216</v>
      </c>
      <c r="AQ60" s="108">
        <v>496</v>
      </c>
      <c r="AR60" s="108">
        <v>1776</v>
      </c>
      <c r="AS60" s="108">
        <v>1744</v>
      </c>
      <c r="AT60" s="108">
        <v>336</v>
      </c>
      <c r="AU60" s="108">
        <v>0</v>
      </c>
      <c r="AV60" s="108">
        <v>1216</v>
      </c>
      <c r="AW60" s="108">
        <v>1728</v>
      </c>
      <c r="AX60" s="116">
        <v>576</v>
      </c>
      <c r="AY60" s="111">
        <v>1868.2222222222224</v>
      </c>
      <c r="AZ60" s="107">
        <v>1607.1111111111111</v>
      </c>
      <c r="BA60" s="107">
        <f t="shared" si="55"/>
        <v>1360</v>
      </c>
      <c r="BB60" s="107">
        <f t="shared" si="55"/>
        <v>1322.6666666666667</v>
      </c>
      <c r="BC60" s="107">
        <f t="shared" si="55"/>
        <v>1040</v>
      </c>
      <c r="BD60" s="108">
        <f t="shared" si="55"/>
        <v>1104</v>
      </c>
      <c r="BE60" s="108">
        <f t="shared" si="55"/>
        <v>1632</v>
      </c>
      <c r="BF60" s="108">
        <f t="shared" si="55"/>
        <v>762.66666666666663</v>
      </c>
      <c r="BG60" s="108">
        <f t="shared" si="55"/>
        <v>560</v>
      </c>
      <c r="BH60" s="108">
        <f t="shared" si="55"/>
        <v>1184</v>
      </c>
      <c r="BI60" s="108">
        <f t="shared" si="55"/>
        <v>1269.3333333333333</v>
      </c>
      <c r="BJ60" s="108">
        <f t="shared" si="55"/>
        <v>629.33333333333337</v>
      </c>
      <c r="BK60" s="108">
        <f t="shared" si="55"/>
        <v>1924.0740740740741</v>
      </c>
      <c r="BL60" s="108">
        <f t="shared" si="55"/>
        <v>1693.0370370370372</v>
      </c>
      <c r="BM60" s="108">
        <f t="shared" si="56"/>
        <v>1317.3333333333333</v>
      </c>
      <c r="BN60" s="108">
        <f t="shared" si="56"/>
        <v>1379.5555555555557</v>
      </c>
      <c r="BO60" s="108">
        <f t="shared" si="56"/>
        <v>912</v>
      </c>
      <c r="BP60" s="108">
        <f t="shared" si="56"/>
        <v>1125.3333333333333</v>
      </c>
      <c r="BQ60" s="108">
        <f t="shared" si="56"/>
        <v>1688</v>
      </c>
      <c r="BR60" s="108">
        <f t="shared" si="56"/>
        <v>659.55555555555554</v>
      </c>
      <c r="BS60" s="108">
        <f t="shared" si="56"/>
        <v>298.66666666666669</v>
      </c>
      <c r="BT60" s="108">
        <f t="shared" si="56"/>
        <v>992</v>
      </c>
      <c r="BU60" s="108">
        <f t="shared" si="56"/>
        <v>1153.7777777777776</v>
      </c>
      <c r="BV60" s="108">
        <f t="shared" si="56"/>
        <v>545.77777777777783</v>
      </c>
      <c r="BW60" s="108">
        <f t="shared" si="56"/>
        <v>1872.0987654320988</v>
      </c>
      <c r="BX60" s="108">
        <f t="shared" si="56"/>
        <v>1782.7160493827162</v>
      </c>
      <c r="BY60" s="108">
        <f t="shared" si="57"/>
        <v>1292.4444444444443</v>
      </c>
      <c r="BZ60" s="108">
        <f t="shared" si="57"/>
        <v>1306.0740740740741</v>
      </c>
      <c r="CA60" s="108">
        <f t="shared" si="57"/>
        <v>816</v>
      </c>
      <c r="CB60" s="108">
        <f t="shared" si="57"/>
        <v>1335.1111111111111</v>
      </c>
      <c r="CC60" s="108">
        <f t="shared" si="57"/>
        <v>1688</v>
      </c>
      <c r="CD60" s="108">
        <f t="shared" si="57"/>
        <v>586.07407407407402</v>
      </c>
      <c r="CE60" s="108">
        <f t="shared" si="57"/>
        <v>286.22222222222223</v>
      </c>
      <c r="CF60" s="108">
        <f t="shared" si="57"/>
        <v>1130.6666666666667</v>
      </c>
      <c r="CG60" s="108">
        <f t="shared" si="57"/>
        <v>1383.7037037037035</v>
      </c>
      <c r="CH60" s="108">
        <f t="shared" si="57"/>
        <v>583.70370370370381</v>
      </c>
      <c r="CI60" s="108">
        <f t="shared" si="57"/>
        <v>1888.1316872427985</v>
      </c>
      <c r="CJ60" s="108">
        <f t="shared" si="57"/>
        <v>1694.2880658436216</v>
      </c>
      <c r="CK60" s="108">
        <f t="shared" si="57"/>
        <v>1323.2592592592591</v>
      </c>
      <c r="CL60" s="108">
        <f t="shared" si="57"/>
        <v>1336.0987654320988</v>
      </c>
      <c r="CM60" s="108">
        <f t="shared" si="57"/>
        <v>922.66666666666663</v>
      </c>
      <c r="CN60" s="108">
        <f t="shared" si="57"/>
        <v>1188.148148148148</v>
      </c>
      <c r="CO60" s="108">
        <f t="shared" si="58"/>
        <v>1669.3333333333333</v>
      </c>
      <c r="CP60" s="108">
        <f t="shared" si="58"/>
        <v>669.43209876543199</v>
      </c>
      <c r="CQ60" s="108">
        <f t="shared" si="58"/>
        <v>381.62962962962962</v>
      </c>
      <c r="CR60" s="108">
        <f t="shared" si="58"/>
        <v>1102.2222222222224</v>
      </c>
      <c r="CS60" s="108">
        <f t="shared" si="58"/>
        <v>1268.9382716049381</v>
      </c>
      <c r="CT60" s="108">
        <f t="shared" si="58"/>
        <v>586.27160493827171</v>
      </c>
      <c r="CU60" s="108">
        <f t="shared" si="58"/>
        <v>1894.7681755829906</v>
      </c>
      <c r="CV60" s="108">
        <f t="shared" si="58"/>
        <v>1723.3470507544582</v>
      </c>
      <c r="CW60" s="108">
        <f t="shared" si="58"/>
        <v>1311.0123456790122</v>
      </c>
      <c r="CX60" s="108">
        <f t="shared" si="58"/>
        <v>1340.5761316872429</v>
      </c>
      <c r="CY60" s="108">
        <f t="shared" si="58"/>
        <v>883.55555555555554</v>
      </c>
      <c r="CZ60" s="108">
        <f t="shared" si="58"/>
        <v>1216.1975308641975</v>
      </c>
      <c r="DA60" s="108">
        <f t="shared" si="58"/>
        <v>1681.7777777777776</v>
      </c>
      <c r="DB60" s="108">
        <f t="shared" si="58"/>
        <v>638.35390946502048</v>
      </c>
      <c r="DC60" s="108">
        <f t="shared" si="58"/>
        <v>322.17283950617281</v>
      </c>
      <c r="DD60" s="108">
        <f t="shared" si="58"/>
        <v>1074.9629629629633</v>
      </c>
      <c r="DE60" s="108">
        <f t="shared" si="59"/>
        <v>1268.8065843621396</v>
      </c>
      <c r="DF60" s="108">
        <f t="shared" si="59"/>
        <v>571.91769547325111</v>
      </c>
      <c r="DG60" s="108">
        <f t="shared" si="59"/>
        <v>1884.9995427526294</v>
      </c>
      <c r="DH60" s="108">
        <f t="shared" si="59"/>
        <v>1733.4503886602652</v>
      </c>
      <c r="DI60" s="108">
        <f t="shared" si="59"/>
        <v>1308.9053497942386</v>
      </c>
      <c r="DJ60" s="108">
        <f t="shared" si="59"/>
        <v>1327.5829903978054</v>
      </c>
      <c r="DK60" s="108">
        <f t="shared" si="59"/>
        <v>874.07407407407402</v>
      </c>
      <c r="DL60" s="108">
        <f t="shared" si="59"/>
        <v>1246.485596707819</v>
      </c>
      <c r="DM60" s="108">
        <f t="shared" si="59"/>
        <v>1679.7037037037035</v>
      </c>
      <c r="DN60" s="108">
        <f t="shared" si="59"/>
        <v>631.28669410150883</v>
      </c>
      <c r="DO60" s="108">
        <f t="shared" si="59"/>
        <v>330.00823045267492</v>
      </c>
      <c r="DP60" s="108">
        <f t="shared" si="59"/>
        <v>1102.6172839506173</v>
      </c>
      <c r="DQ60" s="108">
        <f t="shared" si="59"/>
        <v>1307.1495198902603</v>
      </c>
      <c r="DR60" s="108">
        <f t="shared" si="59"/>
        <v>580.63100137174217</v>
      </c>
      <c r="DS60" s="108">
        <f t="shared" si="59"/>
        <v>1889.2998018594728</v>
      </c>
      <c r="DT60" s="108">
        <f t="shared" si="59"/>
        <v>1717.0285017527815</v>
      </c>
    </row>
    <row r="61" spans="1:124" s="127" customFormat="1" x14ac:dyDescent="0.25">
      <c r="A61" s="128" t="s">
        <v>260</v>
      </c>
      <c r="B61" s="155">
        <v>-680.81</v>
      </c>
      <c r="C61" s="155">
        <v>-1513.08</v>
      </c>
      <c r="D61" s="155">
        <v>-1788.87</v>
      </c>
      <c r="E61" s="155">
        <v>-2491.31</v>
      </c>
      <c r="F61" s="155">
        <v>-500.27</v>
      </c>
      <c r="G61" s="155">
        <v>-198.31</v>
      </c>
      <c r="H61" s="155">
        <v>-475</v>
      </c>
      <c r="I61" s="155">
        <v>-474.66</v>
      </c>
      <c r="J61" s="155">
        <v>-197.59</v>
      </c>
      <c r="K61" s="155">
        <v>-281.94</v>
      </c>
      <c r="L61" s="155">
        <v>-340.43</v>
      </c>
      <c r="M61" s="155">
        <v>-598.65</v>
      </c>
      <c r="N61" s="155">
        <v>-1397.75</v>
      </c>
      <c r="O61" s="155">
        <v>-1064.82</v>
      </c>
      <c r="P61" s="155">
        <v>-2473.7600000000002</v>
      </c>
      <c r="Q61" s="155">
        <v>-388.12</v>
      </c>
      <c r="R61" s="155">
        <v>-485.52</v>
      </c>
      <c r="S61" s="155">
        <v>-1370.51</v>
      </c>
      <c r="T61" s="155">
        <v>-256.81</v>
      </c>
      <c r="U61" s="155">
        <v>-470.07</v>
      </c>
      <c r="V61" s="155">
        <v>-319.47000000000003</v>
      </c>
      <c r="W61" s="155">
        <v>-903.59</v>
      </c>
      <c r="X61" s="155">
        <v>-3214.93</v>
      </c>
      <c r="Y61" s="155">
        <v>-739.37</v>
      </c>
      <c r="Z61" s="107">
        <v>-1421.75</v>
      </c>
      <c r="AA61" s="107">
        <v>38.65</v>
      </c>
      <c r="AB61" s="107">
        <v>-4508.3</v>
      </c>
      <c r="AC61" s="107">
        <v>-249.21</v>
      </c>
      <c r="AD61" s="107">
        <v>-566.9</v>
      </c>
      <c r="AE61" s="107">
        <v>-566.9</v>
      </c>
      <c r="AF61" s="107">
        <v>-566.9</v>
      </c>
      <c r="AG61" s="107">
        <v>-677.24</v>
      </c>
      <c r="AH61" s="107">
        <v>-450.49</v>
      </c>
      <c r="AI61" s="107">
        <v>-1235.0999999999999</v>
      </c>
      <c r="AJ61" s="107">
        <v>-762.68</v>
      </c>
      <c r="AK61" s="107">
        <v>-826.08</v>
      </c>
      <c r="AL61" s="107"/>
      <c r="AM61" s="107"/>
      <c r="AN61" s="107"/>
      <c r="AO61" s="107">
        <v>-1013.23</v>
      </c>
      <c r="AP61" s="107">
        <v>-291.27999999999997</v>
      </c>
      <c r="AQ61" s="108">
        <v>-345.57</v>
      </c>
      <c r="AR61" s="108">
        <v>-1189.6600000000001</v>
      </c>
      <c r="AS61" s="108">
        <v>-390.23</v>
      </c>
      <c r="AT61" s="108">
        <v>-409.58</v>
      </c>
      <c r="AU61" s="108">
        <v>-292.24</v>
      </c>
      <c r="AV61" s="108">
        <v>-1970.35</v>
      </c>
      <c r="AW61" s="108">
        <v>-376.9</v>
      </c>
      <c r="AX61" s="116">
        <v>-766.9</v>
      </c>
      <c r="AY61" s="111">
        <v>-1607.8740740740741</v>
      </c>
      <c r="AZ61" s="107">
        <v>-578.76666666666665</v>
      </c>
      <c r="BA61" s="107">
        <f t="shared" si="55"/>
        <v>-1030.5966666666666</v>
      </c>
      <c r="BB61" s="107">
        <f t="shared" si="55"/>
        <v>-956.39333333333309</v>
      </c>
      <c r="BC61" s="107">
        <f t="shared" si="55"/>
        <v>-1536.0666666666666</v>
      </c>
      <c r="BD61" s="108">
        <f t="shared" si="55"/>
        <v>-1356.3633333333335</v>
      </c>
      <c r="BE61" s="108">
        <f t="shared" si="55"/>
        <v>-458.67333333333335</v>
      </c>
      <c r="BF61" s="108">
        <f t="shared" si="55"/>
        <v>-659.46666666666658</v>
      </c>
      <c r="BG61" s="108">
        <f t="shared" si="55"/>
        <v>-341.34999999999997</v>
      </c>
      <c r="BH61" s="108">
        <f t="shared" si="55"/>
        <v>-971.69333333333327</v>
      </c>
      <c r="BI61" s="108">
        <f t="shared" si="55"/>
        <v>-297.98666666666668</v>
      </c>
      <c r="BJ61" s="108">
        <f t="shared" si="55"/>
        <v>-650.80999999999995</v>
      </c>
      <c r="BK61" s="108">
        <f t="shared" si="55"/>
        <v>-1721.078024691358</v>
      </c>
      <c r="BL61" s="108">
        <f t="shared" si="55"/>
        <v>-638.92888888888888</v>
      </c>
      <c r="BM61" s="108">
        <f t="shared" si="56"/>
        <v>-1147.1922222222222</v>
      </c>
      <c r="BN61" s="108">
        <f t="shared" si="56"/>
        <v>-770.831111111111</v>
      </c>
      <c r="BO61" s="108">
        <f t="shared" si="56"/>
        <v>-1451.7988888888892</v>
      </c>
      <c r="BP61" s="108">
        <f t="shared" si="56"/>
        <v>-978.04777777777781</v>
      </c>
      <c r="BQ61" s="108">
        <f t="shared" si="56"/>
        <v>-444.8077777777778</v>
      </c>
      <c r="BR61" s="108">
        <f t="shared" si="56"/>
        <v>-813.18555555555542</v>
      </c>
      <c r="BS61" s="108">
        <f t="shared" si="56"/>
        <v>-296.79999999999995</v>
      </c>
      <c r="BT61" s="108">
        <f t="shared" si="56"/>
        <v>-1137.3711111111111</v>
      </c>
      <c r="BU61" s="108">
        <f t="shared" si="56"/>
        <v>-331.45222222222225</v>
      </c>
      <c r="BV61" s="108">
        <f t="shared" si="56"/>
        <v>-773.76666666666677</v>
      </c>
      <c r="BW61" s="108">
        <f t="shared" si="56"/>
        <v>-2181.2940329218109</v>
      </c>
      <c r="BX61" s="108">
        <f t="shared" si="56"/>
        <v>-652.35518518518518</v>
      </c>
      <c r="BY61" s="108">
        <f t="shared" si="57"/>
        <v>-1063.6729629629629</v>
      </c>
      <c r="BZ61" s="108">
        <f t="shared" si="57"/>
        <v>-672.83481481481476</v>
      </c>
      <c r="CA61" s="108">
        <f t="shared" si="57"/>
        <v>-1111.1451851851853</v>
      </c>
      <c r="CB61" s="108">
        <f t="shared" si="57"/>
        <v>-1174.6903703703704</v>
      </c>
      <c r="CC61" s="108">
        <f t="shared" si="57"/>
        <v>-431.23703703703706</v>
      </c>
      <c r="CD61" s="108">
        <f t="shared" si="57"/>
        <v>-627.41074074074061</v>
      </c>
      <c r="CE61" s="108">
        <f t="shared" si="57"/>
        <v>-310.12999999999994</v>
      </c>
      <c r="CF61" s="108">
        <f t="shared" si="57"/>
        <v>-1359.8048148148148</v>
      </c>
      <c r="CG61" s="108">
        <f t="shared" si="57"/>
        <v>-335.44629629629634</v>
      </c>
      <c r="CH61" s="108">
        <f t="shared" si="57"/>
        <v>-730.49222222222227</v>
      </c>
      <c r="CI61" s="108">
        <f t="shared" si="57"/>
        <v>-1836.7487105624143</v>
      </c>
      <c r="CJ61" s="108">
        <f t="shared" si="57"/>
        <v>-623.35024691358024</v>
      </c>
      <c r="CK61" s="108">
        <f t="shared" si="57"/>
        <v>-1080.4872839506172</v>
      </c>
      <c r="CL61" s="108">
        <f t="shared" si="57"/>
        <v>-800.01975308641966</v>
      </c>
      <c r="CM61" s="108">
        <f t="shared" si="57"/>
        <v>-1366.336913580247</v>
      </c>
      <c r="CN61" s="108">
        <f t="shared" si="57"/>
        <v>-1169.7004938271605</v>
      </c>
      <c r="CO61" s="108">
        <f t="shared" si="58"/>
        <v>-444.90604938271605</v>
      </c>
      <c r="CP61" s="108">
        <f t="shared" si="58"/>
        <v>-700.02098765432083</v>
      </c>
      <c r="CQ61" s="108">
        <f t="shared" si="58"/>
        <v>-316.09333333333325</v>
      </c>
      <c r="CR61" s="108">
        <f t="shared" si="58"/>
        <v>-1156.2897530864195</v>
      </c>
      <c r="CS61" s="108">
        <f t="shared" si="58"/>
        <v>-321.62839506172844</v>
      </c>
      <c r="CT61" s="108">
        <f t="shared" si="58"/>
        <v>-718.35629629629636</v>
      </c>
      <c r="CU61" s="108">
        <f t="shared" si="58"/>
        <v>-1913.0402560585278</v>
      </c>
      <c r="CV61" s="108">
        <f t="shared" si="58"/>
        <v>-638.21144032921802</v>
      </c>
      <c r="CW61" s="108">
        <f t="shared" si="58"/>
        <v>-1097.1174897119342</v>
      </c>
      <c r="CX61" s="108">
        <f t="shared" si="58"/>
        <v>-747.89522633744855</v>
      </c>
      <c r="CY61" s="108">
        <f t="shared" si="58"/>
        <v>-1309.7603292181072</v>
      </c>
      <c r="CZ61" s="108">
        <f t="shared" si="58"/>
        <v>-1107.4795473251027</v>
      </c>
      <c r="DA61" s="108">
        <f t="shared" si="58"/>
        <v>-440.31695473251028</v>
      </c>
      <c r="DB61" s="108">
        <f t="shared" si="58"/>
        <v>-713.5390946502057</v>
      </c>
      <c r="DC61" s="108">
        <f t="shared" si="58"/>
        <v>-307.67444444444436</v>
      </c>
      <c r="DD61" s="108">
        <f t="shared" si="58"/>
        <v>-1217.8218930041151</v>
      </c>
      <c r="DE61" s="108">
        <f t="shared" si="59"/>
        <v>-329.50897119341568</v>
      </c>
      <c r="DF61" s="108">
        <f t="shared" si="59"/>
        <v>-740.87172839506184</v>
      </c>
      <c r="DG61" s="108">
        <f t="shared" si="59"/>
        <v>-1977.027666514251</v>
      </c>
      <c r="DH61" s="108">
        <f t="shared" si="59"/>
        <v>-637.97229080932777</v>
      </c>
      <c r="DI61" s="108">
        <f t="shared" si="59"/>
        <v>-1080.4259122085048</v>
      </c>
      <c r="DJ61" s="108">
        <f t="shared" si="59"/>
        <v>-740.2499314128944</v>
      </c>
      <c r="DK61" s="108">
        <f t="shared" si="59"/>
        <v>-1262.4141426611798</v>
      </c>
      <c r="DL61" s="108">
        <f t="shared" si="59"/>
        <v>-1150.6234705075447</v>
      </c>
      <c r="DM61" s="108">
        <f t="shared" si="59"/>
        <v>-438.82001371742109</v>
      </c>
      <c r="DN61" s="108">
        <f t="shared" si="59"/>
        <v>-680.32360768175568</v>
      </c>
      <c r="DO61" s="108">
        <f t="shared" si="59"/>
        <v>-311.29925925925914</v>
      </c>
      <c r="DP61" s="108">
        <f t="shared" si="59"/>
        <v>-1244.6388203017832</v>
      </c>
      <c r="DQ61" s="108">
        <f t="shared" si="59"/>
        <v>-328.86122085048015</v>
      </c>
      <c r="DR61" s="108">
        <f t="shared" si="59"/>
        <v>-729.90674897119345</v>
      </c>
      <c r="DS61" s="108">
        <f t="shared" si="59"/>
        <v>-1908.938877711731</v>
      </c>
      <c r="DT61" s="108">
        <f t="shared" si="59"/>
        <v>-633.1779926840419</v>
      </c>
    </row>
    <row r="62" spans="1:124" s="127" customFormat="1" x14ac:dyDescent="0.25">
      <c r="A62" s="130" t="s">
        <v>261</v>
      </c>
      <c r="B62" s="156">
        <v>572</v>
      </c>
      <c r="C62" s="156">
        <v>156</v>
      </c>
      <c r="D62" s="156">
        <v>364</v>
      </c>
      <c r="E62" s="156">
        <v>416</v>
      </c>
      <c r="F62" s="156">
        <v>1196</v>
      </c>
      <c r="G62" s="156">
        <v>364</v>
      </c>
      <c r="H62" s="156">
        <v>490</v>
      </c>
      <c r="I62" s="156">
        <v>520</v>
      </c>
      <c r="J62" s="156">
        <v>667</v>
      </c>
      <c r="K62" s="156">
        <v>1092</v>
      </c>
      <c r="L62" s="156">
        <v>1374</v>
      </c>
      <c r="M62" s="156">
        <v>624</v>
      </c>
      <c r="N62" s="156">
        <v>1114</v>
      </c>
      <c r="O62" s="156">
        <v>1478</v>
      </c>
      <c r="P62" s="156">
        <v>594</v>
      </c>
      <c r="Q62" s="156">
        <v>780</v>
      </c>
      <c r="R62" s="156">
        <v>104</v>
      </c>
      <c r="S62" s="156">
        <v>542</v>
      </c>
      <c r="T62" s="156">
        <v>564</v>
      </c>
      <c r="U62" s="156">
        <v>312</v>
      </c>
      <c r="V62" s="156">
        <v>104</v>
      </c>
      <c r="W62" s="156">
        <v>312</v>
      </c>
      <c r="X62" s="156">
        <v>832</v>
      </c>
      <c r="Y62" s="156">
        <v>1352</v>
      </c>
      <c r="Z62" s="107">
        <v>104</v>
      </c>
      <c r="AA62" s="107">
        <v>2800</v>
      </c>
      <c r="AB62" s="107">
        <v>624</v>
      </c>
      <c r="AC62" s="107">
        <v>698</v>
      </c>
      <c r="AD62" s="107">
        <v>490</v>
      </c>
      <c r="AE62" s="107">
        <v>490</v>
      </c>
      <c r="AF62" s="107">
        <v>490</v>
      </c>
      <c r="AG62" s="107">
        <v>104</v>
      </c>
      <c r="AH62" s="107">
        <v>52</v>
      </c>
      <c r="AI62" s="107">
        <v>0</v>
      </c>
      <c r="AJ62" s="107">
        <v>52</v>
      </c>
      <c r="AK62" s="107">
        <v>104</v>
      </c>
      <c r="AL62" s="107"/>
      <c r="AM62" s="107"/>
      <c r="AN62" s="107"/>
      <c r="AO62" s="107">
        <v>624</v>
      </c>
      <c r="AP62" s="107">
        <v>1300</v>
      </c>
      <c r="AQ62" s="108">
        <v>884</v>
      </c>
      <c r="AR62" s="108">
        <v>936</v>
      </c>
      <c r="AS62" s="108">
        <v>1530</v>
      </c>
      <c r="AT62" s="108">
        <v>728</v>
      </c>
      <c r="AU62" s="108">
        <v>52</v>
      </c>
      <c r="AV62" s="108">
        <v>230</v>
      </c>
      <c r="AW62" s="108">
        <v>364</v>
      </c>
      <c r="AX62" s="116">
        <v>624</v>
      </c>
      <c r="AY62" s="111">
        <v>1152.0740740740741</v>
      </c>
      <c r="AZ62" s="107">
        <v>911.40740740740739</v>
      </c>
      <c r="BA62" s="107">
        <f t="shared" si="55"/>
        <v>770</v>
      </c>
      <c r="BB62" s="107">
        <f t="shared" si="55"/>
        <v>978</v>
      </c>
      <c r="BC62" s="107">
        <f t="shared" si="55"/>
        <v>614</v>
      </c>
      <c r="BD62" s="108">
        <f t="shared" si="55"/>
        <v>710.66666666666663</v>
      </c>
      <c r="BE62" s="108">
        <f t="shared" si="55"/>
        <v>943.33333333333337</v>
      </c>
      <c r="BF62" s="108">
        <f t="shared" si="55"/>
        <v>544.66666666666663</v>
      </c>
      <c r="BG62" s="108">
        <f t="shared" si="55"/>
        <v>368.66666666666669</v>
      </c>
      <c r="BH62" s="108">
        <f t="shared" si="55"/>
        <v>354</v>
      </c>
      <c r="BI62" s="108">
        <f t="shared" si="55"/>
        <v>378.33333333333331</v>
      </c>
      <c r="BJ62" s="108">
        <f t="shared" si="55"/>
        <v>676</v>
      </c>
      <c r="BK62" s="108">
        <f t="shared" si="55"/>
        <v>1119.358024691358</v>
      </c>
      <c r="BL62" s="108">
        <f t="shared" si="55"/>
        <v>962.46913580246917</v>
      </c>
      <c r="BM62" s="108">
        <f t="shared" si="56"/>
        <v>836</v>
      </c>
      <c r="BN62" s="108">
        <f t="shared" si="56"/>
        <v>1252</v>
      </c>
      <c r="BO62" s="108">
        <f t="shared" si="56"/>
        <v>697.33333333333337</v>
      </c>
      <c r="BP62" s="108">
        <f t="shared" si="56"/>
        <v>808.8888888888888</v>
      </c>
      <c r="BQ62" s="108">
        <f t="shared" si="56"/>
        <v>859.1111111111112</v>
      </c>
      <c r="BR62" s="108">
        <f t="shared" si="56"/>
        <v>604.8888888888888</v>
      </c>
      <c r="BS62" s="108">
        <f t="shared" si="56"/>
        <v>328.22222222222223</v>
      </c>
      <c r="BT62" s="108">
        <f t="shared" si="56"/>
        <v>298.66666666666669</v>
      </c>
      <c r="BU62" s="108">
        <f t="shared" si="56"/>
        <v>282.11111111111109</v>
      </c>
      <c r="BV62" s="108">
        <f t="shared" si="56"/>
        <v>537.33333333333337</v>
      </c>
      <c r="BW62" s="108">
        <f t="shared" si="56"/>
        <v>1034.477366255144</v>
      </c>
      <c r="BX62" s="108">
        <f t="shared" si="56"/>
        <v>1075.2921810699588</v>
      </c>
      <c r="BY62" s="108">
        <f t="shared" si="57"/>
        <v>743.33333333333337</v>
      </c>
      <c r="BZ62" s="108">
        <f t="shared" si="57"/>
        <v>1176.6666666666667</v>
      </c>
      <c r="CA62" s="108">
        <f t="shared" si="57"/>
        <v>731.77777777777783</v>
      </c>
      <c r="CB62" s="108">
        <f t="shared" si="57"/>
        <v>818.51851851851836</v>
      </c>
      <c r="CC62" s="108">
        <f t="shared" si="57"/>
        <v>1110.814814814815</v>
      </c>
      <c r="CD62" s="108">
        <f t="shared" si="57"/>
        <v>625.85185185185173</v>
      </c>
      <c r="CE62" s="108">
        <f t="shared" si="57"/>
        <v>249.62962962962965</v>
      </c>
      <c r="CF62" s="108">
        <f t="shared" si="57"/>
        <v>294.22222222222223</v>
      </c>
      <c r="CG62" s="108">
        <f t="shared" si="57"/>
        <v>341.48148148148147</v>
      </c>
      <c r="CH62" s="108">
        <f t="shared" si="57"/>
        <v>612.44444444444446</v>
      </c>
      <c r="CI62" s="108">
        <f t="shared" si="57"/>
        <v>1101.9698216735253</v>
      </c>
      <c r="CJ62" s="108">
        <f t="shared" si="57"/>
        <v>983.05624142661179</v>
      </c>
      <c r="CK62" s="108">
        <f t="shared" si="57"/>
        <v>783.1111111111112</v>
      </c>
      <c r="CL62" s="108">
        <f t="shared" si="57"/>
        <v>1135.5555555555557</v>
      </c>
      <c r="CM62" s="108">
        <f t="shared" si="57"/>
        <v>681.03703703703707</v>
      </c>
      <c r="CN62" s="108">
        <f t="shared" si="57"/>
        <v>779.35802469135797</v>
      </c>
      <c r="CO62" s="108">
        <f t="shared" si="58"/>
        <v>971.08641975308649</v>
      </c>
      <c r="CP62" s="108">
        <f t="shared" si="58"/>
        <v>591.80246913580243</v>
      </c>
      <c r="CQ62" s="108">
        <f t="shared" si="58"/>
        <v>315.50617283950618</v>
      </c>
      <c r="CR62" s="108">
        <f t="shared" si="58"/>
        <v>315.62962962962962</v>
      </c>
      <c r="CS62" s="108">
        <f t="shared" si="58"/>
        <v>333.97530864197529</v>
      </c>
      <c r="CT62" s="108">
        <f t="shared" si="58"/>
        <v>608.59259259259261</v>
      </c>
      <c r="CU62" s="108">
        <f t="shared" si="58"/>
        <v>1085.2684042066758</v>
      </c>
      <c r="CV62" s="108">
        <f t="shared" si="58"/>
        <v>1006.9391860996799</v>
      </c>
      <c r="CW62" s="108">
        <f t="shared" si="58"/>
        <v>787.48148148148164</v>
      </c>
      <c r="CX62" s="108">
        <f t="shared" si="58"/>
        <v>1188.0740740740741</v>
      </c>
      <c r="CY62" s="108">
        <f t="shared" si="58"/>
        <v>703.38271604938279</v>
      </c>
      <c r="CZ62" s="108">
        <f t="shared" si="58"/>
        <v>802.25514403292163</v>
      </c>
      <c r="DA62" s="108">
        <f t="shared" si="58"/>
        <v>980.33744855967086</v>
      </c>
      <c r="DB62" s="108">
        <f t="shared" si="58"/>
        <v>607.51440329218087</v>
      </c>
      <c r="DC62" s="108">
        <f t="shared" si="58"/>
        <v>297.78600823045264</v>
      </c>
      <c r="DD62" s="108">
        <f t="shared" si="58"/>
        <v>302.83950617283949</v>
      </c>
      <c r="DE62" s="108">
        <f t="shared" si="59"/>
        <v>319.18930041152265</v>
      </c>
      <c r="DF62" s="108">
        <f t="shared" si="59"/>
        <v>586.12345679012344</v>
      </c>
      <c r="DG62" s="108">
        <f t="shared" si="59"/>
        <v>1073.9051973784483</v>
      </c>
      <c r="DH62" s="108">
        <f t="shared" si="59"/>
        <v>1021.7625361987501</v>
      </c>
      <c r="DI62" s="108">
        <f t="shared" si="59"/>
        <v>771.30864197530866</v>
      </c>
      <c r="DJ62" s="108">
        <f t="shared" si="59"/>
        <v>1166.7654320987656</v>
      </c>
      <c r="DK62" s="108">
        <f t="shared" si="59"/>
        <v>705.39917695473252</v>
      </c>
      <c r="DL62" s="108">
        <f t="shared" si="59"/>
        <v>800.04389574759932</v>
      </c>
      <c r="DM62" s="108">
        <f t="shared" si="59"/>
        <v>1020.7462277091909</v>
      </c>
      <c r="DN62" s="108">
        <f t="shared" si="59"/>
        <v>608.38957475994494</v>
      </c>
      <c r="DO62" s="108">
        <f t="shared" si="59"/>
        <v>287.64060356652948</v>
      </c>
      <c r="DP62" s="108">
        <f t="shared" si="59"/>
        <v>304.23045267489709</v>
      </c>
      <c r="DQ62" s="108">
        <f t="shared" si="59"/>
        <v>331.54869684499317</v>
      </c>
      <c r="DR62" s="108">
        <f t="shared" si="59"/>
        <v>602.38683127572006</v>
      </c>
      <c r="DS62" s="108">
        <f t="shared" si="59"/>
        <v>1087.047807752883</v>
      </c>
      <c r="DT62" s="108">
        <f t="shared" si="59"/>
        <v>1003.9193212416807</v>
      </c>
    </row>
    <row r="63" spans="1:124" s="127" customFormat="1" x14ac:dyDescent="0.25">
      <c r="A63" s="114" t="s">
        <v>262</v>
      </c>
      <c r="B63" s="155">
        <v>546.73</v>
      </c>
      <c r="C63" s="155">
        <v>567.37</v>
      </c>
      <c r="D63" s="155">
        <v>672.91</v>
      </c>
      <c r="E63" s="155">
        <v>868.99</v>
      </c>
      <c r="F63" s="155">
        <v>625</v>
      </c>
      <c r="G63" s="155">
        <v>450</v>
      </c>
      <c r="H63" s="155">
        <v>350</v>
      </c>
      <c r="I63" s="155">
        <v>817.57</v>
      </c>
      <c r="J63" s="155">
        <v>670</v>
      </c>
      <c r="K63" s="155">
        <v>932.14</v>
      </c>
      <c r="L63" s="155">
        <v>555</v>
      </c>
      <c r="M63" s="155">
        <v>625</v>
      </c>
      <c r="N63" s="155">
        <v>979.12</v>
      </c>
      <c r="O63" s="155">
        <v>455</v>
      </c>
      <c r="P63" s="155">
        <v>587.91</v>
      </c>
      <c r="Q63" s="155">
        <v>510</v>
      </c>
      <c r="R63" s="155">
        <v>397.49</v>
      </c>
      <c r="S63" s="155">
        <v>747.5</v>
      </c>
      <c r="T63" s="155">
        <v>565</v>
      </c>
      <c r="U63" s="155">
        <v>640</v>
      </c>
      <c r="V63" s="155">
        <v>923.79</v>
      </c>
      <c r="W63" s="155">
        <v>1055.56</v>
      </c>
      <c r="X63" s="155">
        <v>887.23</v>
      </c>
      <c r="Y63" s="155">
        <v>686.55</v>
      </c>
      <c r="Z63" s="107">
        <v>781.83</v>
      </c>
      <c r="AA63" s="107">
        <v>366.38</v>
      </c>
      <c r="AB63" s="107">
        <v>591.09</v>
      </c>
      <c r="AC63" s="107">
        <v>543.74</v>
      </c>
      <c r="AD63" s="107">
        <v>395</v>
      </c>
      <c r="AE63" s="107">
        <v>395</v>
      </c>
      <c r="AF63" s="107">
        <v>395</v>
      </c>
      <c r="AG63" s="107">
        <v>570</v>
      </c>
      <c r="AH63" s="107">
        <v>709.49</v>
      </c>
      <c r="AI63" s="107">
        <v>870</v>
      </c>
      <c r="AJ63" s="107">
        <v>974</v>
      </c>
      <c r="AK63" s="107">
        <v>1855.59</v>
      </c>
      <c r="AL63" s="107"/>
      <c r="AM63" s="107"/>
      <c r="AN63" s="107"/>
      <c r="AO63" s="107">
        <v>1288.7</v>
      </c>
      <c r="AP63" s="107">
        <v>675</v>
      </c>
      <c r="AQ63" s="108">
        <v>555</v>
      </c>
      <c r="AR63" s="108">
        <v>605</v>
      </c>
      <c r="AS63" s="108">
        <v>435</v>
      </c>
      <c r="AT63" s="108">
        <v>845</v>
      </c>
      <c r="AU63" s="108">
        <v>497.66</v>
      </c>
      <c r="AV63" s="108">
        <v>630</v>
      </c>
      <c r="AW63" s="108">
        <v>1251.94</v>
      </c>
      <c r="AX63" s="116">
        <v>1015.91</v>
      </c>
      <c r="AY63" s="111">
        <v>724.34333333333325</v>
      </c>
      <c r="AZ63" s="107">
        <v>600.58481481481476</v>
      </c>
      <c r="BA63" s="107">
        <f t="shared" si="55"/>
        <v>938.18333333333339</v>
      </c>
      <c r="BB63" s="107">
        <f t="shared" si="55"/>
        <v>565.79</v>
      </c>
      <c r="BC63" s="107">
        <f t="shared" si="55"/>
        <v>605.27333333333331</v>
      </c>
      <c r="BD63" s="108">
        <f t="shared" si="55"/>
        <v>661.33</v>
      </c>
      <c r="BE63" s="108">
        <f t="shared" si="55"/>
        <v>485.83</v>
      </c>
      <c r="BF63" s="108">
        <f t="shared" si="55"/>
        <v>680.83333333333337</v>
      </c>
      <c r="BG63" s="108">
        <f t="shared" si="55"/>
        <v>470.88666666666671</v>
      </c>
      <c r="BH63" s="108">
        <f t="shared" si="55"/>
        <v>695.85666666666668</v>
      </c>
      <c r="BI63" s="108">
        <f t="shared" si="55"/>
        <v>948.57666666666671</v>
      </c>
      <c r="BJ63" s="108">
        <f t="shared" si="55"/>
        <v>1001.2033333333333</v>
      </c>
      <c r="BK63" s="108">
        <f t="shared" si="55"/>
        <v>722.19111111111113</v>
      </c>
      <c r="BL63" s="108">
        <f t="shared" si="55"/>
        <v>637.37827160493828</v>
      </c>
      <c r="BM63" s="108">
        <f t="shared" si="56"/>
        <v>1068.6677777777779</v>
      </c>
      <c r="BN63" s="108">
        <f t="shared" si="56"/>
        <v>565.26333333333332</v>
      </c>
      <c r="BO63" s="108">
        <f t="shared" si="56"/>
        <v>582.72777777777776</v>
      </c>
      <c r="BP63" s="108">
        <f t="shared" si="56"/>
        <v>592.11</v>
      </c>
      <c r="BQ63" s="108">
        <f t="shared" si="56"/>
        <v>439.44</v>
      </c>
      <c r="BR63" s="108">
        <f t="shared" si="56"/>
        <v>757.77777777777783</v>
      </c>
      <c r="BS63" s="108">
        <f t="shared" si="56"/>
        <v>511.18222222222226</v>
      </c>
      <c r="BT63" s="108">
        <f t="shared" si="56"/>
        <v>655.28555555555556</v>
      </c>
      <c r="BU63" s="108">
        <f t="shared" si="56"/>
        <v>1041.4355555555555</v>
      </c>
      <c r="BV63" s="108">
        <f t="shared" si="56"/>
        <v>1024.2244444444443</v>
      </c>
      <c r="BW63" s="108">
        <f t="shared" si="56"/>
        <v>777.92148148148146</v>
      </c>
      <c r="BX63" s="108">
        <f t="shared" si="56"/>
        <v>641.5043621399177</v>
      </c>
      <c r="BY63" s="108">
        <f t="shared" si="57"/>
        <v>1098.517037037037</v>
      </c>
      <c r="BZ63" s="108">
        <f t="shared" si="57"/>
        <v>602.01777777777772</v>
      </c>
      <c r="CA63" s="108">
        <f t="shared" si="57"/>
        <v>581.00037037037043</v>
      </c>
      <c r="CB63" s="108">
        <f t="shared" si="57"/>
        <v>619.48</v>
      </c>
      <c r="CC63" s="108">
        <f t="shared" si="57"/>
        <v>453.42333333333335</v>
      </c>
      <c r="CD63" s="108">
        <f t="shared" si="57"/>
        <v>761.20370370370381</v>
      </c>
      <c r="CE63" s="108">
        <f t="shared" si="57"/>
        <v>493.24296296296302</v>
      </c>
      <c r="CF63" s="108">
        <f t="shared" si="57"/>
        <v>660.38074074074075</v>
      </c>
      <c r="CG63" s="108">
        <f t="shared" si="57"/>
        <v>1080.6507407407407</v>
      </c>
      <c r="CH63" s="108">
        <f t="shared" si="57"/>
        <v>1013.7792592592592</v>
      </c>
      <c r="CI63" s="108">
        <f t="shared" si="57"/>
        <v>741.48530864197528</v>
      </c>
      <c r="CJ63" s="108">
        <f t="shared" si="57"/>
        <v>626.48914951989025</v>
      </c>
      <c r="CK63" s="108">
        <f t="shared" si="57"/>
        <v>1035.1227160493827</v>
      </c>
      <c r="CL63" s="108">
        <f t="shared" si="57"/>
        <v>577.69037037037026</v>
      </c>
      <c r="CM63" s="108">
        <f t="shared" si="57"/>
        <v>589.66716049382728</v>
      </c>
      <c r="CN63" s="108">
        <f t="shared" si="57"/>
        <v>624.30666666666673</v>
      </c>
      <c r="CO63" s="108">
        <f t="shared" si="58"/>
        <v>459.56444444444446</v>
      </c>
      <c r="CP63" s="108">
        <f t="shared" si="58"/>
        <v>733.27160493827171</v>
      </c>
      <c r="CQ63" s="108">
        <f t="shared" si="58"/>
        <v>491.77061728395068</v>
      </c>
      <c r="CR63" s="108">
        <f t="shared" si="58"/>
        <v>670.50765432098763</v>
      </c>
      <c r="CS63" s="108">
        <f t="shared" si="58"/>
        <v>1023.5543209876543</v>
      </c>
      <c r="CT63" s="108">
        <f t="shared" si="58"/>
        <v>1013.0690123456789</v>
      </c>
      <c r="CU63" s="108">
        <f t="shared" si="58"/>
        <v>747.19930041152259</v>
      </c>
      <c r="CV63" s="108">
        <f t="shared" si="58"/>
        <v>635.12392775491537</v>
      </c>
      <c r="CW63" s="108">
        <f t="shared" si="58"/>
        <v>1067.435843621399</v>
      </c>
      <c r="CX63" s="108">
        <f t="shared" si="58"/>
        <v>581.65716049382706</v>
      </c>
      <c r="CY63" s="108">
        <f t="shared" si="58"/>
        <v>584.46510288065849</v>
      </c>
      <c r="CZ63" s="108">
        <f t="shared" si="58"/>
        <v>611.96555555555562</v>
      </c>
      <c r="DA63" s="108">
        <f t="shared" si="58"/>
        <v>450.80925925925931</v>
      </c>
      <c r="DB63" s="108">
        <f t="shared" si="58"/>
        <v>750.75102880658449</v>
      </c>
      <c r="DC63" s="108">
        <f t="shared" si="58"/>
        <v>498.73193415637866</v>
      </c>
      <c r="DD63" s="108">
        <f t="shared" si="58"/>
        <v>662.05798353909461</v>
      </c>
      <c r="DE63" s="108">
        <f t="shared" si="59"/>
        <v>1048.5468724279835</v>
      </c>
      <c r="DF63" s="108">
        <f t="shared" si="59"/>
        <v>1017.0242386831275</v>
      </c>
      <c r="DG63" s="108">
        <f t="shared" si="59"/>
        <v>755.53536351165974</v>
      </c>
      <c r="DH63" s="108">
        <f t="shared" si="59"/>
        <v>634.37247980490781</v>
      </c>
      <c r="DI63" s="108">
        <f t="shared" si="59"/>
        <v>1067.0251989026062</v>
      </c>
      <c r="DJ63" s="108">
        <f t="shared" si="59"/>
        <v>587.12176954732502</v>
      </c>
      <c r="DK63" s="108">
        <f t="shared" si="59"/>
        <v>585.04421124828548</v>
      </c>
      <c r="DL63" s="108">
        <f t="shared" si="59"/>
        <v>618.58407407407412</v>
      </c>
      <c r="DM63" s="108">
        <f t="shared" si="59"/>
        <v>454.59901234567906</v>
      </c>
      <c r="DN63" s="108">
        <f t="shared" si="59"/>
        <v>748.40877914952</v>
      </c>
      <c r="DO63" s="108">
        <f t="shared" si="59"/>
        <v>494.58183813443082</v>
      </c>
      <c r="DP63" s="108">
        <f t="shared" si="59"/>
        <v>664.31545953360762</v>
      </c>
      <c r="DQ63" s="108">
        <f t="shared" si="59"/>
        <v>1050.9173113854595</v>
      </c>
      <c r="DR63" s="108">
        <f t="shared" si="59"/>
        <v>1014.6241700960218</v>
      </c>
      <c r="DS63" s="108">
        <f t="shared" si="59"/>
        <v>748.07332418838587</v>
      </c>
      <c r="DT63" s="108">
        <f t="shared" si="59"/>
        <v>631.99518569323789</v>
      </c>
    </row>
    <row r="64" spans="1:124" s="127" customFormat="1" x14ac:dyDescent="0.25">
      <c r="A64" s="114" t="s">
        <v>263</v>
      </c>
      <c r="B64" s="155">
        <v>390</v>
      </c>
      <c r="C64" s="155">
        <v>390</v>
      </c>
      <c r="D64" s="155">
        <v>845</v>
      </c>
      <c r="E64" s="155">
        <v>715</v>
      </c>
      <c r="F64" s="155">
        <v>1170</v>
      </c>
      <c r="G64" s="155">
        <v>390</v>
      </c>
      <c r="H64" s="155">
        <v>715</v>
      </c>
      <c r="I64" s="155">
        <v>455</v>
      </c>
      <c r="J64" s="155">
        <v>975</v>
      </c>
      <c r="K64" s="155">
        <v>585</v>
      </c>
      <c r="L64" s="155">
        <v>650</v>
      </c>
      <c r="M64" s="155">
        <v>715</v>
      </c>
      <c r="N64" s="155">
        <v>910</v>
      </c>
      <c r="O64" s="155">
        <v>1235</v>
      </c>
      <c r="P64" s="155">
        <v>910</v>
      </c>
      <c r="Q64" s="155">
        <v>910</v>
      </c>
      <c r="R64" s="155">
        <v>845</v>
      </c>
      <c r="S64" s="155">
        <v>2080</v>
      </c>
      <c r="T64" s="155">
        <v>195</v>
      </c>
      <c r="U64" s="155">
        <v>65</v>
      </c>
      <c r="V64" s="155">
        <v>975</v>
      </c>
      <c r="W64" s="155">
        <v>650</v>
      </c>
      <c r="X64" s="155">
        <v>1560</v>
      </c>
      <c r="Y64" s="155">
        <v>455</v>
      </c>
      <c r="Z64" s="107">
        <v>455</v>
      </c>
      <c r="AA64" s="107">
        <v>780</v>
      </c>
      <c r="AB64" s="107">
        <v>390</v>
      </c>
      <c r="AC64" s="107">
        <v>780</v>
      </c>
      <c r="AD64" s="107">
        <v>845</v>
      </c>
      <c r="AE64" s="107">
        <v>845</v>
      </c>
      <c r="AF64" s="107">
        <v>845</v>
      </c>
      <c r="AG64" s="107">
        <v>845</v>
      </c>
      <c r="AH64" s="107">
        <v>966</v>
      </c>
      <c r="AI64" s="107">
        <v>260</v>
      </c>
      <c r="AJ64" s="107">
        <v>1560</v>
      </c>
      <c r="AK64" s="107">
        <v>585</v>
      </c>
      <c r="AL64" s="107"/>
      <c r="AM64" s="107"/>
      <c r="AN64" s="107"/>
      <c r="AO64" s="107">
        <v>1625</v>
      </c>
      <c r="AP64" s="107">
        <v>715</v>
      </c>
      <c r="AQ64" s="108">
        <v>1365</v>
      </c>
      <c r="AR64" s="108">
        <v>1300</v>
      </c>
      <c r="AS64" s="108">
        <v>1430</v>
      </c>
      <c r="AT64" s="108">
        <v>1560</v>
      </c>
      <c r="AU64" s="108">
        <v>780</v>
      </c>
      <c r="AV64" s="108">
        <v>390</v>
      </c>
      <c r="AW64" s="108">
        <v>1170</v>
      </c>
      <c r="AX64" s="116">
        <v>845</v>
      </c>
      <c r="AY64" s="111">
        <v>1077.4074074074074</v>
      </c>
      <c r="AZ64" s="107">
        <v>634.40740740740739</v>
      </c>
      <c r="BA64" s="107">
        <f t="shared" si="55"/>
        <v>975</v>
      </c>
      <c r="BB64" s="107">
        <f t="shared" si="55"/>
        <v>780</v>
      </c>
      <c r="BC64" s="107">
        <f t="shared" si="55"/>
        <v>1040</v>
      </c>
      <c r="BD64" s="108">
        <f t="shared" si="55"/>
        <v>975</v>
      </c>
      <c r="BE64" s="108">
        <f t="shared" si="55"/>
        <v>1148.3333333333333</v>
      </c>
      <c r="BF64" s="108">
        <f t="shared" si="55"/>
        <v>1343.3333333333333</v>
      </c>
      <c r="BG64" s="108">
        <f t="shared" si="55"/>
        <v>563.33333333333337</v>
      </c>
      <c r="BH64" s="108">
        <f t="shared" si="55"/>
        <v>303.33333333333331</v>
      </c>
      <c r="BI64" s="108">
        <f t="shared" si="55"/>
        <v>1040</v>
      </c>
      <c r="BJ64" s="108">
        <f t="shared" si="55"/>
        <v>693.33333333333337</v>
      </c>
      <c r="BK64" s="108">
        <f t="shared" si="55"/>
        <v>1095.8024691358025</v>
      </c>
      <c r="BL64" s="108">
        <f t="shared" si="55"/>
        <v>601.46913580246917</v>
      </c>
      <c r="BM64" s="108">
        <f t="shared" si="56"/>
        <v>1170</v>
      </c>
      <c r="BN64" s="108">
        <f t="shared" si="56"/>
        <v>910</v>
      </c>
      <c r="BO64" s="108">
        <f t="shared" si="56"/>
        <v>1105</v>
      </c>
      <c r="BP64" s="108">
        <f t="shared" si="56"/>
        <v>1061.6666666666667</v>
      </c>
      <c r="BQ64" s="108">
        <f t="shared" si="56"/>
        <v>1141.1111111111111</v>
      </c>
      <c r="BR64" s="108">
        <f t="shared" si="56"/>
        <v>1661.1111111111111</v>
      </c>
      <c r="BS64" s="108">
        <f t="shared" si="56"/>
        <v>512.77777777777783</v>
      </c>
      <c r="BT64" s="108">
        <f t="shared" si="56"/>
        <v>252.77777777777774</v>
      </c>
      <c r="BU64" s="108">
        <f t="shared" si="56"/>
        <v>1061.6666666666667</v>
      </c>
      <c r="BV64" s="108">
        <f t="shared" si="56"/>
        <v>729.44444444444446</v>
      </c>
      <c r="BW64" s="108">
        <f t="shared" si="56"/>
        <v>1244.4032921810701</v>
      </c>
      <c r="BX64" s="108">
        <f t="shared" si="56"/>
        <v>563.62551440329219</v>
      </c>
      <c r="BY64" s="108">
        <f t="shared" si="57"/>
        <v>1256.6666666666667</v>
      </c>
      <c r="BZ64" s="108">
        <f t="shared" si="57"/>
        <v>801.66666666666663</v>
      </c>
      <c r="CA64" s="108">
        <f t="shared" si="57"/>
        <v>1170</v>
      </c>
      <c r="CB64" s="108">
        <f t="shared" si="57"/>
        <v>1112.2222222222224</v>
      </c>
      <c r="CC64" s="108">
        <f t="shared" si="57"/>
        <v>1239.8148148148148</v>
      </c>
      <c r="CD64" s="108">
        <f t="shared" si="57"/>
        <v>1521.4814814814815</v>
      </c>
      <c r="CE64" s="108">
        <f t="shared" si="57"/>
        <v>618.70370370370381</v>
      </c>
      <c r="CF64" s="108">
        <f t="shared" si="57"/>
        <v>315.37037037037032</v>
      </c>
      <c r="CG64" s="108">
        <f t="shared" si="57"/>
        <v>1090.5555555555557</v>
      </c>
      <c r="CH64" s="108">
        <f t="shared" si="57"/>
        <v>755.92592592592598</v>
      </c>
      <c r="CI64" s="108">
        <f t="shared" si="57"/>
        <v>1139.2043895747602</v>
      </c>
      <c r="CJ64" s="108">
        <f t="shared" si="57"/>
        <v>599.83401920438962</v>
      </c>
      <c r="CK64" s="108">
        <f t="shared" si="57"/>
        <v>1133.8888888888889</v>
      </c>
      <c r="CL64" s="108">
        <f t="shared" si="57"/>
        <v>830.55555555555554</v>
      </c>
      <c r="CM64" s="108">
        <f t="shared" si="57"/>
        <v>1105</v>
      </c>
      <c r="CN64" s="108">
        <f t="shared" si="57"/>
        <v>1049.6296296296298</v>
      </c>
      <c r="CO64" s="108">
        <f t="shared" si="58"/>
        <v>1176.4197530864196</v>
      </c>
      <c r="CP64" s="108">
        <f t="shared" si="58"/>
        <v>1508.641975308642</v>
      </c>
      <c r="CQ64" s="108">
        <f t="shared" si="58"/>
        <v>564.93827160493845</v>
      </c>
      <c r="CR64" s="108">
        <f t="shared" si="58"/>
        <v>290.49382716049382</v>
      </c>
      <c r="CS64" s="108">
        <f t="shared" si="58"/>
        <v>1064.0740740740741</v>
      </c>
      <c r="CT64" s="108">
        <f t="shared" si="58"/>
        <v>726.23456790123464</v>
      </c>
      <c r="CU64" s="108">
        <f t="shared" si="58"/>
        <v>1159.8033836305442</v>
      </c>
      <c r="CV64" s="108">
        <f t="shared" si="58"/>
        <v>588.30955647005032</v>
      </c>
      <c r="CW64" s="108">
        <f t="shared" si="58"/>
        <v>1186.851851851852</v>
      </c>
      <c r="CX64" s="108">
        <f t="shared" si="58"/>
        <v>847.40740740740739</v>
      </c>
      <c r="CY64" s="108">
        <f t="shared" si="58"/>
        <v>1126.6666666666667</v>
      </c>
      <c r="CZ64" s="108">
        <f t="shared" si="58"/>
        <v>1074.5061728395065</v>
      </c>
      <c r="DA64" s="108">
        <f t="shared" si="58"/>
        <v>1185.7818930041151</v>
      </c>
      <c r="DB64" s="108">
        <f t="shared" si="58"/>
        <v>1563.7448559670781</v>
      </c>
      <c r="DC64" s="108">
        <f t="shared" si="58"/>
        <v>565.47325102880677</v>
      </c>
      <c r="DD64" s="108">
        <f t="shared" si="58"/>
        <v>286.21399176954725</v>
      </c>
      <c r="DE64" s="108">
        <f t="shared" si="59"/>
        <v>1072.0987654320988</v>
      </c>
      <c r="DF64" s="108">
        <f t="shared" si="59"/>
        <v>737.20164609053506</v>
      </c>
      <c r="DG64" s="108">
        <f t="shared" si="59"/>
        <v>1181.1370217954582</v>
      </c>
      <c r="DH64" s="108">
        <f t="shared" si="59"/>
        <v>583.92303002591063</v>
      </c>
      <c r="DI64" s="108">
        <f t="shared" si="59"/>
        <v>1192.4691358024693</v>
      </c>
      <c r="DJ64" s="108">
        <f t="shared" si="59"/>
        <v>826.54320987654319</v>
      </c>
      <c r="DK64" s="108">
        <f t="shared" si="59"/>
        <v>1133.8888888888889</v>
      </c>
      <c r="DL64" s="108">
        <f t="shared" si="59"/>
        <v>1078.786008230453</v>
      </c>
      <c r="DM64" s="108">
        <f t="shared" si="59"/>
        <v>1200.6721536351163</v>
      </c>
      <c r="DN64" s="108">
        <f t="shared" si="59"/>
        <v>1531.289437585734</v>
      </c>
      <c r="DO64" s="108">
        <f t="shared" si="59"/>
        <v>583.03840877914968</v>
      </c>
      <c r="DP64" s="108">
        <f t="shared" si="59"/>
        <v>297.35939643347047</v>
      </c>
      <c r="DQ64" s="108">
        <f t="shared" si="59"/>
        <v>1075.5761316872429</v>
      </c>
      <c r="DR64" s="108">
        <f t="shared" si="59"/>
        <v>739.7873799725653</v>
      </c>
      <c r="DS64" s="108">
        <f t="shared" si="59"/>
        <v>1160.0482650002541</v>
      </c>
      <c r="DT64" s="108">
        <f t="shared" si="59"/>
        <v>590.68886856678353</v>
      </c>
    </row>
    <row r="65" spans="1:124" s="127" customFormat="1" x14ac:dyDescent="0.25">
      <c r="A65" s="114" t="s">
        <v>280</v>
      </c>
      <c r="B65" s="155">
        <v>0</v>
      </c>
      <c r="C65" s="155">
        <v>0</v>
      </c>
      <c r="D65" s="155">
        <v>0</v>
      </c>
      <c r="E65" s="155">
        <v>0</v>
      </c>
      <c r="F65" s="155">
        <v>0</v>
      </c>
      <c r="G65" s="155">
        <v>0</v>
      </c>
      <c r="H65" s="155">
        <v>0</v>
      </c>
      <c r="I65" s="155">
        <v>0</v>
      </c>
      <c r="J65" s="155">
        <v>0</v>
      </c>
      <c r="K65" s="155">
        <v>0</v>
      </c>
      <c r="L65" s="155">
        <v>0</v>
      </c>
      <c r="M65" s="155">
        <v>0</v>
      </c>
      <c r="N65" s="155"/>
      <c r="O65" s="155"/>
      <c r="P65" s="155"/>
      <c r="Q65" s="155"/>
      <c r="R65" s="155"/>
      <c r="S65" s="155"/>
      <c r="T65" s="155"/>
      <c r="U65" s="155"/>
      <c r="V65" s="155">
        <v>24179</v>
      </c>
      <c r="W65" s="155">
        <v>0</v>
      </c>
      <c r="X65" s="155">
        <v>0</v>
      </c>
      <c r="Y65" s="155">
        <v>0</v>
      </c>
      <c r="Z65" s="136"/>
      <c r="AA65" s="136"/>
      <c r="AB65" s="136"/>
      <c r="AC65" s="136"/>
      <c r="AD65" s="136"/>
      <c r="AE65" s="136">
        <v>0</v>
      </c>
      <c r="AF65" s="136">
        <v>0</v>
      </c>
      <c r="AG65" s="136">
        <v>0</v>
      </c>
      <c r="AH65" s="136">
        <v>0</v>
      </c>
      <c r="AI65" s="136">
        <v>0</v>
      </c>
      <c r="AJ65" s="136">
        <v>0</v>
      </c>
      <c r="AK65" s="136">
        <v>0</v>
      </c>
      <c r="AL65" s="136"/>
      <c r="AM65" s="136"/>
      <c r="AN65" s="136"/>
      <c r="AO65" s="107">
        <v>0</v>
      </c>
      <c r="AP65" s="136">
        <v>0</v>
      </c>
      <c r="AQ65" s="108">
        <v>0</v>
      </c>
      <c r="AR65" s="108">
        <v>0</v>
      </c>
      <c r="AS65" s="108">
        <v>0</v>
      </c>
      <c r="AT65" s="108">
        <v>0</v>
      </c>
      <c r="AU65" s="108">
        <v>0</v>
      </c>
      <c r="AV65" s="108">
        <v>0</v>
      </c>
      <c r="AW65" s="108">
        <v>0</v>
      </c>
      <c r="AX65" s="116">
        <v>0</v>
      </c>
      <c r="AY65" s="139"/>
      <c r="AZ65" s="136"/>
      <c r="BA65" s="107">
        <f t="shared" si="55"/>
        <v>0</v>
      </c>
      <c r="BB65" s="107">
        <f t="shared" si="55"/>
        <v>0</v>
      </c>
      <c r="BC65" s="107">
        <f t="shared" si="55"/>
        <v>0</v>
      </c>
      <c r="BD65" s="108">
        <f t="shared" si="55"/>
        <v>0</v>
      </c>
      <c r="BE65" s="108">
        <f t="shared" si="55"/>
        <v>0</v>
      </c>
      <c r="BF65" s="108">
        <f t="shared" si="55"/>
        <v>0</v>
      </c>
      <c r="BG65" s="108">
        <f t="shared" si="55"/>
        <v>0</v>
      </c>
      <c r="BH65" s="108">
        <f t="shared" si="55"/>
        <v>0</v>
      </c>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c r="CG65" s="108"/>
      <c r="CH65" s="108"/>
      <c r="CI65" s="108"/>
      <c r="CJ65" s="108"/>
      <c r="CK65" s="108"/>
      <c r="CL65" s="108"/>
      <c r="CM65" s="108"/>
      <c r="CN65" s="108"/>
      <c r="CO65" s="108"/>
      <c r="CP65" s="108"/>
      <c r="CQ65" s="108"/>
      <c r="CR65" s="108"/>
      <c r="CS65" s="108"/>
      <c r="CT65" s="108"/>
      <c r="CU65" s="108"/>
      <c r="CV65" s="108"/>
      <c r="CW65" s="108"/>
      <c r="CX65" s="108"/>
      <c r="CY65" s="108"/>
      <c r="CZ65" s="108"/>
      <c r="DA65" s="108"/>
      <c r="DB65" s="108"/>
      <c r="DC65" s="108"/>
      <c r="DD65" s="108"/>
      <c r="DE65" s="108"/>
      <c r="DF65" s="108"/>
      <c r="DG65" s="108"/>
      <c r="DH65" s="108"/>
      <c r="DI65" s="108"/>
      <c r="DJ65" s="108"/>
      <c r="DK65" s="108"/>
      <c r="DL65" s="108"/>
      <c r="DM65" s="108"/>
      <c r="DN65" s="108"/>
      <c r="DO65" s="108"/>
      <c r="DP65" s="108"/>
      <c r="DQ65" s="108"/>
      <c r="DR65" s="108"/>
      <c r="DS65" s="108"/>
      <c r="DT65" s="108"/>
    </row>
    <row r="66" spans="1:124" s="127" customFormat="1" x14ac:dyDescent="0.25">
      <c r="A66" s="114" t="s">
        <v>265</v>
      </c>
      <c r="B66" s="155">
        <v>7239.21</v>
      </c>
      <c r="C66" s="155">
        <v>7239.21</v>
      </c>
      <c r="D66" s="155">
        <v>7239.21</v>
      </c>
      <c r="E66" s="155">
        <v>7239.21</v>
      </c>
      <c r="F66" s="155">
        <v>7239.21</v>
      </c>
      <c r="G66" s="155">
        <v>7021.35</v>
      </c>
      <c r="H66" s="155">
        <v>7203</v>
      </c>
      <c r="I66" s="155">
        <v>7202.9</v>
      </c>
      <c r="J66" s="155">
        <v>7202.9</v>
      </c>
      <c r="K66" s="155">
        <v>7202.9</v>
      </c>
      <c r="L66" s="155">
        <v>7202.9</v>
      </c>
      <c r="M66" s="155">
        <v>7202.9</v>
      </c>
      <c r="N66" s="155">
        <v>2959.13</v>
      </c>
      <c r="O66" s="155">
        <v>2959.13</v>
      </c>
      <c r="P66" s="155">
        <v>2959.13</v>
      </c>
      <c r="Q66" s="155">
        <v>-44386.95</v>
      </c>
      <c r="R66" s="155"/>
      <c r="S66" s="155"/>
      <c r="T66" s="155"/>
      <c r="U66" s="155"/>
      <c r="V66" s="155"/>
      <c r="W66" s="155"/>
      <c r="X66" s="155">
        <v>0</v>
      </c>
      <c r="Y66" s="155">
        <v>0</v>
      </c>
      <c r="Z66" s="136"/>
      <c r="AA66" s="136"/>
      <c r="AB66" s="136"/>
      <c r="AC66" s="136"/>
      <c r="AD66" s="136"/>
      <c r="AE66" s="136"/>
      <c r="AF66" s="136"/>
      <c r="AG66" s="136">
        <v>0</v>
      </c>
      <c r="AH66" s="136">
        <v>0</v>
      </c>
      <c r="AI66" s="136">
        <v>0</v>
      </c>
      <c r="AJ66" s="136">
        <v>0</v>
      </c>
      <c r="AK66" s="136">
        <v>0</v>
      </c>
      <c r="AL66" s="136"/>
      <c r="AM66" s="136"/>
      <c r="AN66" s="136"/>
      <c r="AO66" s="107">
        <v>0</v>
      </c>
      <c r="AP66" s="136">
        <v>0</v>
      </c>
      <c r="AQ66" s="108">
        <v>-67547.89</v>
      </c>
      <c r="AR66" s="108">
        <v>0</v>
      </c>
      <c r="AS66" s="108">
        <v>0</v>
      </c>
      <c r="AT66" s="108">
        <v>0</v>
      </c>
      <c r="AU66" s="108">
        <v>0</v>
      </c>
      <c r="AV66" s="108">
        <v>0</v>
      </c>
      <c r="AW66" s="108">
        <v>0</v>
      </c>
      <c r="AX66" s="116">
        <v>0</v>
      </c>
      <c r="AY66" s="139"/>
      <c r="AZ66" s="136"/>
      <c r="BA66" s="107"/>
      <c r="BB66" s="107"/>
      <c r="BC66" s="107"/>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c r="CG66" s="108"/>
      <c r="CH66" s="108"/>
      <c r="CI66" s="108"/>
      <c r="CJ66" s="108"/>
      <c r="CK66" s="108"/>
      <c r="CL66" s="108"/>
      <c r="CM66" s="108"/>
      <c r="CN66" s="108"/>
      <c r="CO66" s="108"/>
      <c r="CP66" s="108"/>
      <c r="CQ66" s="108"/>
      <c r="CR66" s="108"/>
      <c r="CS66" s="108"/>
      <c r="CT66" s="108"/>
      <c r="CU66" s="108"/>
      <c r="CV66" s="108"/>
      <c r="CW66" s="108"/>
      <c r="CX66" s="108"/>
      <c r="CY66" s="108"/>
      <c r="CZ66" s="108"/>
      <c r="DA66" s="108"/>
      <c r="DB66" s="108"/>
      <c r="DC66" s="108"/>
      <c r="DD66" s="108"/>
      <c r="DE66" s="108"/>
      <c r="DF66" s="108"/>
      <c r="DG66" s="108"/>
      <c r="DH66" s="108"/>
      <c r="DI66" s="108"/>
      <c r="DJ66" s="108"/>
      <c r="DK66" s="108"/>
      <c r="DL66" s="108"/>
      <c r="DM66" s="108"/>
      <c r="DN66" s="108"/>
      <c r="DO66" s="108"/>
      <c r="DP66" s="108"/>
      <c r="DQ66" s="108"/>
      <c r="DR66" s="108"/>
      <c r="DS66" s="108"/>
      <c r="DT66" s="108"/>
    </row>
    <row r="67" spans="1:124" s="127" customFormat="1" x14ac:dyDescent="0.25">
      <c r="A67" s="114" t="s">
        <v>266</v>
      </c>
      <c r="B67" s="155">
        <v>-566.79</v>
      </c>
      <c r="C67" s="155">
        <v>-566.79</v>
      </c>
      <c r="D67" s="155">
        <v>843.21</v>
      </c>
      <c r="E67" s="155">
        <v>843.21</v>
      </c>
      <c r="F67" s="155">
        <v>885.05</v>
      </c>
      <c r="G67" s="155">
        <v>843.21000000000276</v>
      </c>
      <c r="H67" s="155">
        <v>843.21</v>
      </c>
      <c r="I67" s="155">
        <v>843.21</v>
      </c>
      <c r="J67" s="155">
        <v>843.21</v>
      </c>
      <c r="K67" s="155">
        <v>843.21</v>
      </c>
      <c r="L67" s="155">
        <v>843.21</v>
      </c>
      <c r="M67" s="157">
        <v>7202.9</v>
      </c>
      <c r="N67" s="155">
        <v>7202.9</v>
      </c>
      <c r="O67" s="155">
        <v>7202.9</v>
      </c>
      <c r="P67" s="155">
        <v>7202.9</v>
      </c>
      <c r="Q67" s="157">
        <v>7202.9</v>
      </c>
      <c r="R67" s="155">
        <v>8456.35</v>
      </c>
      <c r="S67" s="155">
        <v>8456.33</v>
      </c>
      <c r="T67" s="155">
        <v>8456.35</v>
      </c>
      <c r="U67" s="155">
        <v>8456.35</v>
      </c>
      <c r="V67" s="155">
        <v>8456.35</v>
      </c>
      <c r="W67" s="155">
        <v>8456.35</v>
      </c>
      <c r="X67" s="155">
        <v>8456.35</v>
      </c>
      <c r="Y67" s="155">
        <v>9566.3700000000008</v>
      </c>
      <c r="Z67" s="107">
        <v>12955.130000000001</v>
      </c>
      <c r="AA67" s="107">
        <v>12955.130000000001</v>
      </c>
      <c r="AB67" s="107">
        <v>12955.130000000001</v>
      </c>
      <c r="AC67" s="107">
        <v>12955.130000000001</v>
      </c>
      <c r="AD67" s="107">
        <v>12955.130000000001</v>
      </c>
      <c r="AE67" s="107">
        <v>12955.130000000001</v>
      </c>
      <c r="AF67" s="107">
        <v>12955.130000000001</v>
      </c>
      <c r="AG67" s="107">
        <v>15263.37</v>
      </c>
      <c r="AH67" s="107">
        <v>13243.38</v>
      </c>
      <c r="AI67" s="107">
        <v>8837.3799999999992</v>
      </c>
      <c r="AJ67" s="107">
        <v>12315.38</v>
      </c>
      <c r="AK67" s="107">
        <v>10576.3</v>
      </c>
      <c r="AL67" s="107"/>
      <c r="AM67" s="107"/>
      <c r="AN67" s="107"/>
      <c r="AO67" s="135">
        <v>12266.18</v>
      </c>
      <c r="AP67" s="107">
        <v>17338.830000000002</v>
      </c>
      <c r="AQ67" s="108">
        <v>13933.039999999999</v>
      </c>
      <c r="AR67" s="108">
        <v>13933.039999999999</v>
      </c>
      <c r="AS67" s="108">
        <v>32420.689999999995</v>
      </c>
      <c r="AT67" s="108">
        <v>13933.039999999999</v>
      </c>
      <c r="AU67" s="108">
        <v>13933.039999999999</v>
      </c>
      <c r="AV67" s="108">
        <v>13933.039999999999</v>
      </c>
      <c r="AW67" s="108">
        <v>35852.36</v>
      </c>
      <c r="AX67" s="116">
        <v>13933.039999999999</v>
      </c>
      <c r="AY67" s="111">
        <v>12955.130000000001</v>
      </c>
      <c r="AZ67" s="107">
        <v>12955.130000000001</v>
      </c>
      <c r="BA67" s="135">
        <v>12953.13</v>
      </c>
      <c r="BB67" s="135">
        <v>12954.13</v>
      </c>
      <c r="BC67" s="135">
        <v>12955.130000000001</v>
      </c>
      <c r="BD67" s="108">
        <v>12955.130000000001</v>
      </c>
      <c r="BE67" s="108">
        <v>12955.130000000001</v>
      </c>
      <c r="BF67" s="108">
        <v>12955.130000000001</v>
      </c>
      <c r="BG67" s="108">
        <v>12955.130000000001</v>
      </c>
      <c r="BH67" s="108">
        <v>12955.130000000001</v>
      </c>
      <c r="BI67" s="108">
        <v>12955.130000000001</v>
      </c>
      <c r="BJ67" s="108">
        <v>12955.130000000001</v>
      </c>
      <c r="BK67" s="108">
        <v>12955.130000000001</v>
      </c>
      <c r="BL67" s="108">
        <v>12955.130000000001</v>
      </c>
      <c r="BM67" s="108">
        <v>12955.130000000001</v>
      </c>
      <c r="BN67" s="108">
        <v>12955.130000000001</v>
      </c>
      <c r="BO67" s="108">
        <v>12955.130000000001</v>
      </c>
      <c r="BP67" s="108">
        <v>12955.130000000001</v>
      </c>
      <c r="BQ67" s="108">
        <v>12955.130000000001</v>
      </c>
      <c r="BR67" s="108">
        <v>12955.130000000001</v>
      </c>
      <c r="BS67" s="108">
        <v>12955.130000000001</v>
      </c>
      <c r="BT67" s="108">
        <v>12955.130000000001</v>
      </c>
      <c r="BU67" s="108">
        <v>12955.130000000001</v>
      </c>
      <c r="BV67" s="108">
        <v>12955.130000000001</v>
      </c>
      <c r="BW67" s="108">
        <v>12955.130000000001</v>
      </c>
      <c r="BX67" s="108">
        <v>12955.130000000001</v>
      </c>
      <c r="BY67" s="108">
        <v>12955.130000000001</v>
      </c>
      <c r="BZ67" s="108">
        <v>12955.130000000001</v>
      </c>
      <c r="CA67" s="108">
        <v>12955.130000000001</v>
      </c>
      <c r="CB67" s="108">
        <v>12955.130000000001</v>
      </c>
      <c r="CC67" s="108">
        <v>12955.130000000001</v>
      </c>
      <c r="CD67" s="108">
        <v>12955.130000000001</v>
      </c>
      <c r="CE67" s="108">
        <v>12955.130000000001</v>
      </c>
      <c r="CF67" s="108">
        <v>12955.130000000001</v>
      </c>
      <c r="CG67" s="108">
        <v>12955.130000000001</v>
      </c>
      <c r="CH67" s="108">
        <v>12955.130000000001</v>
      </c>
      <c r="CI67" s="108">
        <v>12955.130000000001</v>
      </c>
      <c r="CJ67" s="108">
        <v>12955.130000000001</v>
      </c>
      <c r="CK67" s="108">
        <v>12955.130000000001</v>
      </c>
      <c r="CL67" s="108">
        <v>12955.130000000001</v>
      </c>
      <c r="CM67" s="108">
        <v>12955.130000000001</v>
      </c>
      <c r="CN67" s="108">
        <v>12955.130000000001</v>
      </c>
      <c r="CO67" s="108">
        <v>12955.130000000001</v>
      </c>
      <c r="CP67" s="108">
        <v>12955.130000000001</v>
      </c>
      <c r="CQ67" s="108">
        <v>12955.130000000001</v>
      </c>
      <c r="CR67" s="108">
        <v>12955.130000000001</v>
      </c>
      <c r="CS67" s="108">
        <v>12955.130000000001</v>
      </c>
      <c r="CT67" s="108">
        <v>12955.130000000001</v>
      </c>
      <c r="CU67" s="108">
        <v>12955.130000000001</v>
      </c>
      <c r="CV67" s="108">
        <v>12955.130000000001</v>
      </c>
      <c r="CW67" s="108">
        <v>12955.130000000001</v>
      </c>
      <c r="CX67" s="108">
        <v>12955.130000000001</v>
      </c>
      <c r="CY67" s="108">
        <v>12955.130000000001</v>
      </c>
      <c r="CZ67" s="108">
        <v>12955.130000000001</v>
      </c>
      <c r="DA67" s="108">
        <v>12955.130000000001</v>
      </c>
      <c r="DB67" s="108">
        <v>12955.130000000001</v>
      </c>
      <c r="DC67" s="108">
        <v>12955.130000000001</v>
      </c>
      <c r="DD67" s="108">
        <v>12955.130000000001</v>
      </c>
      <c r="DE67" s="108">
        <v>12955.130000000001</v>
      </c>
      <c r="DF67" s="108">
        <v>12955.130000000001</v>
      </c>
      <c r="DG67" s="108">
        <v>12955.130000000001</v>
      </c>
      <c r="DH67" s="108">
        <v>12955.130000000001</v>
      </c>
      <c r="DI67" s="108">
        <v>12955.130000000001</v>
      </c>
      <c r="DJ67" s="108">
        <v>12955.130000000001</v>
      </c>
      <c r="DK67" s="108">
        <v>12955.130000000001</v>
      </c>
      <c r="DL67" s="108">
        <v>12955.130000000001</v>
      </c>
      <c r="DM67" s="108">
        <v>12955.130000000001</v>
      </c>
      <c r="DN67" s="108">
        <v>12955.130000000001</v>
      </c>
      <c r="DO67" s="108">
        <v>12955.130000000001</v>
      </c>
      <c r="DP67" s="108">
        <v>12955.130000000001</v>
      </c>
      <c r="DQ67" s="108">
        <v>12955.130000000001</v>
      </c>
      <c r="DR67" s="108">
        <v>12955.130000000001</v>
      </c>
      <c r="DS67" s="108">
        <v>12955.130000000001</v>
      </c>
      <c r="DT67" s="108">
        <v>12955.130000000001</v>
      </c>
    </row>
    <row r="68" spans="1:124" s="127" customFormat="1" x14ac:dyDescent="0.25">
      <c r="A68" s="113" t="s">
        <v>267</v>
      </c>
      <c r="B68" s="158">
        <f>SUM(B57:B67)</f>
        <v>29288.149999999994</v>
      </c>
      <c r="C68" s="158">
        <f t="shared" ref="C68:Y68" si="60">SUM(C57:C67)</f>
        <v>25206.069999999996</v>
      </c>
      <c r="D68" s="158">
        <f t="shared" si="60"/>
        <v>30199.599999999999</v>
      </c>
      <c r="E68" s="158">
        <f t="shared" si="60"/>
        <v>27583.69</v>
      </c>
      <c r="F68" s="158">
        <f t="shared" si="60"/>
        <v>28966.03</v>
      </c>
      <c r="G68" s="158">
        <f t="shared" si="60"/>
        <v>28048.560000000001</v>
      </c>
      <c r="H68" s="158">
        <f t="shared" si="60"/>
        <v>29016.21</v>
      </c>
      <c r="I68" s="158">
        <f t="shared" si="60"/>
        <v>30225.699999999997</v>
      </c>
      <c r="J68" s="158">
        <f t="shared" si="60"/>
        <v>31357.299999999996</v>
      </c>
      <c r="K68" s="158">
        <f t="shared" si="60"/>
        <v>33964.189999999995</v>
      </c>
      <c r="L68" s="158">
        <f t="shared" si="60"/>
        <v>32877.040000000001</v>
      </c>
      <c r="M68" s="158">
        <f t="shared" si="60"/>
        <v>34959.440000000002</v>
      </c>
      <c r="N68" s="158">
        <f t="shared" si="60"/>
        <v>33510.22</v>
      </c>
      <c r="O68" s="158">
        <f t="shared" si="60"/>
        <v>33736.370000000003</v>
      </c>
      <c r="P68" s="158">
        <f t="shared" si="60"/>
        <v>27768.230000000003</v>
      </c>
      <c r="Q68" s="158">
        <f t="shared" si="60"/>
        <v>-17232.189999999995</v>
      </c>
      <c r="R68" s="158">
        <f t="shared" si="60"/>
        <v>25813.14</v>
      </c>
      <c r="S68" s="158">
        <f t="shared" si="60"/>
        <v>32429.840000000004</v>
      </c>
      <c r="T68" s="158">
        <f t="shared" si="60"/>
        <v>29667.57</v>
      </c>
      <c r="U68" s="158">
        <f t="shared" si="60"/>
        <v>28704.18</v>
      </c>
      <c r="V68" s="158">
        <f t="shared" si="60"/>
        <v>58226.23</v>
      </c>
      <c r="W68" s="158">
        <f t="shared" si="60"/>
        <v>30711.75</v>
      </c>
      <c r="X68" s="158">
        <f t="shared" si="60"/>
        <v>29283.85</v>
      </c>
      <c r="Y68" s="158">
        <f t="shared" si="60"/>
        <v>33819.22</v>
      </c>
      <c r="Z68" s="158">
        <f>SUM(Z57:Z67)</f>
        <v>32074.780000000002</v>
      </c>
      <c r="AA68" s="158">
        <f t="shared" ref="AA68:CL68" si="61">SUM(AA57:AA67)</f>
        <v>33515.270000000004</v>
      </c>
      <c r="AB68" s="158">
        <f t="shared" si="61"/>
        <v>29666.920000000002</v>
      </c>
      <c r="AC68" s="158">
        <f t="shared" si="61"/>
        <v>35780.11</v>
      </c>
      <c r="AD68" s="158">
        <f t="shared" si="61"/>
        <v>31516.19</v>
      </c>
      <c r="AE68" s="158">
        <f t="shared" si="61"/>
        <v>31516.19</v>
      </c>
      <c r="AF68" s="158">
        <f t="shared" si="61"/>
        <v>31516.19</v>
      </c>
      <c r="AG68" s="158">
        <f t="shared" si="61"/>
        <v>40032.269999999997</v>
      </c>
      <c r="AH68" s="158">
        <f t="shared" si="61"/>
        <v>33231.15</v>
      </c>
      <c r="AI68" s="158">
        <f t="shared" si="61"/>
        <v>28268.33</v>
      </c>
      <c r="AJ68" s="158">
        <f t="shared" si="61"/>
        <v>33868.949999999997</v>
      </c>
      <c r="AK68" s="158">
        <f t="shared" si="61"/>
        <v>33246.22</v>
      </c>
      <c r="AL68" s="158"/>
      <c r="AM68" s="158"/>
      <c r="AN68" s="158"/>
      <c r="AO68" s="158">
        <f t="shared" si="61"/>
        <v>33979.64</v>
      </c>
      <c r="AP68" s="158">
        <f t="shared" si="61"/>
        <v>37128.990000000005</v>
      </c>
      <c r="AQ68" s="158">
        <f t="shared" si="61"/>
        <v>-31299.89</v>
      </c>
      <c r="AR68" s="158">
        <f t="shared" si="61"/>
        <v>37684.799999999996</v>
      </c>
      <c r="AS68" s="158">
        <f t="shared" si="61"/>
        <v>59952.069999999992</v>
      </c>
      <c r="AT68" s="158">
        <f t="shared" si="61"/>
        <v>39121.909999999996</v>
      </c>
      <c r="AU68" s="158">
        <f t="shared" si="61"/>
        <v>36485.119999999995</v>
      </c>
      <c r="AV68" s="158">
        <f t="shared" si="61"/>
        <v>30096.21</v>
      </c>
      <c r="AW68" s="158">
        <f t="shared" si="61"/>
        <v>62253.929999999993</v>
      </c>
      <c r="AX68" s="159">
        <f t="shared" si="61"/>
        <v>41967.86</v>
      </c>
      <c r="AY68" s="160">
        <f t="shared" si="61"/>
        <v>36245.135555555556</v>
      </c>
      <c r="AZ68" s="158">
        <f t="shared" si="61"/>
        <v>35054.071111111116</v>
      </c>
      <c r="BA68" s="158">
        <f t="shared" si="61"/>
        <v>35512.256666666661</v>
      </c>
      <c r="BB68" s="158">
        <f t="shared" si="61"/>
        <v>33586.846666666665</v>
      </c>
      <c r="BC68" s="158">
        <f t="shared" si="61"/>
        <v>33634.576666666675</v>
      </c>
      <c r="BD68" s="158">
        <f t="shared" si="61"/>
        <v>34023.426666666666</v>
      </c>
      <c r="BE68" s="158">
        <f t="shared" si="61"/>
        <v>35409.11</v>
      </c>
      <c r="BF68" s="158">
        <f t="shared" si="61"/>
        <v>36070.589999999997</v>
      </c>
      <c r="BG68" s="158">
        <f t="shared" si="61"/>
        <v>34532.896666666667</v>
      </c>
      <c r="BH68" s="158">
        <f t="shared" si="61"/>
        <v>32485.326666666668</v>
      </c>
      <c r="BI68" s="158">
        <f t="shared" si="61"/>
        <v>38056.343333333331</v>
      </c>
      <c r="BJ68" s="158">
        <f t="shared" si="61"/>
        <v>38357.896666666667</v>
      </c>
      <c r="BK68" s="158">
        <f t="shared" si="61"/>
        <v>35937.941851851851</v>
      </c>
      <c r="BL68" s="158">
        <f t="shared" si="61"/>
        <v>35256.940370370372</v>
      </c>
      <c r="BM68" s="158">
        <f t="shared" si="61"/>
        <v>35495.388888888883</v>
      </c>
      <c r="BN68" s="158">
        <f t="shared" si="61"/>
        <v>34287.535555555558</v>
      </c>
      <c r="BO68" s="158">
        <f t="shared" si="61"/>
        <v>33155.33222222222</v>
      </c>
      <c r="BP68" s="158">
        <f t="shared" si="61"/>
        <v>34545.768888888895</v>
      </c>
      <c r="BQ68" s="158">
        <f t="shared" si="61"/>
        <v>35965.179999999993</v>
      </c>
      <c r="BR68" s="158">
        <f t="shared" si="61"/>
        <v>37047.743333333332</v>
      </c>
      <c r="BS68" s="158">
        <f t="shared" si="61"/>
        <v>34735.485555555555</v>
      </c>
      <c r="BT68" s="158">
        <f t="shared" si="61"/>
        <v>31602.195555555554</v>
      </c>
      <c r="BU68" s="158">
        <f t="shared" si="61"/>
        <v>38653.017777777779</v>
      </c>
      <c r="BV68" s="158">
        <f t="shared" si="61"/>
        <v>38186.125555555554</v>
      </c>
      <c r="BW68" s="158">
        <f t="shared" si="61"/>
        <v>35321.902469135806</v>
      </c>
      <c r="BX68" s="158">
        <f t="shared" si="61"/>
        <v>35839.663827160497</v>
      </c>
      <c r="BY68" s="158">
        <f t="shared" si="61"/>
        <v>35226.078518518523</v>
      </c>
      <c r="BZ68" s="158">
        <f t="shared" si="61"/>
        <v>33540.224074074082</v>
      </c>
      <c r="CA68" s="158">
        <f t="shared" si="61"/>
        <v>34019.99962962963</v>
      </c>
      <c r="CB68" s="158">
        <f t="shared" si="61"/>
        <v>35092.02851851852</v>
      </c>
      <c r="CC68" s="158">
        <f t="shared" si="61"/>
        <v>37286.933333333334</v>
      </c>
      <c r="CD68" s="158">
        <f t="shared" si="61"/>
        <v>37087.444444444445</v>
      </c>
      <c r="CE68" s="158">
        <f t="shared" si="61"/>
        <v>34925.19740740741</v>
      </c>
      <c r="CF68" s="158">
        <f t="shared" si="61"/>
        <v>31068.607407407409</v>
      </c>
      <c r="CG68" s="158">
        <f t="shared" si="61"/>
        <v>38688.687037037038</v>
      </c>
      <c r="CH68" s="158">
        <f t="shared" si="61"/>
        <v>39177.990740740745</v>
      </c>
      <c r="CI68" s="158">
        <f t="shared" si="61"/>
        <v>35834.993292181069</v>
      </c>
      <c r="CJ68" s="158">
        <f t="shared" si="61"/>
        <v>35383.558436213993</v>
      </c>
      <c r="CK68" s="158">
        <f t="shared" si="61"/>
        <v>35411.908024691358</v>
      </c>
      <c r="CL68" s="158">
        <f t="shared" si="61"/>
        <v>33805.202098765432</v>
      </c>
      <c r="CM68" s="158">
        <f t="shared" ref="CM68:DT68" si="62">SUM(CM57:CM67)</f>
        <v>33603.302839506177</v>
      </c>
      <c r="CN68" s="158">
        <f t="shared" si="62"/>
        <v>34553.741358024694</v>
      </c>
      <c r="CO68" s="158">
        <f t="shared" si="62"/>
        <v>36220.407777777771</v>
      </c>
      <c r="CP68" s="158">
        <f t="shared" si="62"/>
        <v>36735.259259259263</v>
      </c>
      <c r="CQ68" s="158">
        <f t="shared" si="62"/>
        <v>34731.193209876539</v>
      </c>
      <c r="CR68" s="158">
        <f t="shared" si="62"/>
        <v>31718.709876543213</v>
      </c>
      <c r="CS68" s="158">
        <f t="shared" si="62"/>
        <v>38466.016049382713</v>
      </c>
      <c r="CT68" s="158">
        <f t="shared" si="62"/>
        <v>38574.00432098766</v>
      </c>
      <c r="CU68" s="158">
        <f t="shared" si="62"/>
        <v>35698.279204389575</v>
      </c>
      <c r="CV68" s="158">
        <f t="shared" si="62"/>
        <v>35493.387544581623</v>
      </c>
      <c r="CW68" s="158">
        <f t="shared" si="62"/>
        <v>35377.791810699586</v>
      </c>
      <c r="CX68" s="158">
        <f t="shared" si="62"/>
        <v>33877.653909465022</v>
      </c>
      <c r="CY68" s="158">
        <f t="shared" si="62"/>
        <v>33592.878230452669</v>
      </c>
      <c r="CZ68" s="158">
        <f t="shared" si="62"/>
        <v>34730.512921810696</v>
      </c>
      <c r="DA68" s="158">
        <f t="shared" si="62"/>
        <v>36490.840370370366</v>
      </c>
      <c r="DB68" s="158">
        <f t="shared" si="62"/>
        <v>36956.815679012347</v>
      </c>
      <c r="DC68" s="158">
        <f t="shared" si="62"/>
        <v>34797.292057613173</v>
      </c>
      <c r="DD68" s="158">
        <f t="shared" si="62"/>
        <v>31463.170946502061</v>
      </c>
      <c r="DE68" s="158">
        <f t="shared" si="62"/>
        <v>38602.573621399177</v>
      </c>
      <c r="DF68" s="158">
        <f t="shared" si="62"/>
        <v>38646.040205761317</v>
      </c>
      <c r="DG68" s="158">
        <f t="shared" si="62"/>
        <v>35618.391655235479</v>
      </c>
      <c r="DH68" s="158">
        <f t="shared" si="62"/>
        <v>35572.203269318707</v>
      </c>
      <c r="DI68" s="158">
        <f t="shared" si="62"/>
        <v>35338.592784636487</v>
      </c>
      <c r="DJ68" s="158">
        <f t="shared" si="62"/>
        <v>33741.0266941015</v>
      </c>
      <c r="DK68" s="158">
        <f t="shared" si="62"/>
        <v>33738.726899862828</v>
      </c>
      <c r="DL68" s="158">
        <f t="shared" si="62"/>
        <v>34792.094266117972</v>
      </c>
      <c r="DM68" s="158">
        <f t="shared" si="62"/>
        <v>36666.060493827164</v>
      </c>
      <c r="DN68" s="158">
        <f t="shared" si="62"/>
        <v>36926.506460905352</v>
      </c>
      <c r="DO68" s="158">
        <f t="shared" si="62"/>
        <v>34817.894224965705</v>
      </c>
      <c r="DP68" s="158">
        <f t="shared" si="62"/>
        <v>31416.829410150891</v>
      </c>
      <c r="DQ68" s="158">
        <f t="shared" si="62"/>
        <v>38585.758902606307</v>
      </c>
      <c r="DR68" s="158">
        <f t="shared" si="62"/>
        <v>38799.345089163238</v>
      </c>
      <c r="DS68" s="158">
        <f t="shared" si="62"/>
        <v>35717.221383935379</v>
      </c>
      <c r="DT68" s="158">
        <f t="shared" si="62"/>
        <v>35483.049750038103</v>
      </c>
    </row>
    <row r="69" spans="1:124" s="127" customFormat="1" x14ac:dyDescent="0.25">
      <c r="A69" s="121"/>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36"/>
      <c r="AA69" s="136"/>
      <c r="AB69" s="136"/>
      <c r="AC69" s="136"/>
      <c r="AD69" s="136"/>
      <c r="AE69" s="136"/>
      <c r="AF69" s="136"/>
      <c r="AG69" s="136"/>
      <c r="AH69" s="136"/>
      <c r="AI69" s="136"/>
      <c r="AJ69" s="136"/>
      <c r="AK69" s="136"/>
      <c r="AL69" s="136"/>
      <c r="AM69" s="136"/>
      <c r="AN69" s="136"/>
      <c r="AO69" s="136"/>
      <c r="AP69" s="137"/>
      <c r="AQ69" s="137"/>
      <c r="AR69" s="137"/>
      <c r="AS69" s="137"/>
      <c r="AT69" s="137"/>
      <c r="AU69" s="137"/>
      <c r="AV69" s="137"/>
      <c r="AW69" s="137"/>
      <c r="AX69" s="138"/>
      <c r="AY69" s="139"/>
      <c r="AZ69" s="136"/>
      <c r="BA69" s="136"/>
      <c r="BB69" s="136"/>
      <c r="BC69" s="136"/>
      <c r="BD69" s="137"/>
      <c r="BE69" s="137"/>
      <c r="BF69" s="137"/>
      <c r="BG69" s="137"/>
      <c r="BH69" s="137"/>
      <c r="BI69" s="137"/>
      <c r="BJ69" s="137"/>
      <c r="BK69" s="137"/>
      <c r="BL69" s="137"/>
      <c r="BM69" s="137"/>
      <c r="BN69" s="137"/>
      <c r="BO69" s="137"/>
      <c r="BP69" s="137"/>
      <c r="BQ69" s="137"/>
      <c r="BR69" s="137"/>
      <c r="BS69" s="137"/>
      <c r="BT69" s="137"/>
      <c r="BU69" s="137"/>
      <c r="BV69" s="137"/>
      <c r="BW69" s="137"/>
      <c r="BX69" s="137"/>
      <c r="BY69" s="137"/>
      <c r="BZ69" s="137"/>
      <c r="CA69" s="137"/>
      <c r="CB69" s="137"/>
      <c r="CC69" s="137"/>
      <c r="CD69" s="137"/>
      <c r="CE69" s="137"/>
      <c r="CF69" s="137"/>
      <c r="CG69" s="137"/>
      <c r="CH69" s="137"/>
      <c r="CI69" s="137"/>
      <c r="CJ69" s="137"/>
      <c r="CK69" s="137"/>
      <c r="CL69" s="137"/>
      <c r="CM69" s="137"/>
      <c r="CN69" s="137"/>
      <c r="CO69" s="137"/>
      <c r="CP69" s="137"/>
      <c r="CQ69" s="137"/>
      <c r="CR69" s="137"/>
      <c r="CS69" s="137"/>
      <c r="CT69" s="137"/>
      <c r="CU69" s="137"/>
      <c r="CV69" s="137"/>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row>
    <row r="70" spans="1:124" s="112" customFormat="1" x14ac:dyDescent="0.25">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07"/>
      <c r="AA70" s="107"/>
      <c r="AB70" s="107"/>
      <c r="AC70" s="107"/>
      <c r="AD70" s="107"/>
      <c r="AE70" s="107"/>
      <c r="AF70" s="107"/>
      <c r="AG70" s="107"/>
      <c r="AH70" s="107"/>
      <c r="AI70" s="107"/>
      <c r="AJ70" s="107"/>
      <c r="AK70" s="107"/>
      <c r="AL70" s="107"/>
      <c r="AM70" s="107"/>
      <c r="AN70" s="107"/>
      <c r="AO70" s="107"/>
      <c r="AP70" s="108"/>
      <c r="AQ70" s="108"/>
      <c r="AR70" s="108"/>
      <c r="AS70" s="108"/>
      <c r="AT70" s="108"/>
      <c r="AU70" s="108"/>
      <c r="AV70" s="108"/>
      <c r="AW70" s="108"/>
      <c r="AX70" s="116"/>
      <c r="AY70" s="111"/>
      <c r="AZ70" s="107"/>
      <c r="BA70" s="107"/>
      <c r="BB70" s="107"/>
      <c r="BC70" s="107"/>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108"/>
      <c r="DE70" s="108"/>
      <c r="DF70" s="108"/>
      <c r="DG70" s="108"/>
      <c r="DH70" s="108"/>
      <c r="DI70" s="108"/>
      <c r="DJ70" s="108"/>
      <c r="DK70" s="108"/>
      <c r="DL70" s="108"/>
      <c r="DM70" s="108"/>
      <c r="DN70" s="108"/>
      <c r="DO70" s="108"/>
      <c r="DP70" s="108"/>
      <c r="DQ70" s="108"/>
      <c r="DR70" s="108"/>
      <c r="DS70" s="108"/>
      <c r="DT70" s="108"/>
    </row>
    <row r="71" spans="1:124" s="112" customFormat="1" x14ac:dyDescent="0.25">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07"/>
      <c r="AA71" s="107"/>
      <c r="AB71" s="107"/>
      <c r="AC71" s="107"/>
      <c r="AD71" s="107"/>
      <c r="AE71" s="107"/>
      <c r="AF71" s="107"/>
      <c r="AG71" s="107"/>
      <c r="AH71" s="107"/>
      <c r="AI71" s="107"/>
      <c r="AJ71" s="107"/>
      <c r="AK71" s="107"/>
      <c r="AL71" s="107" t="s">
        <v>281</v>
      </c>
      <c r="AM71" s="107" t="s">
        <v>282</v>
      </c>
      <c r="AN71" s="107" t="s">
        <v>283</v>
      </c>
      <c r="AO71" s="107"/>
      <c r="AP71" s="108"/>
      <c r="AQ71" s="108"/>
      <c r="AR71" s="108"/>
      <c r="AS71" s="108"/>
      <c r="AT71" s="108"/>
      <c r="AU71" s="108"/>
      <c r="AV71" s="108"/>
      <c r="AW71" s="108"/>
      <c r="AX71" s="116"/>
      <c r="AY71" s="111"/>
      <c r="AZ71" s="107"/>
      <c r="BA71" s="107"/>
      <c r="BB71" s="107"/>
      <c r="BC71" s="107"/>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108"/>
      <c r="DE71" s="108"/>
      <c r="DF71" s="108"/>
      <c r="DG71" s="108"/>
      <c r="DH71" s="108"/>
      <c r="DI71" s="108"/>
      <c r="DJ71" s="108"/>
      <c r="DK71" s="108"/>
      <c r="DL71" s="108"/>
      <c r="DM71" s="108"/>
      <c r="DN71" s="108"/>
      <c r="DO71" s="108"/>
      <c r="DP71" s="108"/>
      <c r="DQ71" s="108"/>
      <c r="DR71" s="108"/>
      <c r="DS71" s="108"/>
      <c r="DT71" s="108"/>
    </row>
    <row r="72" spans="1:124" s="112" customFormat="1" x14ac:dyDescent="0.25">
      <c r="A72" s="113" t="s">
        <v>284</v>
      </c>
      <c r="B72" s="113"/>
      <c r="C72" s="113"/>
      <c r="D72" s="113"/>
      <c r="E72" s="113"/>
      <c r="F72" s="113"/>
      <c r="G72" s="113"/>
      <c r="H72" s="113"/>
      <c r="I72" s="113"/>
      <c r="J72" s="113"/>
      <c r="K72" s="113"/>
      <c r="L72" s="113"/>
      <c r="M72" s="113"/>
      <c r="N72" s="113"/>
      <c r="O72" s="113"/>
      <c r="P72" s="113"/>
      <c r="Q72" s="113"/>
      <c r="R72" s="113"/>
      <c r="S72" s="113"/>
      <c r="T72" s="113"/>
      <c r="U72" s="113"/>
      <c r="V72" s="113"/>
      <c r="W72" s="113"/>
      <c r="X72" s="113"/>
      <c r="Y72" s="113"/>
      <c r="Z72" s="107"/>
      <c r="AA72" s="107"/>
      <c r="AB72" s="107"/>
      <c r="AC72" s="107"/>
      <c r="AD72" s="107"/>
      <c r="AE72" s="107"/>
      <c r="AF72" s="107"/>
      <c r="AG72" s="107"/>
      <c r="AH72" s="107"/>
      <c r="AI72" s="107"/>
      <c r="AJ72" s="107"/>
      <c r="AK72" s="107"/>
      <c r="AL72" s="107"/>
      <c r="AM72" s="107"/>
      <c r="AN72" s="107"/>
      <c r="AO72" s="107"/>
      <c r="AP72" s="108"/>
      <c r="AQ72" s="108"/>
      <c r="AR72" s="108"/>
      <c r="AS72" s="108"/>
      <c r="AT72" s="108"/>
      <c r="AU72" s="108"/>
      <c r="AV72" s="108"/>
      <c r="AW72" s="108"/>
      <c r="AX72" s="116"/>
      <c r="AY72" s="111"/>
      <c r="AZ72" s="107"/>
      <c r="BA72" s="107"/>
      <c r="BB72" s="107"/>
      <c r="BC72" s="107"/>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108"/>
      <c r="DO72" s="108"/>
      <c r="DP72" s="108"/>
      <c r="DQ72" s="108"/>
      <c r="DR72" s="108"/>
      <c r="DS72" s="108"/>
      <c r="DT72" s="108"/>
    </row>
    <row r="73" spans="1:124" s="112" customFormat="1" x14ac:dyDescent="0.25">
      <c r="A73" s="114" t="s">
        <v>7</v>
      </c>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61">
        <f t="shared" ref="Z73:AH73" si="63">Z74+Z75</f>
        <v>408889.50179222086</v>
      </c>
      <c r="AA73" s="161">
        <f t="shared" si="63"/>
        <v>322394.52464270254</v>
      </c>
      <c r="AB73" s="161">
        <f t="shared" si="63"/>
        <v>305040.8394809289</v>
      </c>
      <c r="AC73" s="161">
        <f t="shared" si="63"/>
        <v>314928.58454419678</v>
      </c>
      <c r="AD73" s="161">
        <f t="shared" si="63"/>
        <v>317066.26246169972</v>
      </c>
      <c r="AE73" s="161">
        <f t="shared" si="63"/>
        <v>411564.35402907268</v>
      </c>
      <c r="AF73" s="161">
        <f t="shared" si="63"/>
        <v>430839.76929623313</v>
      </c>
      <c r="AG73" s="161">
        <f t="shared" si="63"/>
        <v>442263.47795103514</v>
      </c>
      <c r="AH73" s="161">
        <f t="shared" si="63"/>
        <v>447589.55814495264</v>
      </c>
      <c r="AI73" s="161">
        <f>AI74+AI75</f>
        <v>348327.16993868409</v>
      </c>
      <c r="AJ73" s="161">
        <f t="shared" ref="AJ73:AK73" si="64">AJ74+AJ75</f>
        <v>321118.76989694202</v>
      </c>
      <c r="AK73" s="161">
        <f t="shared" si="64"/>
        <v>342594.48788778088</v>
      </c>
      <c r="AL73" s="161">
        <f>SUM(AI73:AK73)</f>
        <v>1012040.427723407</v>
      </c>
      <c r="AM73" s="161">
        <f>777952.21+'kw summary'!E4</f>
        <v>1181831.21</v>
      </c>
      <c r="AN73" s="161">
        <f>AL73-AM73</f>
        <v>-169790.78227659292</v>
      </c>
      <c r="AO73" s="118">
        <v>494863.81</v>
      </c>
      <c r="AP73" s="108">
        <v>390238.48</v>
      </c>
      <c r="AQ73" s="108">
        <v>302283.46999999997</v>
      </c>
      <c r="AR73" s="108">
        <v>299736.21000000002</v>
      </c>
      <c r="AS73" s="108">
        <v>363160.43</v>
      </c>
      <c r="AT73" s="108">
        <v>517319.07000000007</v>
      </c>
      <c r="AU73" s="108">
        <v>482302.34</v>
      </c>
      <c r="AV73" s="108">
        <v>493587.64</v>
      </c>
      <c r="AW73" s="108">
        <v>521381.27</v>
      </c>
      <c r="AX73" s="116">
        <v>454258.27999999997</v>
      </c>
      <c r="AY73" s="162">
        <f t="shared" ref="AY73:DJ73" si="65">AY74+AY75</f>
        <v>324945.89055556129</v>
      </c>
      <c r="AZ73" s="118">
        <f t="shared" si="65"/>
        <v>364378.09534791927</v>
      </c>
      <c r="BA73" s="118">
        <f t="shared" si="65"/>
        <v>339380.34918677225</v>
      </c>
      <c r="BB73" s="118">
        <f t="shared" si="65"/>
        <v>339095.57354835607</v>
      </c>
      <c r="BC73" s="118">
        <f t="shared" si="65"/>
        <v>338810.30411388405</v>
      </c>
      <c r="BD73" s="118">
        <f t="shared" si="65"/>
        <v>338525.03467941209</v>
      </c>
      <c r="BE73" s="118">
        <f t="shared" si="65"/>
        <v>375133.72655788751</v>
      </c>
      <c r="BF73" s="118">
        <f t="shared" si="65"/>
        <v>374736.08392769395</v>
      </c>
      <c r="BG73" s="118">
        <f t="shared" si="65"/>
        <v>374338.44129750039</v>
      </c>
      <c r="BH73" s="118">
        <f t="shared" si="65"/>
        <v>373940.7986673069</v>
      </c>
      <c r="BI73" s="118">
        <f t="shared" si="65"/>
        <v>373543.15603711334</v>
      </c>
      <c r="BJ73" s="118">
        <f t="shared" si="65"/>
        <v>354918.00297829119</v>
      </c>
      <c r="BK73" s="118">
        <f t="shared" si="65"/>
        <v>325384.83607810811</v>
      </c>
      <c r="BL73" s="118">
        <f t="shared" si="65"/>
        <v>348060.25419893814</v>
      </c>
      <c r="BM73" s="108">
        <f t="shared" si="65"/>
        <v>339380.34918677225</v>
      </c>
      <c r="BN73" s="108">
        <f t="shared" si="65"/>
        <v>339095.57354835607</v>
      </c>
      <c r="BO73" s="108">
        <f t="shared" si="65"/>
        <v>338810.30411388405</v>
      </c>
      <c r="BP73" s="108">
        <f t="shared" si="65"/>
        <v>338525.03467941209</v>
      </c>
      <c r="BQ73" s="108">
        <f t="shared" si="65"/>
        <v>375133.72655788751</v>
      </c>
      <c r="BR73" s="108">
        <f t="shared" si="65"/>
        <v>374736.08392769395</v>
      </c>
      <c r="BS73" s="108">
        <f t="shared" si="65"/>
        <v>374338.44129750039</v>
      </c>
      <c r="BT73" s="108">
        <f t="shared" si="65"/>
        <v>373940.7986673069</v>
      </c>
      <c r="BU73" s="108">
        <f t="shared" si="65"/>
        <v>373543.15603711334</v>
      </c>
      <c r="BV73" s="108">
        <f t="shared" si="65"/>
        <v>354918.00297829119</v>
      </c>
      <c r="BW73" s="108">
        <f t="shared" si="65"/>
        <v>325384.83607810811</v>
      </c>
      <c r="BX73" s="108">
        <f t="shared" si="65"/>
        <v>348060.25419893814</v>
      </c>
      <c r="BY73" s="108">
        <f t="shared" si="65"/>
        <v>356806.10656613926</v>
      </c>
      <c r="BZ73" s="108">
        <f t="shared" si="65"/>
        <v>354681.6959934117</v>
      </c>
      <c r="CA73" s="108">
        <f t="shared" si="65"/>
        <v>315533.95180830982</v>
      </c>
      <c r="CB73" s="108">
        <f t="shared" si="65"/>
        <v>311132.2460811417</v>
      </c>
      <c r="CC73" s="108">
        <f t="shared" si="65"/>
        <v>338618.907484836</v>
      </c>
      <c r="CD73" s="108">
        <f t="shared" si="65"/>
        <v>391987.1606154503</v>
      </c>
      <c r="CE73" s="108">
        <f t="shared" si="65"/>
        <v>399824.36659672094</v>
      </c>
      <c r="CF73" s="108">
        <f t="shared" si="65"/>
        <v>406143.75622301409</v>
      </c>
      <c r="CG73" s="108">
        <f t="shared" si="65"/>
        <v>410762.51288547239</v>
      </c>
      <c r="CH73" s="108">
        <f t="shared" si="65"/>
        <v>359225.22810271464</v>
      </c>
      <c r="CI73" s="108">
        <f t="shared" si="65"/>
        <v>318510.64412480657</v>
      </c>
      <c r="CJ73" s="108">
        <f t="shared" si="65"/>
        <v>347942.39167288144</v>
      </c>
      <c r="CK73" s="108">
        <f>CK74+CK75</f>
        <v>348865.96796343441</v>
      </c>
      <c r="CL73" s="108">
        <f t="shared" ref="CL73:DI73" si="66">CL74+CL75</f>
        <v>360135.58033475082</v>
      </c>
      <c r="CM73" s="108">
        <f t="shared" si="66"/>
        <v>327774.74910403509</v>
      </c>
      <c r="CN73" s="108">
        <f t="shared" si="66"/>
        <v>320898.50015976361</v>
      </c>
      <c r="CO73" s="108">
        <f t="shared" si="66"/>
        <v>342838.92863628734</v>
      </c>
      <c r="CP73" s="108">
        <f t="shared" si="66"/>
        <v>383402.11565676547</v>
      </c>
      <c r="CQ73" s="108">
        <f t="shared" si="66"/>
        <v>391788.7475534</v>
      </c>
      <c r="CR73" s="108">
        <f t="shared" si="66"/>
        <v>401380.81653392548</v>
      </c>
      <c r="CS73" s="108">
        <f t="shared" si="66"/>
        <v>405743.87312835117</v>
      </c>
      <c r="CT73" s="108">
        <f t="shared" si="66"/>
        <v>366844.96330065071</v>
      </c>
      <c r="CU73" s="108">
        <f t="shared" si="66"/>
        <v>329587.40860045439</v>
      </c>
      <c r="CV73" s="108">
        <f t="shared" si="66"/>
        <v>346339.92800293281</v>
      </c>
      <c r="CW73" s="108">
        <f t="shared" si="66"/>
        <v>345556.06112327415</v>
      </c>
      <c r="CX73" s="108">
        <f t="shared" si="66"/>
        <v>349206.39041601156</v>
      </c>
      <c r="CY73" s="108">
        <f t="shared" si="66"/>
        <v>334837.31476254901</v>
      </c>
      <c r="CZ73" s="108">
        <f t="shared" si="66"/>
        <v>332278.62122479617</v>
      </c>
      <c r="DA73" s="108">
        <f t="shared" si="66"/>
        <v>356335.86268255999</v>
      </c>
      <c r="DB73" s="108">
        <f t="shared" si="66"/>
        <v>371507.85233016859</v>
      </c>
      <c r="DC73" s="108">
        <f t="shared" si="66"/>
        <v>374568.71459687286</v>
      </c>
      <c r="DD73" s="108">
        <f t="shared" si="66"/>
        <v>393343.91968385375</v>
      </c>
      <c r="DE73" s="108">
        <f t="shared" si="66"/>
        <v>403641.5051232219</v>
      </c>
      <c r="DF73" s="108">
        <f t="shared" si="66"/>
        <v>368800.14722580748</v>
      </c>
      <c r="DG73" s="108">
        <f t="shared" si="66"/>
        <v>336143.5744579098</v>
      </c>
      <c r="DH73" s="108">
        <f t="shared" si="66"/>
        <v>354129.89902191027</v>
      </c>
      <c r="DI73" s="108">
        <f t="shared" si="66"/>
        <v>341184.32977719291</v>
      </c>
      <c r="DJ73" s="108">
        <f t="shared" si="65"/>
        <v>351166.21968139906</v>
      </c>
      <c r="DK73" s="108">
        <f t="shared" ref="DK73:DT73" si="67">DK74+DK75</f>
        <v>328120.88713493617</v>
      </c>
      <c r="DL73" s="108">
        <f t="shared" si="67"/>
        <v>335035.41854672442</v>
      </c>
      <c r="DM73" s="108">
        <f t="shared" si="67"/>
        <v>360095.30512409686</v>
      </c>
      <c r="DN73" s="108">
        <f t="shared" si="67"/>
        <v>379501.90261564817</v>
      </c>
      <c r="DO73" s="108">
        <f t="shared" si="67"/>
        <v>369487.63334887382</v>
      </c>
      <c r="DP73" s="108">
        <f t="shared" si="67"/>
        <v>384748.32260222547</v>
      </c>
      <c r="DQ73" s="108">
        <f t="shared" si="67"/>
        <v>401711.58417489938</v>
      </c>
      <c r="DR73" s="108">
        <f t="shared" si="67"/>
        <v>369853.75843897834</v>
      </c>
      <c r="DS73" s="108">
        <f t="shared" si="67"/>
        <v>336401.94927023211</v>
      </c>
      <c r="DT73" s="108">
        <f t="shared" si="67"/>
        <v>361209.50825775176</v>
      </c>
    </row>
    <row r="74" spans="1:124" s="112" customFormat="1" x14ac:dyDescent="0.25">
      <c r="A74" s="117" t="s">
        <v>212</v>
      </c>
      <c r="B74" s="117"/>
      <c r="C74" s="117"/>
      <c r="D74" s="117"/>
      <c r="E74" s="117"/>
      <c r="F74" s="117"/>
      <c r="G74" s="117"/>
      <c r="H74" s="117"/>
      <c r="I74" s="117"/>
      <c r="J74" s="117"/>
      <c r="K74" s="117"/>
      <c r="L74" s="117"/>
      <c r="M74" s="117"/>
      <c r="N74" s="117"/>
      <c r="O74" s="117"/>
      <c r="P74" s="117"/>
      <c r="Q74" s="117"/>
      <c r="R74" s="117"/>
      <c r="S74" s="117"/>
      <c r="T74" s="117"/>
      <c r="U74" s="117"/>
      <c r="V74" s="117"/>
      <c r="W74" s="117"/>
      <c r="X74" s="117"/>
      <c r="Y74" s="117"/>
      <c r="Z74" s="163">
        <v>290168.94367165264</v>
      </c>
      <c r="AA74" s="163">
        <v>295960.50972489931</v>
      </c>
      <c r="AB74" s="163">
        <v>274666.65140112571</v>
      </c>
      <c r="AC74" s="163">
        <v>276964.09265484358</v>
      </c>
      <c r="AD74" s="163">
        <v>275131.46485715057</v>
      </c>
      <c r="AE74" s="163">
        <v>298719.17634690035</v>
      </c>
      <c r="AF74" s="163">
        <v>298719.17634690035</v>
      </c>
      <c r="AG74" s="163">
        <v>305529.52846779965</v>
      </c>
      <c r="AH74" s="163">
        <v>305728.5301499971</v>
      </c>
      <c r="AI74" s="163">
        <v>284884.20807995717</v>
      </c>
      <c r="AJ74" s="163">
        <v>273610.91540815844</v>
      </c>
      <c r="AK74" s="163">
        <v>282971.1878296677</v>
      </c>
      <c r="AL74" s="161">
        <f t="shared" ref="AL74:AL79" si="68">SUM(AI74:AK74)</f>
        <v>841466.31131778331</v>
      </c>
      <c r="AM74" s="163"/>
      <c r="AN74" s="163"/>
      <c r="AO74" s="107">
        <v>291348.30367165268</v>
      </c>
      <c r="AP74" s="108">
        <v>296807.22972489928</v>
      </c>
      <c r="AQ74" s="108">
        <v>267705.06347000005</v>
      </c>
      <c r="AR74" s="108">
        <v>269458.44183999998</v>
      </c>
      <c r="AS74" s="108">
        <v>279621.08241999999</v>
      </c>
      <c r="AT74" s="108">
        <v>303451.46064</v>
      </c>
      <c r="AU74" s="108">
        <v>303185.16007430002</v>
      </c>
      <c r="AV74" s="108">
        <v>304623.06405569997</v>
      </c>
      <c r="AW74" s="108">
        <v>308516.79391000001</v>
      </c>
      <c r="AX74" s="116">
        <v>302374.62513</v>
      </c>
      <c r="AY74" s="111">
        <v>276310.89870653849</v>
      </c>
      <c r="AZ74" s="107">
        <v>285091.02319151972</v>
      </c>
      <c r="BA74" s="107">
        <v>274697.67223386531</v>
      </c>
      <c r="BB74" s="107">
        <v>274697.67223386531</v>
      </c>
      <c r="BC74" s="107">
        <v>274697.67223386531</v>
      </c>
      <c r="BD74" s="107">
        <v>274697.67223386531</v>
      </c>
      <c r="BE74" s="107">
        <v>286561.16343105922</v>
      </c>
      <c r="BF74" s="107">
        <v>286561.16343105922</v>
      </c>
      <c r="BG74" s="107">
        <v>286561.16343105922</v>
      </c>
      <c r="BH74" s="107">
        <v>286561.16343105922</v>
      </c>
      <c r="BI74" s="107">
        <v>286561.16343105922</v>
      </c>
      <c r="BJ74" s="107">
        <v>282894.21943205781</v>
      </c>
      <c r="BK74" s="107">
        <v>271699.11532652972</v>
      </c>
      <c r="BL74" s="107">
        <v>280994.46738254791</v>
      </c>
      <c r="BM74" s="108">
        <v>274697.67223386531</v>
      </c>
      <c r="BN74" s="108">
        <v>274697.67223386531</v>
      </c>
      <c r="BO74" s="108">
        <v>274697.67223386531</v>
      </c>
      <c r="BP74" s="108">
        <v>274697.67223386531</v>
      </c>
      <c r="BQ74" s="108">
        <v>286561.16343105922</v>
      </c>
      <c r="BR74" s="108">
        <v>286561.16343105922</v>
      </c>
      <c r="BS74" s="108">
        <v>286561.16343105922</v>
      </c>
      <c r="BT74" s="108">
        <v>286561.16343105922</v>
      </c>
      <c r="BU74" s="108">
        <v>286561.16343105922</v>
      </c>
      <c r="BV74" s="108">
        <v>282894.21943205781</v>
      </c>
      <c r="BW74" s="108">
        <v>271699.11532652972</v>
      </c>
      <c r="BX74" s="108">
        <v>280994.46738254791</v>
      </c>
      <c r="BY74" s="108">
        <v>278992.17866673792</v>
      </c>
      <c r="BZ74" s="108">
        <v>281979.27217209549</v>
      </c>
      <c r="CA74" s="108">
        <v>268806.70012267085</v>
      </c>
      <c r="CB74" s="108">
        <v>269776.66507193132</v>
      </c>
      <c r="CC74" s="108">
        <v>277160.95609030651</v>
      </c>
      <c r="CD74" s="108">
        <v>291598.77077770431</v>
      </c>
      <c r="CE74" s="108">
        <v>292017.39333612798</v>
      </c>
      <c r="CF74" s="108">
        <v>295500.25295635068</v>
      </c>
      <c r="CG74" s="108">
        <v>296063.17588130466</v>
      </c>
      <c r="CH74" s="108">
        <v>283984.20028376934</v>
      </c>
      <c r="CI74" s="108">
        <v>272745.96186064219</v>
      </c>
      <c r="CJ74" s="108">
        <v>281638.21186681488</v>
      </c>
      <c r="CK74" s="108">
        <v>279475.9777337478</v>
      </c>
      <c r="CL74" s="108">
        <v>281597.1511968596</v>
      </c>
      <c r="CM74" s="108">
        <v>270930.13212175935</v>
      </c>
      <c r="CN74" s="108">
        <v>271015.47063132515</v>
      </c>
      <c r="CO74" s="108">
        <v>281003.76614884182</v>
      </c>
      <c r="CP74" s="108">
        <v>293746.7146066812</v>
      </c>
      <c r="CQ74" s="108">
        <v>293842.13189608045</v>
      </c>
      <c r="CR74" s="108">
        <v>295792.41207912128</v>
      </c>
      <c r="CS74" s="108">
        <v>296743.05217272637</v>
      </c>
      <c r="CT74" s="108">
        <v>289275.61323567899</v>
      </c>
      <c r="CU74" s="108">
        <v>273565.37634776032</v>
      </c>
      <c r="CV74" s="108">
        <v>282705.46972242766</v>
      </c>
      <c r="CW74" s="108">
        <v>279235.61056400905</v>
      </c>
      <c r="CX74" s="108">
        <v>281005.20869902929</v>
      </c>
      <c r="CY74" s="108">
        <v>273000.95812501281</v>
      </c>
      <c r="CZ74" s="108">
        <v>273287.10149065364</v>
      </c>
      <c r="DA74" s="108">
        <v>283148.62412301777</v>
      </c>
      <c r="DB74" s="108">
        <v>292305.85092457419</v>
      </c>
      <c r="DC74" s="108">
        <v>292606.76745342847</v>
      </c>
      <c r="DD74" s="108">
        <v>294215.04182896804</v>
      </c>
      <c r="DE74" s="108">
        <v>294814.95728253701</v>
      </c>
      <c r="DF74" s="108">
        <v>287234.99518730456</v>
      </c>
      <c r="DG74" s="108">
        <v>274439.2034331609</v>
      </c>
      <c r="DH74" s="108">
        <v>283583.4219971433</v>
      </c>
      <c r="DI74" s="108">
        <v>281083.98494825943</v>
      </c>
      <c r="DJ74" s="108">
        <v>283187.6397894391</v>
      </c>
      <c r="DK74" s="108">
        <v>272449.09102290659</v>
      </c>
      <c r="DL74" s="108">
        <v>272729.79892267054</v>
      </c>
      <c r="DM74" s="108">
        <v>281778.92748989258</v>
      </c>
      <c r="DN74" s="108">
        <v>294113.60596296657</v>
      </c>
      <c r="DO74" s="108">
        <v>294443.07174004382</v>
      </c>
      <c r="DP74" s="108">
        <v>296917.33216049615</v>
      </c>
      <c r="DQ74" s="108">
        <v>297446.4686582358</v>
      </c>
      <c r="DR74" s="108">
        <v>288554.11162164708</v>
      </c>
      <c r="DS74" s="108">
        <v>275411.513116844</v>
      </c>
      <c r="DT74" s="108">
        <v>284592.15762691363</v>
      </c>
    </row>
    <row r="75" spans="1:124" s="112" customFormat="1" x14ac:dyDescent="0.25">
      <c r="A75" s="117" t="s">
        <v>213</v>
      </c>
      <c r="B75" s="117"/>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63">
        <v>118720.55812056821</v>
      </c>
      <c r="AA75" s="163">
        <v>26434.014917803219</v>
      </c>
      <c r="AB75" s="163">
        <v>30374.188079803171</v>
      </c>
      <c r="AC75" s="163">
        <v>37964.491889353209</v>
      </c>
      <c r="AD75" s="163">
        <v>41934.797604549138</v>
      </c>
      <c r="AE75" s="163">
        <v>112845.17768217232</v>
      </c>
      <c r="AF75" s="163">
        <v>132120.59294933279</v>
      </c>
      <c r="AG75" s="163">
        <v>136733.94948323548</v>
      </c>
      <c r="AH75" s="163">
        <v>141861.02799495551</v>
      </c>
      <c r="AI75" s="163">
        <v>63442.9618587269</v>
      </c>
      <c r="AJ75" s="163">
        <v>47507.854488783589</v>
      </c>
      <c r="AK75" s="163">
        <v>59623.300058113186</v>
      </c>
      <c r="AL75" s="161">
        <f t="shared" si="68"/>
        <v>170574.11640562367</v>
      </c>
      <c r="AM75" s="163"/>
      <c r="AN75" s="163"/>
      <c r="AO75" s="107">
        <f t="shared" ref="AO75:AX75" si="69">AO73-AO74</f>
        <v>203515.50632834731</v>
      </c>
      <c r="AP75" s="108">
        <f t="shared" si="69"/>
        <v>93431.250275100698</v>
      </c>
      <c r="AQ75" s="108">
        <f t="shared" si="69"/>
        <v>34578.40652999992</v>
      </c>
      <c r="AR75" s="108">
        <f t="shared" si="69"/>
        <v>30277.768160000036</v>
      </c>
      <c r="AS75" s="108">
        <f t="shared" si="69"/>
        <v>83539.347580000001</v>
      </c>
      <c r="AT75" s="108">
        <f t="shared" si="69"/>
        <v>213867.60936000006</v>
      </c>
      <c r="AU75" s="108">
        <f t="shared" si="69"/>
        <v>179117.17992570001</v>
      </c>
      <c r="AV75" s="108">
        <f t="shared" si="69"/>
        <v>188964.57594430004</v>
      </c>
      <c r="AW75" s="108">
        <f t="shared" si="69"/>
        <v>212864.47609000001</v>
      </c>
      <c r="AX75" s="116">
        <f t="shared" si="69"/>
        <v>151883.65486999997</v>
      </c>
      <c r="AY75" s="111">
        <v>48634.99184902283</v>
      </c>
      <c r="AZ75" s="107">
        <v>79287.072156399547</v>
      </c>
      <c r="BA75" s="107">
        <v>64682.676952906913</v>
      </c>
      <c r="BB75" s="107">
        <v>64397.901314490766</v>
      </c>
      <c r="BC75" s="107">
        <v>64112.631880018766</v>
      </c>
      <c r="BD75" s="107">
        <v>63827.362445546765</v>
      </c>
      <c r="BE75" s="107">
        <v>88572.563126828274</v>
      </c>
      <c r="BF75" s="107">
        <v>88174.920496634732</v>
      </c>
      <c r="BG75" s="107">
        <v>87777.277866441189</v>
      </c>
      <c r="BH75" s="107">
        <v>87379.635236247646</v>
      </c>
      <c r="BI75" s="107">
        <v>86981.992606054118</v>
      </c>
      <c r="BJ75" s="107">
        <v>72023.783546233361</v>
      </c>
      <c r="BK75" s="107">
        <v>53685.720751578374</v>
      </c>
      <c r="BL75" s="107">
        <v>67065.786816390246</v>
      </c>
      <c r="BM75" s="108">
        <v>64682.676952906913</v>
      </c>
      <c r="BN75" s="108">
        <v>64397.901314490766</v>
      </c>
      <c r="BO75" s="108">
        <v>64112.631880018766</v>
      </c>
      <c r="BP75" s="108">
        <v>63827.362445546765</v>
      </c>
      <c r="BQ75" s="108">
        <v>88572.563126828274</v>
      </c>
      <c r="BR75" s="108">
        <v>88174.920496634732</v>
      </c>
      <c r="BS75" s="108">
        <v>87777.277866441189</v>
      </c>
      <c r="BT75" s="108">
        <v>87379.635236247646</v>
      </c>
      <c r="BU75" s="108">
        <v>86981.992606054118</v>
      </c>
      <c r="BV75" s="108">
        <v>72023.783546233361</v>
      </c>
      <c r="BW75" s="108">
        <v>53685.720751578374</v>
      </c>
      <c r="BX75" s="108">
        <v>67065.786816390246</v>
      </c>
      <c r="BY75" s="108">
        <v>77813.927899401344</v>
      </c>
      <c r="BZ75" s="108">
        <v>72702.423821316188</v>
      </c>
      <c r="CA75" s="108">
        <v>46727.251685638963</v>
      </c>
      <c r="CB75" s="108">
        <v>41355.5810092104</v>
      </c>
      <c r="CC75" s="108">
        <v>61457.951394529504</v>
      </c>
      <c r="CD75" s="108">
        <v>100388.389837746</v>
      </c>
      <c r="CE75" s="108">
        <v>107806.97326059295</v>
      </c>
      <c r="CF75" s="108">
        <v>110643.50326666344</v>
      </c>
      <c r="CG75" s="108">
        <v>114699.3370041677</v>
      </c>
      <c r="CH75" s="108">
        <v>75241.027818945324</v>
      </c>
      <c r="CI75" s="108">
        <v>45764.682264164381</v>
      </c>
      <c r="CJ75" s="108">
        <v>66304.17980606659</v>
      </c>
      <c r="CK75" s="108">
        <v>69389.990229686591</v>
      </c>
      <c r="CL75" s="108">
        <v>78538.429137891188</v>
      </c>
      <c r="CM75" s="108">
        <v>56844.616982275766</v>
      </c>
      <c r="CN75" s="108">
        <v>49883.029528438441</v>
      </c>
      <c r="CO75" s="108">
        <v>61835.162487445486</v>
      </c>
      <c r="CP75" s="108">
        <v>89655.401050084285</v>
      </c>
      <c r="CQ75" s="108">
        <v>97946.615657319548</v>
      </c>
      <c r="CR75" s="108">
        <v>105588.40445480417</v>
      </c>
      <c r="CS75" s="108">
        <v>109000.82095562482</v>
      </c>
      <c r="CT75" s="108">
        <v>77569.350064971746</v>
      </c>
      <c r="CU75" s="108">
        <v>56022.032252694073</v>
      </c>
      <c r="CV75" s="108">
        <v>63634.458280505161</v>
      </c>
      <c r="CW75" s="108">
        <v>66320.450559265068</v>
      </c>
      <c r="CX75" s="108">
        <v>68201.18171698229</v>
      </c>
      <c r="CY75" s="108">
        <v>61836.356637536228</v>
      </c>
      <c r="CZ75" s="108">
        <v>58991.519734142537</v>
      </c>
      <c r="DA75" s="108">
        <v>73187.238559542209</v>
      </c>
      <c r="DB75" s="108">
        <v>79202.001405594405</v>
      </c>
      <c r="DC75" s="108">
        <v>81961.947143444369</v>
      </c>
      <c r="DD75" s="108">
        <v>99128.877854885737</v>
      </c>
      <c r="DE75" s="108">
        <v>108826.54784068489</v>
      </c>
      <c r="DF75" s="108">
        <v>81565.152038502929</v>
      </c>
      <c r="DG75" s="108">
        <v>61704.371024748863</v>
      </c>
      <c r="DH75" s="108">
        <v>70546.477024766937</v>
      </c>
      <c r="DI75" s="108">
        <v>60100.344828933463</v>
      </c>
      <c r="DJ75" s="108">
        <v>67978.579891959933</v>
      </c>
      <c r="DK75" s="108">
        <v>55671.796112029559</v>
      </c>
      <c r="DL75" s="108">
        <v>62305.619624053885</v>
      </c>
      <c r="DM75" s="108">
        <v>78316.377634204269</v>
      </c>
      <c r="DN75" s="108">
        <v>85388.296652681602</v>
      </c>
      <c r="DO75" s="108">
        <v>75044.561608830016</v>
      </c>
      <c r="DP75" s="108">
        <v>87830.990441729315</v>
      </c>
      <c r="DQ75" s="108">
        <v>104265.11551666356</v>
      </c>
      <c r="DR75" s="108">
        <v>81299.64681733129</v>
      </c>
      <c r="DS75" s="108">
        <v>60990.436153388131</v>
      </c>
      <c r="DT75" s="108">
        <v>76617.350630838118</v>
      </c>
    </row>
    <row r="76" spans="1:124" s="112" customFormat="1" x14ac:dyDescent="0.25">
      <c r="A76" s="114" t="s">
        <v>275</v>
      </c>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64">
        <v>94312.118311333965</v>
      </c>
      <c r="AA76" s="164">
        <v>93868.412579602649</v>
      </c>
      <c r="AB76" s="164">
        <v>89658.320187489357</v>
      </c>
      <c r="AC76" s="164">
        <v>91863.183985245123</v>
      </c>
      <c r="AD76" s="164">
        <v>93491.831717081543</v>
      </c>
      <c r="AE76" s="164">
        <v>109157.40726554763</v>
      </c>
      <c r="AF76" s="164">
        <v>115676.96959611558</v>
      </c>
      <c r="AG76" s="164">
        <v>110171.55441361257</v>
      </c>
      <c r="AH76" s="164">
        <v>111932.49643007142</v>
      </c>
      <c r="AI76" s="164">
        <v>105927.83165282948</v>
      </c>
      <c r="AJ76" s="164">
        <v>96376.810851771908</v>
      </c>
      <c r="AK76" s="164">
        <v>93375.406211012305</v>
      </c>
      <c r="AL76" s="161">
        <f t="shared" si="68"/>
        <v>295680.04871561367</v>
      </c>
      <c r="AM76" s="164">
        <f>222679.93+'kw summary'!E7</f>
        <v>349784.93</v>
      </c>
      <c r="AN76" s="161">
        <f t="shared" ref="AN76:AN79" si="70">AL76-AM76</f>
        <v>-54104.881284386327</v>
      </c>
      <c r="AO76" s="135">
        <v>115407.15</v>
      </c>
      <c r="AP76" s="108">
        <v>95236.800000000003</v>
      </c>
      <c r="AQ76" s="108">
        <v>89146</v>
      </c>
      <c r="AR76" s="108">
        <v>87844.53</v>
      </c>
      <c r="AS76" s="108">
        <v>101996.97</v>
      </c>
      <c r="AT76" s="108">
        <v>125426.62</v>
      </c>
      <c r="AU76" s="108">
        <v>118189.40999999999</v>
      </c>
      <c r="AV76" s="108">
        <v>125003.84</v>
      </c>
      <c r="AW76" s="108">
        <v>127759.98</v>
      </c>
      <c r="AX76" s="116">
        <v>119510.23999999999</v>
      </c>
      <c r="AY76" s="165">
        <v>95638.133709066911</v>
      </c>
      <c r="AZ76" s="135">
        <v>92468.113214001904</v>
      </c>
      <c r="BA76" s="135">
        <v>90610.504874749313</v>
      </c>
      <c r="BB76" s="135">
        <v>90650.201056679885</v>
      </c>
      <c r="BC76" s="135">
        <v>90650.201056679885</v>
      </c>
      <c r="BD76" s="135">
        <v>90650.201056679885</v>
      </c>
      <c r="BE76" s="135">
        <v>106488.18464668526</v>
      </c>
      <c r="BF76" s="135">
        <v>106488.18464668526</v>
      </c>
      <c r="BG76" s="135">
        <v>106488.18464668526</v>
      </c>
      <c r="BH76" s="135">
        <v>106488.18464668526</v>
      </c>
      <c r="BI76" s="135">
        <v>106488.18464668526</v>
      </c>
      <c r="BJ76" s="135">
        <v>103430.97779741141</v>
      </c>
      <c r="BK76" s="135">
        <v>94105.15431662582</v>
      </c>
      <c r="BL76" s="135">
        <v>91174.517847795651</v>
      </c>
      <c r="BM76" s="108">
        <v>90610.504874749313</v>
      </c>
      <c r="BN76" s="108">
        <v>90650.201056679885</v>
      </c>
      <c r="BO76" s="108">
        <v>90650.201056679885</v>
      </c>
      <c r="BP76" s="108">
        <v>90650.201056679885</v>
      </c>
      <c r="BQ76" s="108">
        <v>106488.18464668526</v>
      </c>
      <c r="BR76" s="108">
        <v>106488.18464668526</v>
      </c>
      <c r="BS76" s="108">
        <v>106488.18464668526</v>
      </c>
      <c r="BT76" s="108">
        <v>106488.18464668526</v>
      </c>
      <c r="BU76" s="108">
        <v>106488.18464668526</v>
      </c>
      <c r="BV76" s="108">
        <v>103430.97779741141</v>
      </c>
      <c r="BW76" s="108">
        <v>94105.15431662582</v>
      </c>
      <c r="BX76" s="108">
        <v>91174.517847795651</v>
      </c>
      <c r="BY76" s="108">
        <v>91294.645817122888</v>
      </c>
      <c r="BZ76" s="108">
        <v>92966.295591897622</v>
      </c>
      <c r="CA76" s="108">
        <v>88344.730416776758</v>
      </c>
      <c r="CB76" s="108">
        <v>90028.382250931929</v>
      </c>
      <c r="CC76" s="108">
        <v>98916.700028011081</v>
      </c>
      <c r="CD76" s="108">
        <v>109048.78483740675</v>
      </c>
      <c r="CE76" s="108">
        <v>110604.2524559522</v>
      </c>
      <c r="CF76" s="108">
        <v>111167.88960356652</v>
      </c>
      <c r="CG76" s="108">
        <v>112067.72309896689</v>
      </c>
      <c r="CH76" s="108">
        <v>103430.97779741141</v>
      </c>
      <c r="CI76" s="108">
        <v>94253.507161055604</v>
      </c>
      <c r="CJ76" s="108">
        <v>91222.428787284764</v>
      </c>
      <c r="CK76" s="108">
        <v>90899.749019160401</v>
      </c>
      <c r="CL76" s="108">
        <v>93730.449364080821</v>
      </c>
      <c r="CM76" s="108">
        <v>89370.10934678957</v>
      </c>
      <c r="CN76" s="108">
        <v>90548.066149177437</v>
      </c>
      <c r="CO76" s="108">
        <v>101590.48706744096</v>
      </c>
      <c r="CP76" s="108">
        <v>110536.32818514903</v>
      </c>
      <c r="CQ76" s="108">
        <v>110169.64391240996</v>
      </c>
      <c r="CR76" s="108">
        <v>112489.17178472545</v>
      </c>
      <c r="CS76" s="108">
        <v>113671.51256994487</v>
      </c>
      <c r="CT76" s="108">
        <v>106789.46293971944</v>
      </c>
      <c r="CU76" s="108">
        <v>94301.787161055603</v>
      </c>
      <c r="CV76" s="108">
        <v>91389.932545241245</v>
      </c>
      <c r="CW76" s="108">
        <v>91101.753909306819</v>
      </c>
      <c r="CX76" s="108">
        <v>92593.813259108079</v>
      </c>
      <c r="CY76" s="108">
        <v>89999.003123341608</v>
      </c>
      <c r="CZ76" s="108">
        <v>90928.605601773685</v>
      </c>
      <c r="DA76" s="108">
        <v>102789.31482714458</v>
      </c>
      <c r="DB76" s="108">
        <v>109138.65455519376</v>
      </c>
      <c r="DC76" s="108">
        <v>109627.91792233943</v>
      </c>
      <c r="DD76" s="108">
        <v>110434.78608514616</v>
      </c>
      <c r="DE76" s="108">
        <v>111298.99383048622</v>
      </c>
      <c r="DF76" s="108">
        <v>105166.63005364418</v>
      </c>
      <c r="DG76" s="108">
        <v>94598.492849915172</v>
      </c>
      <c r="DH76" s="108">
        <v>91653.627242686838</v>
      </c>
      <c r="DI76" s="108">
        <v>91360.541182404311</v>
      </c>
      <c r="DJ76" s="108">
        <v>93219.798696961836</v>
      </c>
      <c r="DK76" s="108">
        <v>89431.832171584829</v>
      </c>
      <c r="DL76" s="108">
        <v>91128.582835300316</v>
      </c>
      <c r="DM76" s="108">
        <v>101729.14961514331</v>
      </c>
      <c r="DN76" s="108">
        <v>110079.70315209535</v>
      </c>
      <c r="DO76" s="108">
        <v>110551.43848558201</v>
      </c>
      <c r="DP76" s="108">
        <v>111880.31704029167</v>
      </c>
      <c r="DQ76" s="108">
        <v>112834.1723127006</v>
      </c>
      <c r="DR76" s="108">
        <v>105689.01692325277</v>
      </c>
      <c r="DS76" s="108">
        <v>94948.16233134779</v>
      </c>
      <c r="DT76" s="108">
        <v>91773.589121665078</v>
      </c>
    </row>
    <row r="77" spans="1:124" s="112" customFormat="1" x14ac:dyDescent="0.25">
      <c r="A77" s="114" t="s">
        <v>276</v>
      </c>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63">
        <v>168603.04124285624</v>
      </c>
      <c r="AA77" s="163">
        <v>167104.59385995063</v>
      </c>
      <c r="AB77" s="163">
        <v>154008.93811448276</v>
      </c>
      <c r="AC77" s="163">
        <v>154167.72030098038</v>
      </c>
      <c r="AD77" s="163">
        <v>159100.83014963329</v>
      </c>
      <c r="AE77" s="163">
        <v>172606.56101533983</v>
      </c>
      <c r="AF77" s="163">
        <v>178308.42421060827</v>
      </c>
      <c r="AG77" s="163">
        <v>180368.5460293839</v>
      </c>
      <c r="AH77" s="163">
        <v>185425.49449267145</v>
      </c>
      <c r="AI77" s="163">
        <v>183301.44860696519</v>
      </c>
      <c r="AJ77" s="163">
        <v>175824.766426799</v>
      </c>
      <c r="AK77" s="163">
        <v>166015.37412099011</v>
      </c>
      <c r="AL77" s="161">
        <f t="shared" si="68"/>
        <v>525141.5891547543</v>
      </c>
      <c r="AM77" s="163">
        <f>230732.61+'kw summary'!E8</f>
        <v>397626.61</v>
      </c>
      <c r="AN77" s="161">
        <f t="shared" si="70"/>
        <v>127514.97915475431</v>
      </c>
      <c r="AO77" s="107">
        <v>167501.82</v>
      </c>
      <c r="AP77" s="108">
        <v>152340.93</v>
      </c>
      <c r="AQ77" s="108">
        <v>136194.14000000001</v>
      </c>
      <c r="AR77" s="108">
        <v>151011.15</v>
      </c>
      <c r="AS77" s="108">
        <v>163836.71000000002</v>
      </c>
      <c r="AT77" s="108">
        <v>195830.19</v>
      </c>
      <c r="AU77" s="108">
        <v>169909.71000000002</v>
      </c>
      <c r="AV77" s="108">
        <v>176705.29</v>
      </c>
      <c r="AW77" s="108">
        <v>184029.03</v>
      </c>
      <c r="AX77" s="116">
        <v>178745.34</v>
      </c>
      <c r="AY77" s="111">
        <v>171342.56862779157</v>
      </c>
      <c r="AZ77" s="107">
        <v>161788.64841732674</v>
      </c>
      <c r="BA77" s="107">
        <v>145431.0222159691</v>
      </c>
      <c r="BB77" s="107">
        <v>145673.20543364764</v>
      </c>
      <c r="BC77" s="107">
        <v>145673.20543364764</v>
      </c>
      <c r="BD77" s="107">
        <v>145673.20543364764</v>
      </c>
      <c r="BE77" s="107">
        <v>161721.36643822968</v>
      </c>
      <c r="BF77" s="107">
        <v>161721.36643822968</v>
      </c>
      <c r="BG77" s="107">
        <v>161721.36643822968</v>
      </c>
      <c r="BH77" s="107">
        <v>161721.36643822968</v>
      </c>
      <c r="BI77" s="107">
        <v>161721.36643822968</v>
      </c>
      <c r="BJ77" s="107">
        <v>174710.13388059702</v>
      </c>
      <c r="BK77" s="107">
        <v>167581.39029205957</v>
      </c>
      <c r="BL77" s="107">
        <v>158237.19028133663</v>
      </c>
      <c r="BM77" s="108">
        <v>145431.0222159691</v>
      </c>
      <c r="BN77" s="108">
        <v>145673.20543364764</v>
      </c>
      <c r="BO77" s="108">
        <v>145673.20543364764</v>
      </c>
      <c r="BP77" s="108">
        <v>145673.20543364764</v>
      </c>
      <c r="BQ77" s="108">
        <v>161721.36643822968</v>
      </c>
      <c r="BR77" s="108">
        <v>161721.36643822968</v>
      </c>
      <c r="BS77" s="108">
        <v>161721.36643822968</v>
      </c>
      <c r="BT77" s="108">
        <v>161721.36643822968</v>
      </c>
      <c r="BU77" s="108">
        <v>161721.36643822968</v>
      </c>
      <c r="BV77" s="108">
        <v>174710.13388059702</v>
      </c>
      <c r="BW77" s="108">
        <v>167581.39029205957</v>
      </c>
      <c r="BX77" s="108">
        <v>158237.19028133663</v>
      </c>
      <c r="BY77" s="108">
        <v>152014.62329289608</v>
      </c>
      <c r="BZ77" s="108">
        <v>153324.05247595743</v>
      </c>
      <c r="CA77" s="108">
        <v>145056.99578713247</v>
      </c>
      <c r="CB77" s="108">
        <v>148189.92338888044</v>
      </c>
      <c r="CC77" s="108">
        <v>157344.61777661199</v>
      </c>
      <c r="CD77" s="108">
        <v>165895.63833553679</v>
      </c>
      <c r="CE77" s="108">
        <v>167382.04915857324</v>
      </c>
      <c r="CF77" s="108">
        <v>170742.41759315529</v>
      </c>
      <c r="CG77" s="108">
        <v>176426.17855173931</v>
      </c>
      <c r="CH77" s="108">
        <v>180731.83092234447</v>
      </c>
      <c r="CI77" s="108">
        <v>172690.31003462232</v>
      </c>
      <c r="CJ77" s="108">
        <v>164755.51236821065</v>
      </c>
      <c r="CK77" s="108">
        <v>148084.75037613258</v>
      </c>
      <c r="CL77" s="108">
        <v>148467.88375610553</v>
      </c>
      <c r="CM77" s="108">
        <v>141278.86410157671</v>
      </c>
      <c r="CN77" s="108">
        <v>147348.48001275485</v>
      </c>
      <c r="CO77" s="108">
        <v>157069.44495087571</v>
      </c>
      <c r="CP77" s="108">
        <v>165193.63246032735</v>
      </c>
      <c r="CQ77" s="108">
        <v>166079.7267422002</v>
      </c>
      <c r="CR77" s="108">
        <v>169508.85942097544</v>
      </c>
      <c r="CS77" s="108">
        <v>173370.48098521761</v>
      </c>
      <c r="CT77" s="108">
        <v>179750.44673389499</v>
      </c>
      <c r="CU77" s="108">
        <v>170149.85121985112</v>
      </c>
      <c r="CV77" s="108">
        <v>159026.40320044552</v>
      </c>
      <c r="CW77" s="108">
        <v>149703.17699853322</v>
      </c>
      <c r="CX77" s="108">
        <v>150399.79959825455</v>
      </c>
      <c r="CY77" s="108">
        <v>143610.59105714728</v>
      </c>
      <c r="CZ77" s="108">
        <v>147120.83244184306</v>
      </c>
      <c r="DA77" s="108">
        <v>159515.23334844079</v>
      </c>
      <c r="DB77" s="108">
        <v>164254.74735198118</v>
      </c>
      <c r="DC77" s="108">
        <v>165340.716701403</v>
      </c>
      <c r="DD77" s="108">
        <v>167505.67450504878</v>
      </c>
      <c r="DE77" s="108">
        <v>169026.18669786787</v>
      </c>
      <c r="DF77" s="108">
        <v>176574.42923277599</v>
      </c>
      <c r="DG77" s="108">
        <v>170149.85121985112</v>
      </c>
      <c r="DH77" s="108">
        <v>160067.46257910892</v>
      </c>
      <c r="DI77" s="108">
        <v>150851.90430248319</v>
      </c>
      <c r="DJ77" s="108">
        <v>152545.72727496442</v>
      </c>
      <c r="DK77" s="108">
        <v>144461.73836631325</v>
      </c>
      <c r="DL77" s="108">
        <v>146830.67288884689</v>
      </c>
      <c r="DM77" s="108">
        <v>157698.72593629843</v>
      </c>
      <c r="DN77" s="108">
        <v>165868.50917952819</v>
      </c>
      <c r="DO77" s="108">
        <v>166274.59719613713</v>
      </c>
      <c r="DP77" s="108">
        <v>168973.84965002481</v>
      </c>
      <c r="DQ77" s="108">
        <v>171791.87592851475</v>
      </c>
      <c r="DR77" s="108">
        <v>176124.00017021765</v>
      </c>
      <c r="DS77" s="108">
        <v>169181.64510794045</v>
      </c>
      <c r="DT77" s="108">
        <v>161431.74841732674</v>
      </c>
    </row>
    <row r="78" spans="1:124" s="112" customFormat="1" x14ac:dyDescent="0.25">
      <c r="A78" s="114" t="s">
        <v>277</v>
      </c>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63" t="e">
        <f>#REF!</f>
        <v>#REF!</v>
      </c>
      <c r="AA78" s="163" t="e">
        <f>#REF!</f>
        <v>#REF!</v>
      </c>
      <c r="AB78" s="163" t="e">
        <f>#REF!</f>
        <v>#REF!</v>
      </c>
      <c r="AC78" s="163" t="e">
        <f>#REF!</f>
        <v>#REF!</v>
      </c>
      <c r="AD78" s="163" t="e">
        <f>#REF!</f>
        <v>#REF!</v>
      </c>
      <c r="AE78" s="163" t="e">
        <f>#REF!</f>
        <v>#REF!</v>
      </c>
      <c r="AF78" s="163" t="e">
        <f>#REF!</f>
        <v>#REF!</v>
      </c>
      <c r="AG78" s="163" t="e">
        <f>#REF!</f>
        <v>#REF!</v>
      </c>
      <c r="AH78" s="163" t="e">
        <f>#REF!</f>
        <v>#REF!</v>
      </c>
      <c r="AI78" s="163" t="e">
        <f>#REF!</f>
        <v>#REF!</v>
      </c>
      <c r="AJ78" s="163" t="e">
        <f>#REF!</f>
        <v>#REF!</v>
      </c>
      <c r="AK78" s="163" t="e">
        <f>#REF!</f>
        <v>#REF!</v>
      </c>
      <c r="AL78" s="161" t="e">
        <f t="shared" si="68"/>
        <v>#REF!</v>
      </c>
      <c r="AM78" s="163">
        <f>68988.92+'kw summary'!E9</f>
        <v>139746.91999999998</v>
      </c>
      <c r="AN78" s="161" t="e">
        <f t="shared" si="70"/>
        <v>#REF!</v>
      </c>
      <c r="AO78" s="107">
        <v>53781.03</v>
      </c>
      <c r="AP78" s="108">
        <v>48375.77</v>
      </c>
      <c r="AQ78" s="108">
        <v>12825.48</v>
      </c>
      <c r="AR78" s="108">
        <v>79862.84</v>
      </c>
      <c r="AS78" s="108">
        <v>64338.94</v>
      </c>
      <c r="AT78" s="108">
        <v>78288.710000000006</v>
      </c>
      <c r="AU78" s="108">
        <v>67035.740000000005</v>
      </c>
      <c r="AV78" s="108">
        <v>70362.84</v>
      </c>
      <c r="AW78" s="108">
        <v>73230.34</v>
      </c>
      <c r="AX78" s="116">
        <v>76789.86</v>
      </c>
      <c r="AY78" s="111" t="e">
        <f>#REF!</f>
        <v>#REF!</v>
      </c>
      <c r="AZ78" s="107" t="e">
        <f>#REF!</f>
        <v>#REF!</v>
      </c>
      <c r="BA78" s="107" t="e">
        <f>#REF!</f>
        <v>#REF!</v>
      </c>
      <c r="BB78" s="107" t="e">
        <f>#REF!</f>
        <v>#REF!</v>
      </c>
      <c r="BC78" s="107" t="e">
        <f>#REF!</f>
        <v>#REF!</v>
      </c>
      <c r="BD78" s="107" t="e">
        <f>#REF!</f>
        <v>#REF!</v>
      </c>
      <c r="BE78" s="107" t="e">
        <f>#REF!</f>
        <v>#REF!</v>
      </c>
      <c r="BF78" s="107" t="e">
        <f>#REF!</f>
        <v>#REF!</v>
      </c>
      <c r="BG78" s="107" t="e">
        <f>#REF!</f>
        <v>#REF!</v>
      </c>
      <c r="BH78" s="107" t="e">
        <f>#REF!</f>
        <v>#REF!</v>
      </c>
      <c r="BI78" s="107" t="e">
        <f>#REF!</f>
        <v>#REF!</v>
      </c>
      <c r="BJ78" s="107" t="e">
        <f>#REF!</f>
        <v>#REF!</v>
      </c>
      <c r="BK78" s="107" t="e">
        <f>#REF!</f>
        <v>#REF!</v>
      </c>
      <c r="BL78" s="107" t="e">
        <f>#REF!</f>
        <v>#REF!</v>
      </c>
      <c r="BM78" s="108" t="e">
        <f>#REF!</f>
        <v>#REF!</v>
      </c>
      <c r="BN78" s="108" t="e">
        <f>#REF!</f>
        <v>#REF!</v>
      </c>
      <c r="BO78" s="108" t="e">
        <f>#REF!</f>
        <v>#REF!</v>
      </c>
      <c r="BP78" s="108" t="e">
        <f>#REF!</f>
        <v>#REF!</v>
      </c>
      <c r="BQ78" s="108" t="e">
        <f>#REF!</f>
        <v>#REF!</v>
      </c>
      <c r="BR78" s="108" t="e">
        <f>#REF!</f>
        <v>#REF!</v>
      </c>
      <c r="BS78" s="108" t="e">
        <f>#REF!</f>
        <v>#REF!</v>
      </c>
      <c r="BT78" s="108" t="e">
        <f>#REF!</f>
        <v>#REF!</v>
      </c>
      <c r="BU78" s="108" t="e">
        <f>#REF!</f>
        <v>#REF!</v>
      </c>
      <c r="BV78" s="108" t="e">
        <f>#REF!</f>
        <v>#REF!</v>
      </c>
      <c r="BW78" s="108" t="e">
        <f>#REF!</f>
        <v>#REF!</v>
      </c>
      <c r="BX78" s="108" t="e">
        <f>#REF!</f>
        <v>#REF!</v>
      </c>
      <c r="BY78" s="108" t="e">
        <f>#REF!</f>
        <v>#REF!</v>
      </c>
      <c r="BZ78" s="108" t="e">
        <f>#REF!</f>
        <v>#REF!</v>
      </c>
      <c r="CA78" s="108" t="e">
        <f>#REF!</f>
        <v>#REF!</v>
      </c>
      <c r="CB78" s="108" t="e">
        <f>#REF!</f>
        <v>#REF!</v>
      </c>
      <c r="CC78" s="108" t="e">
        <f>#REF!</f>
        <v>#REF!</v>
      </c>
      <c r="CD78" s="108" t="e">
        <f>#REF!</f>
        <v>#REF!</v>
      </c>
      <c r="CE78" s="108" t="e">
        <f>#REF!</f>
        <v>#REF!</v>
      </c>
      <c r="CF78" s="108" t="e">
        <f>#REF!</f>
        <v>#REF!</v>
      </c>
      <c r="CG78" s="108" t="e">
        <f>#REF!</f>
        <v>#REF!</v>
      </c>
      <c r="CH78" s="108" t="e">
        <f>#REF!</f>
        <v>#REF!</v>
      </c>
      <c r="CI78" s="108" t="e">
        <f>#REF!</f>
        <v>#REF!</v>
      </c>
      <c r="CJ78" s="108" t="e">
        <f>#REF!</f>
        <v>#REF!</v>
      </c>
      <c r="CK78" s="108" t="e">
        <f>#REF!</f>
        <v>#REF!</v>
      </c>
      <c r="CL78" s="108" t="e">
        <f>#REF!</f>
        <v>#REF!</v>
      </c>
      <c r="CM78" s="108" t="e">
        <f>#REF!</f>
        <v>#REF!</v>
      </c>
      <c r="CN78" s="108" t="e">
        <f>#REF!</f>
        <v>#REF!</v>
      </c>
      <c r="CO78" s="108" t="e">
        <f>#REF!</f>
        <v>#REF!</v>
      </c>
      <c r="CP78" s="108" t="e">
        <f>#REF!</f>
        <v>#REF!</v>
      </c>
      <c r="CQ78" s="108" t="e">
        <f>#REF!</f>
        <v>#REF!</v>
      </c>
      <c r="CR78" s="108" t="e">
        <f>#REF!</f>
        <v>#REF!</v>
      </c>
      <c r="CS78" s="108" t="e">
        <f>#REF!</f>
        <v>#REF!</v>
      </c>
      <c r="CT78" s="108" t="e">
        <f>#REF!</f>
        <v>#REF!</v>
      </c>
      <c r="CU78" s="108" t="e">
        <f>#REF!</f>
        <v>#REF!</v>
      </c>
      <c r="CV78" s="108" t="e">
        <f>#REF!</f>
        <v>#REF!</v>
      </c>
      <c r="CW78" s="108" t="e">
        <f>#REF!</f>
        <v>#REF!</v>
      </c>
      <c r="CX78" s="108" t="e">
        <f>#REF!</f>
        <v>#REF!</v>
      </c>
      <c r="CY78" s="108" t="e">
        <f>#REF!</f>
        <v>#REF!</v>
      </c>
      <c r="CZ78" s="108" t="e">
        <f>#REF!</f>
        <v>#REF!</v>
      </c>
      <c r="DA78" s="108" t="e">
        <f>#REF!</f>
        <v>#REF!</v>
      </c>
      <c r="DB78" s="108" t="e">
        <f>#REF!</f>
        <v>#REF!</v>
      </c>
      <c r="DC78" s="108" t="e">
        <f>#REF!</f>
        <v>#REF!</v>
      </c>
      <c r="DD78" s="108" t="e">
        <f>#REF!</f>
        <v>#REF!</v>
      </c>
      <c r="DE78" s="108" t="e">
        <f>#REF!</f>
        <v>#REF!</v>
      </c>
      <c r="DF78" s="108" t="e">
        <f>#REF!</f>
        <v>#REF!</v>
      </c>
      <c r="DG78" s="108" t="e">
        <f>#REF!</f>
        <v>#REF!</v>
      </c>
      <c r="DH78" s="108" t="e">
        <f>#REF!</f>
        <v>#REF!</v>
      </c>
      <c r="DI78" s="108" t="e">
        <f>#REF!</f>
        <v>#REF!</v>
      </c>
      <c r="DJ78" s="108" t="e">
        <f>#REF!</f>
        <v>#REF!</v>
      </c>
      <c r="DK78" s="108" t="e">
        <f>#REF!</f>
        <v>#REF!</v>
      </c>
      <c r="DL78" s="108" t="e">
        <f>#REF!</f>
        <v>#REF!</v>
      </c>
      <c r="DM78" s="108" t="e">
        <f>#REF!</f>
        <v>#REF!</v>
      </c>
      <c r="DN78" s="108" t="e">
        <f>#REF!</f>
        <v>#REF!</v>
      </c>
      <c r="DO78" s="108" t="e">
        <f>#REF!</f>
        <v>#REF!</v>
      </c>
      <c r="DP78" s="108" t="e">
        <f>#REF!</f>
        <v>#REF!</v>
      </c>
      <c r="DQ78" s="108" t="e">
        <f>#REF!</f>
        <v>#REF!</v>
      </c>
      <c r="DR78" s="108" t="e">
        <f>#REF!</f>
        <v>#REF!</v>
      </c>
      <c r="DS78" s="108" t="e">
        <f>#REF!</f>
        <v>#REF!</v>
      </c>
      <c r="DT78" s="108" t="e">
        <f>#REF!</f>
        <v>#REF!</v>
      </c>
    </row>
    <row r="79" spans="1:124" s="112" customFormat="1" x14ac:dyDescent="0.25">
      <c r="A79" s="114" t="s">
        <v>278</v>
      </c>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63">
        <v>85117.23</v>
      </c>
      <c r="AA79" s="163">
        <v>85482.540000000008</v>
      </c>
      <c r="AB79" s="163">
        <v>85648.59</v>
      </c>
      <c r="AC79" s="163">
        <v>85648.59</v>
      </c>
      <c r="AD79" s="163">
        <v>85482.540000000008</v>
      </c>
      <c r="AE79" s="163">
        <v>85648.59</v>
      </c>
      <c r="AF79" s="163">
        <v>85847.85</v>
      </c>
      <c r="AG79" s="163">
        <v>85715.010000000009</v>
      </c>
      <c r="AH79" s="163">
        <v>85881.06</v>
      </c>
      <c r="AI79" s="163">
        <v>85980.69</v>
      </c>
      <c r="AJ79" s="163">
        <v>85980.69</v>
      </c>
      <c r="AK79" s="163">
        <v>85980.69</v>
      </c>
      <c r="AL79" s="161">
        <f t="shared" si="68"/>
        <v>257942.07</v>
      </c>
      <c r="AM79" s="163">
        <f>118818.17+'kw summary'!E11</f>
        <v>290580.17</v>
      </c>
      <c r="AN79" s="161">
        <f t="shared" si="70"/>
        <v>-32638.099999999977</v>
      </c>
      <c r="AO79" s="107">
        <v>79888.34</v>
      </c>
      <c r="AP79" s="108">
        <v>80959.53</v>
      </c>
      <c r="AQ79" s="108">
        <v>78130.990000000005</v>
      </c>
      <c r="AR79" s="108">
        <v>83337.47</v>
      </c>
      <c r="AS79" s="108">
        <v>82622.14</v>
      </c>
      <c r="AT79" s="108">
        <v>83427.590000000011</v>
      </c>
      <c r="AU79" s="108">
        <v>82790.03</v>
      </c>
      <c r="AV79" s="108">
        <v>82378.840000000011</v>
      </c>
      <c r="AW79" s="108">
        <v>75552.650000000009</v>
      </c>
      <c r="AX79" s="116">
        <v>76489.899999999994</v>
      </c>
      <c r="AY79" s="111">
        <v>116860.30763863816</v>
      </c>
      <c r="AZ79" s="107">
        <v>116860.30763863816</v>
      </c>
      <c r="BA79" s="107">
        <v>115743.89582816201</v>
      </c>
      <c r="BB79" s="107">
        <v>115554.53976136747</v>
      </c>
      <c r="BC79" s="107">
        <v>116453.98107864153</v>
      </c>
      <c r="BD79" s="107">
        <v>116595.99812873744</v>
      </c>
      <c r="BE79" s="107">
        <v>116738.01517883335</v>
      </c>
      <c r="BF79" s="107">
        <v>116264.62501184701</v>
      </c>
      <c r="BG79" s="107">
        <v>116169.94697844973</v>
      </c>
      <c r="BH79" s="107">
        <v>116359.30304524428</v>
      </c>
      <c r="BI79" s="107">
        <v>116880.03222892925</v>
      </c>
      <c r="BJ79" s="107">
        <v>116860.30763863816</v>
      </c>
      <c r="BK79" s="107">
        <v>116860.30763863816</v>
      </c>
      <c r="BL79" s="107">
        <v>116549.31659838183</v>
      </c>
      <c r="BM79" s="108">
        <v>116549.31659838183</v>
      </c>
      <c r="BN79" s="108">
        <v>116549.31659838183</v>
      </c>
      <c r="BO79" s="108">
        <v>116549.31659838183</v>
      </c>
      <c r="BP79" s="108">
        <v>116549.31659838183</v>
      </c>
      <c r="BQ79" s="108">
        <v>116549.31659838183</v>
      </c>
      <c r="BR79" s="108">
        <v>116549.31659838183</v>
      </c>
      <c r="BS79" s="108">
        <v>116549.31659838183</v>
      </c>
      <c r="BT79" s="108">
        <v>116549.31659838183</v>
      </c>
      <c r="BU79" s="108">
        <v>116549.31659838183</v>
      </c>
      <c r="BV79" s="108">
        <v>116549.31659838183</v>
      </c>
      <c r="BW79" s="108">
        <v>116549.31659838183</v>
      </c>
      <c r="BX79" s="108">
        <v>116549.31659838183</v>
      </c>
      <c r="BY79" s="108">
        <v>116786.01168187502</v>
      </c>
      <c r="BZ79" s="108">
        <v>116786.01168187502</v>
      </c>
      <c r="CA79" s="108">
        <v>116786.01168187502</v>
      </c>
      <c r="CB79" s="108">
        <v>116786.01168187502</v>
      </c>
      <c r="CC79" s="108">
        <v>116786.01168187502</v>
      </c>
      <c r="CD79" s="108">
        <v>116786.01168187502</v>
      </c>
      <c r="CE79" s="108">
        <v>116786.01168187502</v>
      </c>
      <c r="CF79" s="108">
        <v>116786.01168187502</v>
      </c>
      <c r="CG79" s="108">
        <v>116786.01168187502</v>
      </c>
      <c r="CH79" s="108">
        <v>116786.01168187502</v>
      </c>
      <c r="CI79" s="108">
        <v>116786.01168187502</v>
      </c>
      <c r="CJ79" s="108">
        <v>116786.01168187502</v>
      </c>
      <c r="CK79" s="108">
        <v>117022.70676536823</v>
      </c>
      <c r="CL79" s="108">
        <v>117022.70676536823</v>
      </c>
      <c r="CM79" s="108">
        <v>117022.70676536823</v>
      </c>
      <c r="CN79" s="108">
        <v>117022.70676536823</v>
      </c>
      <c r="CO79" s="108">
        <v>117022.70676536823</v>
      </c>
      <c r="CP79" s="108">
        <v>117022.70676536823</v>
      </c>
      <c r="CQ79" s="108">
        <v>117022.70676536823</v>
      </c>
      <c r="CR79" s="108">
        <v>117022.70676536823</v>
      </c>
      <c r="CS79" s="108">
        <v>117022.70676536823</v>
      </c>
      <c r="CT79" s="108">
        <v>117022.70676536823</v>
      </c>
      <c r="CU79" s="108">
        <v>117022.70676536823</v>
      </c>
      <c r="CV79" s="108">
        <v>117022.70676536823</v>
      </c>
      <c r="CW79" s="108">
        <v>117259.40184886142</v>
      </c>
      <c r="CX79" s="108">
        <v>117259.40184886142</v>
      </c>
      <c r="CY79" s="108">
        <v>117259.40184886142</v>
      </c>
      <c r="CZ79" s="108">
        <v>117259.40184886142</v>
      </c>
      <c r="DA79" s="108">
        <v>117259.40184886142</v>
      </c>
      <c r="DB79" s="108">
        <v>117259.40184886142</v>
      </c>
      <c r="DC79" s="108">
        <v>117259.40184886142</v>
      </c>
      <c r="DD79" s="108">
        <v>117259.40184886142</v>
      </c>
      <c r="DE79" s="108">
        <v>117259.40184886142</v>
      </c>
      <c r="DF79" s="108">
        <v>117259.40184886142</v>
      </c>
      <c r="DG79" s="108">
        <v>117259.40184886142</v>
      </c>
      <c r="DH79" s="108">
        <v>117259.40184886142</v>
      </c>
      <c r="DI79" s="108">
        <v>117496.0969323546</v>
      </c>
      <c r="DJ79" s="108">
        <v>117496.0969323546</v>
      </c>
      <c r="DK79" s="108">
        <v>117496.0969323546</v>
      </c>
      <c r="DL79" s="108">
        <v>117496.0969323546</v>
      </c>
      <c r="DM79" s="108">
        <v>117496.0969323546</v>
      </c>
      <c r="DN79" s="108">
        <v>117496.0969323546</v>
      </c>
      <c r="DO79" s="108">
        <v>117496.0969323546</v>
      </c>
      <c r="DP79" s="108">
        <v>117496.0969323546</v>
      </c>
      <c r="DQ79" s="108">
        <v>117496.0969323546</v>
      </c>
      <c r="DR79" s="108">
        <v>117496.0969323546</v>
      </c>
      <c r="DS79" s="108">
        <v>117496.0969323546</v>
      </c>
      <c r="DT79" s="108">
        <v>117496.0969323546</v>
      </c>
    </row>
    <row r="80" spans="1:124" s="112" customFormat="1" x14ac:dyDescent="0.25">
      <c r="A80" s="121" t="s">
        <v>251</v>
      </c>
      <c r="B80" s="121"/>
      <c r="C80" s="121"/>
      <c r="D80" s="121"/>
      <c r="E80" s="121"/>
      <c r="F80" s="121"/>
      <c r="G80" s="121"/>
      <c r="H80" s="121"/>
      <c r="I80" s="121"/>
      <c r="J80" s="121"/>
      <c r="K80" s="121"/>
      <c r="L80" s="121"/>
      <c r="M80" s="121"/>
      <c r="N80" s="121"/>
      <c r="O80" s="121"/>
      <c r="P80" s="121"/>
      <c r="Q80" s="121"/>
      <c r="R80" s="121"/>
      <c r="S80" s="121"/>
      <c r="T80" s="121"/>
      <c r="U80" s="121"/>
      <c r="V80" s="121"/>
      <c r="W80" s="121"/>
      <c r="X80" s="121"/>
      <c r="Y80" s="121"/>
      <c r="Z80" s="122" t="e">
        <f>SUM(Z74:Z79)</f>
        <v>#REF!</v>
      </c>
      <c r="AA80" s="122" t="e">
        <f t="shared" ref="AA80:AL80" si="71">SUM(AA74:AA79)</f>
        <v>#REF!</v>
      </c>
      <c r="AB80" s="122" t="e">
        <f t="shared" si="71"/>
        <v>#REF!</v>
      </c>
      <c r="AC80" s="122" t="e">
        <f t="shared" si="71"/>
        <v>#REF!</v>
      </c>
      <c r="AD80" s="122" t="e">
        <f t="shared" si="71"/>
        <v>#REF!</v>
      </c>
      <c r="AE80" s="122" t="e">
        <f t="shared" si="71"/>
        <v>#REF!</v>
      </c>
      <c r="AF80" s="122" t="e">
        <f t="shared" si="71"/>
        <v>#REF!</v>
      </c>
      <c r="AG80" s="122" t="e">
        <f t="shared" si="71"/>
        <v>#REF!</v>
      </c>
      <c r="AH80" s="122" t="e">
        <f t="shared" si="71"/>
        <v>#REF!</v>
      </c>
      <c r="AI80" s="122" t="e">
        <f t="shared" si="71"/>
        <v>#REF!</v>
      </c>
      <c r="AJ80" s="122" t="e">
        <f t="shared" si="71"/>
        <v>#REF!</v>
      </c>
      <c r="AK80" s="122" t="e">
        <f t="shared" si="71"/>
        <v>#REF!</v>
      </c>
      <c r="AL80" s="122" t="e">
        <f t="shared" si="71"/>
        <v>#REF!</v>
      </c>
      <c r="AM80" s="122">
        <f>SUM(AM73:AM79)</f>
        <v>2359569.84</v>
      </c>
      <c r="AN80" s="122" t="e">
        <f>SUM(AN73:AN79)</f>
        <v>#REF!</v>
      </c>
      <c r="AO80" s="123">
        <f t="shared" ref="AO80:AP80" si="72">SUM(AO73,AO76:AO79)</f>
        <v>911442.15</v>
      </c>
      <c r="AP80" s="124">
        <f t="shared" si="72"/>
        <v>767151.51</v>
      </c>
      <c r="AQ80" s="124">
        <f>SUM(AQ73,AQ76:AQ79)</f>
        <v>618580.07999999996</v>
      </c>
      <c r="AR80" s="124">
        <f>SUM(AR73,AR76:AR79)</f>
        <v>701792.2</v>
      </c>
      <c r="AS80" s="124">
        <f>SUM(AS73,AS76:AS79)</f>
        <v>775955.19000000006</v>
      </c>
      <c r="AT80" s="124">
        <f>SUM(AT73,AT76:AT79)</f>
        <v>1000292.18</v>
      </c>
      <c r="AU80" s="124">
        <f t="shared" ref="AU80:AY80" si="73">SUM(AU73,AU76:AU79)</f>
        <v>920227.23</v>
      </c>
      <c r="AV80" s="124">
        <f t="shared" si="73"/>
        <v>948038.45</v>
      </c>
      <c r="AW80" s="124">
        <f t="shared" si="73"/>
        <v>981953.27</v>
      </c>
      <c r="AX80" s="125">
        <f t="shared" si="73"/>
        <v>905793.62</v>
      </c>
      <c r="AY80" s="126" t="e">
        <f t="shared" si="73"/>
        <v>#REF!</v>
      </c>
      <c r="AZ80" s="123" t="e">
        <f>SUM(AZ73,AZ76:AZ79)</f>
        <v>#REF!</v>
      </c>
      <c r="BA80" s="123" t="e">
        <f>SUM(BA73,BA76:$BA$79)</f>
        <v>#REF!</v>
      </c>
      <c r="BB80" s="123" t="e">
        <f>SUM(BB73,$BB76:BB$79)</f>
        <v>#REF!</v>
      </c>
      <c r="BC80" s="123" t="e">
        <f t="shared" ref="BC80:DN80" si="74">SUM(BC73,BC76:BC79)</f>
        <v>#REF!</v>
      </c>
      <c r="BD80" s="124" t="e">
        <f t="shared" si="74"/>
        <v>#REF!</v>
      </c>
      <c r="BE80" s="124" t="e">
        <f t="shared" si="74"/>
        <v>#REF!</v>
      </c>
      <c r="BF80" s="124" t="e">
        <f t="shared" si="74"/>
        <v>#REF!</v>
      </c>
      <c r="BG80" s="124" t="e">
        <f t="shared" si="74"/>
        <v>#REF!</v>
      </c>
      <c r="BH80" s="124" t="e">
        <f t="shared" si="74"/>
        <v>#REF!</v>
      </c>
      <c r="BI80" s="124" t="e">
        <f t="shared" si="74"/>
        <v>#REF!</v>
      </c>
      <c r="BJ80" s="124" t="e">
        <f t="shared" si="74"/>
        <v>#REF!</v>
      </c>
      <c r="BK80" s="124" t="e">
        <f t="shared" si="74"/>
        <v>#REF!</v>
      </c>
      <c r="BL80" s="124" t="e">
        <f t="shared" si="74"/>
        <v>#REF!</v>
      </c>
      <c r="BM80" s="124" t="e">
        <f t="shared" si="74"/>
        <v>#REF!</v>
      </c>
      <c r="BN80" s="124" t="e">
        <f t="shared" si="74"/>
        <v>#REF!</v>
      </c>
      <c r="BO80" s="124" t="e">
        <f t="shared" si="74"/>
        <v>#REF!</v>
      </c>
      <c r="BP80" s="124" t="e">
        <f t="shared" si="74"/>
        <v>#REF!</v>
      </c>
      <c r="BQ80" s="124" t="e">
        <f t="shared" si="74"/>
        <v>#REF!</v>
      </c>
      <c r="BR80" s="124" t="e">
        <f t="shared" si="74"/>
        <v>#REF!</v>
      </c>
      <c r="BS80" s="124" t="e">
        <f t="shared" si="74"/>
        <v>#REF!</v>
      </c>
      <c r="BT80" s="124" t="e">
        <f t="shared" si="74"/>
        <v>#REF!</v>
      </c>
      <c r="BU80" s="124" t="e">
        <f t="shared" si="74"/>
        <v>#REF!</v>
      </c>
      <c r="BV80" s="124" t="e">
        <f t="shared" si="74"/>
        <v>#REF!</v>
      </c>
      <c r="BW80" s="124" t="e">
        <f t="shared" si="74"/>
        <v>#REF!</v>
      </c>
      <c r="BX80" s="124" t="e">
        <f t="shared" si="74"/>
        <v>#REF!</v>
      </c>
      <c r="BY80" s="124" t="e">
        <f t="shared" si="74"/>
        <v>#REF!</v>
      </c>
      <c r="BZ80" s="124" t="e">
        <f t="shared" si="74"/>
        <v>#REF!</v>
      </c>
      <c r="CA80" s="124" t="e">
        <f t="shared" si="74"/>
        <v>#REF!</v>
      </c>
      <c r="CB80" s="124" t="e">
        <f t="shared" si="74"/>
        <v>#REF!</v>
      </c>
      <c r="CC80" s="124" t="e">
        <f t="shared" si="74"/>
        <v>#REF!</v>
      </c>
      <c r="CD80" s="124" t="e">
        <f t="shared" si="74"/>
        <v>#REF!</v>
      </c>
      <c r="CE80" s="124" t="e">
        <f t="shared" si="74"/>
        <v>#REF!</v>
      </c>
      <c r="CF80" s="124" t="e">
        <f t="shared" si="74"/>
        <v>#REF!</v>
      </c>
      <c r="CG80" s="124" t="e">
        <f t="shared" si="74"/>
        <v>#REF!</v>
      </c>
      <c r="CH80" s="124" t="e">
        <f t="shared" si="74"/>
        <v>#REF!</v>
      </c>
      <c r="CI80" s="124" t="e">
        <f t="shared" si="74"/>
        <v>#REF!</v>
      </c>
      <c r="CJ80" s="124" t="e">
        <f t="shared" si="74"/>
        <v>#REF!</v>
      </c>
      <c r="CK80" s="124" t="e">
        <f t="shared" si="74"/>
        <v>#REF!</v>
      </c>
      <c r="CL80" s="124" t="e">
        <f t="shared" si="74"/>
        <v>#REF!</v>
      </c>
      <c r="CM80" s="124" t="e">
        <f t="shared" si="74"/>
        <v>#REF!</v>
      </c>
      <c r="CN80" s="124" t="e">
        <f t="shared" si="74"/>
        <v>#REF!</v>
      </c>
      <c r="CO80" s="124" t="e">
        <f t="shared" si="74"/>
        <v>#REF!</v>
      </c>
      <c r="CP80" s="124" t="e">
        <f t="shared" si="74"/>
        <v>#REF!</v>
      </c>
      <c r="CQ80" s="124" t="e">
        <f t="shared" si="74"/>
        <v>#REF!</v>
      </c>
      <c r="CR80" s="124" t="e">
        <f t="shared" si="74"/>
        <v>#REF!</v>
      </c>
      <c r="CS80" s="124" t="e">
        <f t="shared" si="74"/>
        <v>#REF!</v>
      </c>
      <c r="CT80" s="124" t="e">
        <f t="shared" si="74"/>
        <v>#REF!</v>
      </c>
      <c r="CU80" s="124" t="e">
        <f t="shared" si="74"/>
        <v>#REF!</v>
      </c>
      <c r="CV80" s="124" t="e">
        <f t="shared" si="74"/>
        <v>#REF!</v>
      </c>
      <c r="CW80" s="124" t="e">
        <f t="shared" si="74"/>
        <v>#REF!</v>
      </c>
      <c r="CX80" s="124" t="e">
        <f t="shared" si="74"/>
        <v>#REF!</v>
      </c>
      <c r="CY80" s="124" t="e">
        <f t="shared" si="74"/>
        <v>#REF!</v>
      </c>
      <c r="CZ80" s="124" t="e">
        <f t="shared" si="74"/>
        <v>#REF!</v>
      </c>
      <c r="DA80" s="124" t="e">
        <f t="shared" si="74"/>
        <v>#REF!</v>
      </c>
      <c r="DB80" s="124" t="e">
        <f t="shared" si="74"/>
        <v>#REF!</v>
      </c>
      <c r="DC80" s="124" t="e">
        <f t="shared" si="74"/>
        <v>#REF!</v>
      </c>
      <c r="DD80" s="124" t="e">
        <f t="shared" si="74"/>
        <v>#REF!</v>
      </c>
      <c r="DE80" s="124" t="e">
        <f t="shared" si="74"/>
        <v>#REF!</v>
      </c>
      <c r="DF80" s="124" t="e">
        <f t="shared" si="74"/>
        <v>#REF!</v>
      </c>
      <c r="DG80" s="124" t="e">
        <f t="shared" si="74"/>
        <v>#REF!</v>
      </c>
      <c r="DH80" s="124" t="e">
        <f t="shared" si="74"/>
        <v>#REF!</v>
      </c>
      <c r="DI80" s="124" t="e">
        <f t="shared" si="74"/>
        <v>#REF!</v>
      </c>
      <c r="DJ80" s="124" t="e">
        <f t="shared" si="74"/>
        <v>#REF!</v>
      </c>
      <c r="DK80" s="124" t="e">
        <f t="shared" si="74"/>
        <v>#REF!</v>
      </c>
      <c r="DL80" s="124" t="e">
        <f t="shared" si="74"/>
        <v>#REF!</v>
      </c>
      <c r="DM80" s="124" t="e">
        <f t="shared" si="74"/>
        <v>#REF!</v>
      </c>
      <c r="DN80" s="124" t="e">
        <f t="shared" si="74"/>
        <v>#REF!</v>
      </c>
      <c r="DO80" s="124" t="e">
        <f t="shared" ref="DO80:DT80" si="75">SUM(DO73,DO76:DO79)</f>
        <v>#REF!</v>
      </c>
      <c r="DP80" s="124" t="e">
        <f t="shared" si="75"/>
        <v>#REF!</v>
      </c>
      <c r="DQ80" s="124" t="e">
        <f t="shared" si="75"/>
        <v>#REF!</v>
      </c>
      <c r="DR80" s="124" t="e">
        <f t="shared" si="75"/>
        <v>#REF!</v>
      </c>
      <c r="DS80" s="124" t="e">
        <f t="shared" si="75"/>
        <v>#REF!</v>
      </c>
      <c r="DT80" s="124" t="e">
        <f t="shared" si="75"/>
        <v>#REF!</v>
      </c>
    </row>
    <row r="81" spans="1:124" s="112" customFormat="1" x14ac:dyDescent="0.25">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07"/>
      <c r="AA81" s="107"/>
      <c r="AB81" s="107"/>
      <c r="AC81" s="107"/>
      <c r="AD81" s="107"/>
      <c r="AE81" s="107"/>
      <c r="AF81" s="107"/>
      <c r="AG81" s="107"/>
      <c r="AH81" s="107"/>
      <c r="AI81" s="107"/>
      <c r="AJ81" s="107"/>
      <c r="AK81" s="107"/>
      <c r="AL81" s="107"/>
      <c r="AM81" s="107"/>
      <c r="AN81" s="107"/>
      <c r="AO81" s="107"/>
      <c r="AP81" s="108"/>
      <c r="AQ81" s="108"/>
      <c r="AR81" s="108"/>
      <c r="AS81" s="108"/>
      <c r="AT81" s="108"/>
      <c r="AU81" s="108"/>
      <c r="AV81" s="108"/>
      <c r="AW81" s="108"/>
      <c r="AX81" s="116"/>
      <c r="AY81" s="111"/>
      <c r="AZ81" s="107"/>
      <c r="BA81" s="107"/>
      <c r="BB81" s="107"/>
      <c r="BC81" s="107"/>
      <c r="BD81" s="108"/>
      <c r="BE81" s="108"/>
      <c r="BF81" s="108"/>
      <c r="BG81" s="108"/>
      <c r="BH81" s="108"/>
      <c r="BI81" s="108"/>
      <c r="BJ81" s="108"/>
      <c r="BK81" s="108"/>
      <c r="BL81" s="108"/>
    </row>
    <row r="82" spans="1:124" s="112" customFormat="1" x14ac:dyDescent="0.25">
      <c r="A82" s="113" t="s">
        <v>285</v>
      </c>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07"/>
      <c r="AA82" s="107"/>
      <c r="AB82" s="107"/>
      <c r="AC82" s="107"/>
      <c r="AD82" s="107"/>
      <c r="AE82" s="107"/>
      <c r="AF82" s="107"/>
      <c r="AG82" s="107"/>
      <c r="AH82" s="107"/>
      <c r="AI82" s="107"/>
      <c r="AJ82" s="107"/>
      <c r="AK82" s="107"/>
      <c r="AL82" s="107"/>
      <c r="AM82" s="107"/>
      <c r="AN82" s="107"/>
      <c r="AO82" s="107"/>
      <c r="AP82" s="108"/>
      <c r="AQ82" s="108"/>
      <c r="AR82" s="108"/>
      <c r="AS82" s="108"/>
      <c r="AT82" s="108"/>
      <c r="AU82" s="108"/>
      <c r="AV82" s="108"/>
      <c r="AW82" s="108"/>
      <c r="AX82" s="116"/>
      <c r="AY82" s="111"/>
      <c r="AZ82" s="107"/>
      <c r="BA82" s="107"/>
      <c r="BB82" s="107"/>
      <c r="BC82" s="107"/>
      <c r="BD82" s="108"/>
      <c r="BE82" s="108"/>
      <c r="BF82" s="108"/>
      <c r="BG82" s="108"/>
      <c r="BH82" s="108"/>
      <c r="BI82" s="108"/>
      <c r="BJ82" s="108"/>
      <c r="BK82" s="108"/>
      <c r="BL82" s="108"/>
    </row>
    <row r="83" spans="1:124" s="112" customFormat="1" x14ac:dyDescent="0.25">
      <c r="A83" s="114" t="s">
        <v>256</v>
      </c>
      <c r="B83" s="155">
        <v>23497.65</v>
      </c>
      <c r="C83" s="155">
        <v>20604.849999999999</v>
      </c>
      <c r="D83" s="155">
        <v>20626.22</v>
      </c>
      <c r="E83" s="155">
        <v>22106</v>
      </c>
      <c r="F83" s="155">
        <v>19537</v>
      </c>
      <c r="G83" s="155">
        <v>20590.36</v>
      </c>
      <c r="H83" s="155">
        <v>21426</v>
      </c>
      <c r="I83" s="155">
        <v>24918.32</v>
      </c>
      <c r="J83" s="155">
        <v>24042.19</v>
      </c>
      <c r="K83" s="155">
        <v>24455.08</v>
      </c>
      <c r="L83" s="155">
        <v>22897.73</v>
      </c>
      <c r="M83" s="155">
        <v>23235.9</v>
      </c>
      <c r="N83" s="155">
        <v>23036.9</v>
      </c>
      <c r="O83" s="155">
        <v>20643.73</v>
      </c>
      <c r="P83" s="155">
        <v>18015.07</v>
      </c>
      <c r="Q83" s="155">
        <v>19832.93</v>
      </c>
      <c r="R83" s="155">
        <v>19370.490000000002</v>
      </c>
      <c r="S83" s="155">
        <v>22933.84</v>
      </c>
      <c r="T83" s="155">
        <v>20561.939999999999</v>
      </c>
      <c r="U83" s="155">
        <v>22228.21</v>
      </c>
      <c r="V83" s="155">
        <v>22588.240000000002</v>
      </c>
      <c r="W83" s="155">
        <v>23889.01</v>
      </c>
      <c r="X83" s="155">
        <v>21645.27</v>
      </c>
      <c r="Y83" s="155">
        <v>23606.89</v>
      </c>
      <c r="Z83" s="107">
        <v>20721.560000000001</v>
      </c>
      <c r="AA83" s="107">
        <v>15751.48</v>
      </c>
      <c r="AB83" s="107">
        <v>23665.64</v>
      </c>
      <c r="AC83" s="107">
        <v>21896.71</v>
      </c>
      <c r="AD83" s="107">
        <v>19638.990000000002</v>
      </c>
      <c r="AE83" s="107">
        <v>20938.75</v>
      </c>
      <c r="AF83" s="107">
        <v>21025.439999999999</v>
      </c>
      <c r="AG83" s="107">
        <v>22686.93</v>
      </c>
      <c r="AH83" s="107">
        <v>19215.62</v>
      </c>
      <c r="AI83" s="107">
        <v>1.1368683772161603E-13</v>
      </c>
      <c r="AJ83" s="107">
        <v>0</v>
      </c>
      <c r="AK83" s="107">
        <v>15331.74</v>
      </c>
      <c r="AL83" s="107"/>
      <c r="AM83" s="107"/>
      <c r="AN83" s="107"/>
      <c r="AO83" s="135">
        <v>5489.47</v>
      </c>
      <c r="AP83" s="108">
        <v>26120.13</v>
      </c>
      <c r="AQ83" s="108">
        <v>20885.8</v>
      </c>
      <c r="AR83" s="108">
        <v>21396.07</v>
      </c>
      <c r="AS83" s="108">
        <v>23210.74</v>
      </c>
      <c r="AT83" s="108">
        <v>16112.61</v>
      </c>
      <c r="AU83" s="108">
        <v>18382.46</v>
      </c>
      <c r="AV83" s="108">
        <v>19324.39</v>
      </c>
      <c r="AW83" s="108">
        <v>17601.93</v>
      </c>
      <c r="AX83" s="116">
        <v>21053.59</v>
      </c>
      <c r="AY83" s="111">
        <v>22290.677037037036</v>
      </c>
      <c r="AZ83" s="135">
        <f t="shared" ref="AZ83:BL91" si="76">AVERAGE(A83,M83,AK83)</f>
        <v>19283.82</v>
      </c>
      <c r="BA83" s="166">
        <v>20721.560000000001</v>
      </c>
      <c r="BB83" s="166">
        <v>15751.48</v>
      </c>
      <c r="BC83" s="166">
        <v>23665.64</v>
      </c>
      <c r="BD83" s="166">
        <v>21896.71</v>
      </c>
      <c r="BE83" s="166">
        <v>19638.990000000002</v>
      </c>
      <c r="BF83" s="166">
        <v>20938.75</v>
      </c>
      <c r="BG83" s="166">
        <v>21025.439999999999</v>
      </c>
      <c r="BH83" s="166">
        <v>22686.93</v>
      </c>
      <c r="BI83" s="166">
        <v>19215.62</v>
      </c>
      <c r="BJ83" s="166">
        <v>1.1368683772161603E-13</v>
      </c>
      <c r="BK83" s="166">
        <v>0</v>
      </c>
      <c r="BL83" s="166">
        <v>15331.74</v>
      </c>
      <c r="BM83" s="107">
        <f t="shared" ref="BM83:BX91" si="77">AVERAGE(N83,AO83,BA83)</f>
        <v>16415.976666666669</v>
      </c>
      <c r="BN83" s="107">
        <f t="shared" si="77"/>
        <v>20838.446666666667</v>
      </c>
      <c r="BO83" s="107">
        <f t="shared" si="77"/>
        <v>20855.50333333333</v>
      </c>
      <c r="BP83" s="107">
        <f t="shared" si="77"/>
        <v>21041.903333333332</v>
      </c>
      <c r="BQ83" s="107">
        <f t="shared" si="77"/>
        <v>20740.073333333334</v>
      </c>
      <c r="BR83" s="107">
        <f t="shared" si="77"/>
        <v>19995.066666666666</v>
      </c>
      <c r="BS83" s="107">
        <f t="shared" si="77"/>
        <v>19989.946666666667</v>
      </c>
      <c r="BT83" s="107">
        <f t="shared" si="77"/>
        <v>21413.176666666666</v>
      </c>
      <c r="BU83" s="107">
        <f t="shared" si="77"/>
        <v>19801.929999999997</v>
      </c>
      <c r="BV83" s="107">
        <f t="shared" si="77"/>
        <v>14980.866666666667</v>
      </c>
      <c r="BW83" s="107">
        <f t="shared" si="77"/>
        <v>14645.315679012347</v>
      </c>
      <c r="BX83" s="107">
        <f t="shared" si="77"/>
        <v>19407.483333333334</v>
      </c>
      <c r="BY83" s="107">
        <f t="shared" ref="BY83:CN91" si="78">AVERAGE(AO83,BA83,BM83)</f>
        <v>14209.002222222223</v>
      </c>
      <c r="BZ83" s="107">
        <f t="shared" si="78"/>
        <v>20903.352222222224</v>
      </c>
      <c r="CA83" s="107">
        <f t="shared" si="78"/>
        <v>21802.314444444444</v>
      </c>
      <c r="CB83" s="107">
        <f t="shared" si="78"/>
        <v>21444.894444444446</v>
      </c>
      <c r="CC83" s="107">
        <f t="shared" si="78"/>
        <v>21196.601111111111</v>
      </c>
      <c r="CD83" s="107">
        <f t="shared" si="78"/>
        <v>19015.475555555557</v>
      </c>
      <c r="CE83" s="107">
        <f t="shared" si="78"/>
        <v>19799.28222222222</v>
      </c>
      <c r="CF83" s="107">
        <f t="shared" si="78"/>
        <v>21141.498888888887</v>
      </c>
      <c r="CG83" s="107">
        <f t="shared" si="78"/>
        <v>18873.16</v>
      </c>
      <c r="CH83" s="107">
        <f t="shared" si="78"/>
        <v>12011.485555555555</v>
      </c>
      <c r="CI83" s="107">
        <f t="shared" si="78"/>
        <v>12311.99757201646</v>
      </c>
      <c r="CJ83" s="107">
        <f t="shared" si="78"/>
        <v>18007.681111111113</v>
      </c>
      <c r="CK83" s="107">
        <f t="shared" si="78"/>
        <v>17115.512962962963</v>
      </c>
      <c r="CL83" s="107">
        <f t="shared" si="78"/>
        <v>19164.426296296297</v>
      </c>
      <c r="CM83" s="107">
        <f t="shared" si="78"/>
        <v>22107.819259259257</v>
      </c>
      <c r="CN83" s="107">
        <f t="shared" si="78"/>
        <v>21461.169259259259</v>
      </c>
      <c r="CO83" s="107">
        <f t="shared" ref="CO83:DD91" si="79">AVERAGE(BE83,BQ83,CC83)</f>
        <v>20525.221481481483</v>
      </c>
      <c r="CP83" s="107">
        <f t="shared" si="79"/>
        <v>19983.097407407407</v>
      </c>
      <c r="CQ83" s="107">
        <f t="shared" si="79"/>
        <v>20271.556296296298</v>
      </c>
      <c r="CR83" s="107">
        <f t="shared" si="79"/>
        <v>21747.201851851849</v>
      </c>
      <c r="CS83" s="107">
        <f t="shared" si="79"/>
        <v>19296.903333333332</v>
      </c>
      <c r="CT83" s="107">
        <f t="shared" si="79"/>
        <v>8997.4507407407418</v>
      </c>
      <c r="CU83" s="107">
        <f t="shared" si="79"/>
        <v>8985.771083676269</v>
      </c>
      <c r="CV83" s="107">
        <f t="shared" si="79"/>
        <v>17582.301481481481</v>
      </c>
      <c r="CW83" s="107">
        <f t="shared" si="79"/>
        <v>15913.497283950617</v>
      </c>
      <c r="CX83" s="107">
        <f t="shared" si="79"/>
        <v>20302.075061728396</v>
      </c>
      <c r="CY83" s="107">
        <f t="shared" si="79"/>
        <v>21588.545679012343</v>
      </c>
      <c r="CZ83" s="107">
        <f t="shared" si="79"/>
        <v>21315.989012345679</v>
      </c>
      <c r="DA83" s="107">
        <f t="shared" si="79"/>
        <v>20820.631975308643</v>
      </c>
      <c r="DB83" s="107">
        <f t="shared" si="79"/>
        <v>19664.546543209875</v>
      </c>
      <c r="DC83" s="107">
        <f t="shared" si="79"/>
        <v>20020.261728395064</v>
      </c>
      <c r="DD83" s="107">
        <f t="shared" si="79"/>
        <v>21433.959135802466</v>
      </c>
      <c r="DE83" s="107">
        <f t="shared" ref="DE83:DT91" si="80">AVERAGE(BU83,CG83,CS83)</f>
        <v>19323.997777777779</v>
      </c>
      <c r="DF83" s="107">
        <f t="shared" si="80"/>
        <v>11996.600987654323</v>
      </c>
      <c r="DG83" s="107">
        <f t="shared" si="80"/>
        <v>11981.028111568359</v>
      </c>
      <c r="DH83" s="107">
        <f t="shared" si="80"/>
        <v>18332.488641975309</v>
      </c>
      <c r="DI83" s="107">
        <f t="shared" si="80"/>
        <v>15746.0041563786</v>
      </c>
      <c r="DJ83" s="107">
        <f t="shared" si="80"/>
        <v>20123.284526748972</v>
      </c>
      <c r="DK83" s="107">
        <f t="shared" si="80"/>
        <v>21832.893127572013</v>
      </c>
      <c r="DL83" s="107">
        <f t="shared" si="80"/>
        <v>21407.350905349795</v>
      </c>
      <c r="DM83" s="107">
        <f t="shared" si="80"/>
        <v>20847.484855967079</v>
      </c>
      <c r="DN83" s="107">
        <f t="shared" si="80"/>
        <v>19554.37316872428</v>
      </c>
      <c r="DO83" s="107">
        <f t="shared" si="80"/>
        <v>20030.366748971195</v>
      </c>
      <c r="DP83" s="107">
        <f t="shared" si="80"/>
        <v>21440.886625514398</v>
      </c>
      <c r="DQ83" s="107">
        <f t="shared" si="80"/>
        <v>19164.687037037034</v>
      </c>
      <c r="DR83" s="107">
        <f t="shared" si="80"/>
        <v>11001.845761316874</v>
      </c>
      <c r="DS83" s="107">
        <f t="shared" si="80"/>
        <v>11092.932255753696</v>
      </c>
      <c r="DT83" s="107">
        <f t="shared" si="80"/>
        <v>17974.157078189302</v>
      </c>
    </row>
    <row r="84" spans="1:124" s="112" customFormat="1" x14ac:dyDescent="0.25">
      <c r="A84" s="114" t="s">
        <v>257</v>
      </c>
      <c r="B84" s="155">
        <v>549</v>
      </c>
      <c r="C84" s="155">
        <v>366</v>
      </c>
      <c r="D84" s="155">
        <v>915</v>
      </c>
      <c r="E84" s="155">
        <v>854</v>
      </c>
      <c r="F84" s="155">
        <v>854</v>
      </c>
      <c r="G84" s="155">
        <v>366</v>
      </c>
      <c r="H84" s="155">
        <v>915</v>
      </c>
      <c r="I84" s="155">
        <v>392</v>
      </c>
      <c r="J84" s="155">
        <v>793</v>
      </c>
      <c r="K84" s="155">
        <v>610</v>
      </c>
      <c r="L84" s="155">
        <v>183</v>
      </c>
      <c r="M84" s="155">
        <v>305</v>
      </c>
      <c r="N84" s="155">
        <v>488</v>
      </c>
      <c r="O84" s="155">
        <v>305</v>
      </c>
      <c r="P84" s="155">
        <v>610</v>
      </c>
      <c r="Q84" s="155">
        <v>305</v>
      </c>
      <c r="R84" s="155">
        <v>549</v>
      </c>
      <c r="S84" s="155">
        <v>697</v>
      </c>
      <c r="T84" s="155">
        <v>366</v>
      </c>
      <c r="U84" s="155">
        <v>671</v>
      </c>
      <c r="V84" s="155">
        <v>183</v>
      </c>
      <c r="W84" s="155">
        <v>610</v>
      </c>
      <c r="X84" s="155">
        <v>976</v>
      </c>
      <c r="Y84" s="155">
        <v>427</v>
      </c>
      <c r="Z84" s="107">
        <v>366</v>
      </c>
      <c r="AA84" s="107">
        <v>488</v>
      </c>
      <c r="AB84" s="107">
        <v>549</v>
      </c>
      <c r="AC84" s="107">
        <v>915</v>
      </c>
      <c r="AD84" s="107">
        <v>366</v>
      </c>
      <c r="AE84" s="107">
        <v>244</v>
      </c>
      <c r="AF84" s="107">
        <v>488</v>
      </c>
      <c r="AG84" s="107">
        <v>305</v>
      </c>
      <c r="AH84" s="107">
        <v>549</v>
      </c>
      <c r="AI84" s="107">
        <v>0</v>
      </c>
      <c r="AJ84" s="107">
        <v>0</v>
      </c>
      <c r="AK84" s="107">
        <v>488</v>
      </c>
      <c r="AL84" s="107"/>
      <c r="AM84" s="107"/>
      <c r="AN84" s="107"/>
      <c r="AO84" s="107">
        <v>732</v>
      </c>
      <c r="AP84" s="108">
        <v>610</v>
      </c>
      <c r="AQ84" s="108">
        <v>976</v>
      </c>
      <c r="AR84" s="108">
        <v>2501</v>
      </c>
      <c r="AS84" s="108">
        <v>915</v>
      </c>
      <c r="AT84" s="108">
        <v>793</v>
      </c>
      <c r="AU84" s="108">
        <v>1159</v>
      </c>
      <c r="AV84" s="108">
        <v>1098</v>
      </c>
      <c r="AW84" s="108">
        <v>793</v>
      </c>
      <c r="AX84" s="116">
        <v>610</v>
      </c>
      <c r="AY84" s="111">
        <v>500.66666666666669</v>
      </c>
      <c r="AZ84" s="107">
        <f t="shared" si="76"/>
        <v>396.5</v>
      </c>
      <c r="BA84" s="166">
        <v>366</v>
      </c>
      <c r="BB84" s="166">
        <v>488</v>
      </c>
      <c r="BC84" s="166">
        <v>549</v>
      </c>
      <c r="BD84" s="166">
        <v>915</v>
      </c>
      <c r="BE84" s="166">
        <v>366</v>
      </c>
      <c r="BF84" s="166">
        <v>244</v>
      </c>
      <c r="BG84" s="166">
        <v>488</v>
      </c>
      <c r="BH84" s="166">
        <v>305</v>
      </c>
      <c r="BI84" s="166">
        <v>549</v>
      </c>
      <c r="BJ84" s="166">
        <v>0</v>
      </c>
      <c r="BK84" s="166">
        <v>0</v>
      </c>
      <c r="BL84" s="166">
        <v>488</v>
      </c>
      <c r="BM84" s="107">
        <f t="shared" si="77"/>
        <v>528.66666666666663</v>
      </c>
      <c r="BN84" s="107">
        <f t="shared" si="77"/>
        <v>467.66666666666669</v>
      </c>
      <c r="BO84" s="107">
        <f t="shared" si="77"/>
        <v>711.66666666666663</v>
      </c>
      <c r="BP84" s="107">
        <f t="shared" si="77"/>
        <v>1240.3333333333333</v>
      </c>
      <c r="BQ84" s="107">
        <f t="shared" si="77"/>
        <v>610</v>
      </c>
      <c r="BR84" s="107">
        <f t="shared" si="77"/>
        <v>578</v>
      </c>
      <c r="BS84" s="107">
        <f t="shared" si="77"/>
        <v>671</v>
      </c>
      <c r="BT84" s="107">
        <f t="shared" si="77"/>
        <v>691.33333333333337</v>
      </c>
      <c r="BU84" s="107">
        <f t="shared" si="77"/>
        <v>508.33333333333331</v>
      </c>
      <c r="BV84" s="107">
        <f t="shared" si="77"/>
        <v>406.66666666666669</v>
      </c>
      <c r="BW84" s="107">
        <f t="shared" si="77"/>
        <v>492.22222222222223</v>
      </c>
      <c r="BX84" s="107">
        <f t="shared" si="77"/>
        <v>437.16666666666669</v>
      </c>
      <c r="BY84" s="107">
        <f t="shared" si="78"/>
        <v>542.22222222222217</v>
      </c>
      <c r="BZ84" s="107">
        <f t="shared" si="78"/>
        <v>521.88888888888891</v>
      </c>
      <c r="CA84" s="107">
        <f t="shared" si="78"/>
        <v>745.55555555555554</v>
      </c>
      <c r="CB84" s="107">
        <f t="shared" si="78"/>
        <v>1552.1111111111111</v>
      </c>
      <c r="CC84" s="107">
        <f t="shared" si="78"/>
        <v>630.33333333333337</v>
      </c>
      <c r="CD84" s="107">
        <f t="shared" si="78"/>
        <v>538.33333333333337</v>
      </c>
      <c r="CE84" s="107">
        <f t="shared" si="78"/>
        <v>772.66666666666663</v>
      </c>
      <c r="CF84" s="107">
        <f t="shared" si="78"/>
        <v>698.1111111111112</v>
      </c>
      <c r="CG84" s="107">
        <f t="shared" si="78"/>
        <v>616.77777777777771</v>
      </c>
      <c r="CH84" s="107">
        <f t="shared" si="78"/>
        <v>338.88888888888891</v>
      </c>
      <c r="CI84" s="107">
        <f t="shared" si="78"/>
        <v>330.96296296296299</v>
      </c>
      <c r="CJ84" s="107">
        <f t="shared" si="78"/>
        <v>440.5555555555556</v>
      </c>
      <c r="CK84" s="107">
        <f t="shared" si="78"/>
        <v>478.96296296296288</v>
      </c>
      <c r="CL84" s="107">
        <f t="shared" si="78"/>
        <v>492.51851851851853</v>
      </c>
      <c r="CM84" s="107">
        <f t="shared" si="78"/>
        <v>668.74074074074076</v>
      </c>
      <c r="CN84" s="107">
        <f t="shared" si="78"/>
        <v>1235.8148148148148</v>
      </c>
      <c r="CO84" s="107">
        <f t="shared" si="79"/>
        <v>535.44444444444446</v>
      </c>
      <c r="CP84" s="107">
        <f t="shared" si="79"/>
        <v>453.44444444444451</v>
      </c>
      <c r="CQ84" s="107">
        <f t="shared" si="79"/>
        <v>643.8888888888888</v>
      </c>
      <c r="CR84" s="107">
        <f t="shared" si="79"/>
        <v>564.81481481481489</v>
      </c>
      <c r="CS84" s="107">
        <f t="shared" si="79"/>
        <v>558.03703703703695</v>
      </c>
      <c r="CT84" s="107">
        <f t="shared" si="79"/>
        <v>248.51851851851856</v>
      </c>
      <c r="CU84" s="107">
        <f t="shared" si="79"/>
        <v>274.39506172839509</v>
      </c>
      <c r="CV84" s="107">
        <f t="shared" si="79"/>
        <v>455.24074074074082</v>
      </c>
      <c r="CW84" s="107">
        <f t="shared" si="79"/>
        <v>516.61728395061721</v>
      </c>
      <c r="CX84" s="107">
        <f t="shared" si="79"/>
        <v>494.02469135802471</v>
      </c>
      <c r="CY84" s="107">
        <f t="shared" si="79"/>
        <v>708.65432098765439</v>
      </c>
      <c r="CZ84" s="107">
        <f t="shared" si="79"/>
        <v>1342.7530864197531</v>
      </c>
      <c r="DA84" s="107">
        <f t="shared" si="79"/>
        <v>591.92592592592598</v>
      </c>
      <c r="DB84" s="107">
        <f t="shared" si="79"/>
        <v>523.25925925925935</v>
      </c>
      <c r="DC84" s="107">
        <f t="shared" si="79"/>
        <v>695.85185185185173</v>
      </c>
      <c r="DD84" s="107">
        <f t="shared" si="79"/>
        <v>651.41975308641986</v>
      </c>
      <c r="DE84" s="107">
        <f t="shared" si="80"/>
        <v>561.04938271604931</v>
      </c>
      <c r="DF84" s="107">
        <f t="shared" si="80"/>
        <v>331.35802469135808</v>
      </c>
      <c r="DG84" s="107">
        <f t="shared" si="80"/>
        <v>365.86008230452677</v>
      </c>
      <c r="DH84" s="107">
        <f t="shared" si="80"/>
        <v>444.32098765432102</v>
      </c>
      <c r="DI84" s="107">
        <f t="shared" si="80"/>
        <v>512.60082304526748</v>
      </c>
      <c r="DJ84" s="107">
        <f t="shared" si="80"/>
        <v>502.81069958847735</v>
      </c>
      <c r="DK84" s="107">
        <f t="shared" si="80"/>
        <v>707.6502057613169</v>
      </c>
      <c r="DL84" s="107">
        <f t="shared" si="80"/>
        <v>1376.8930041152264</v>
      </c>
      <c r="DM84" s="107">
        <f t="shared" si="80"/>
        <v>585.90123456790127</v>
      </c>
      <c r="DN84" s="107">
        <f t="shared" si="80"/>
        <v>505.01234567901241</v>
      </c>
      <c r="DO84" s="107">
        <f t="shared" si="80"/>
        <v>704.13580246913568</v>
      </c>
      <c r="DP84" s="107">
        <f t="shared" si="80"/>
        <v>638.11522633744869</v>
      </c>
      <c r="DQ84" s="107">
        <f t="shared" si="80"/>
        <v>578.6213991769547</v>
      </c>
      <c r="DR84" s="107">
        <f t="shared" si="80"/>
        <v>306.25514403292186</v>
      </c>
      <c r="DS84" s="107">
        <f t="shared" si="80"/>
        <v>323.73936899862832</v>
      </c>
      <c r="DT84" s="107">
        <f t="shared" si="80"/>
        <v>446.7057613168725</v>
      </c>
    </row>
    <row r="85" spans="1:124" s="112" customFormat="1" x14ac:dyDescent="0.25">
      <c r="A85" s="114" t="s">
        <v>258</v>
      </c>
      <c r="B85" s="155">
        <v>5665</v>
      </c>
      <c r="C85" s="155">
        <v>4940</v>
      </c>
      <c r="D85" s="155">
        <v>6318</v>
      </c>
      <c r="E85" s="155">
        <v>5408</v>
      </c>
      <c r="F85" s="155">
        <v>5941</v>
      </c>
      <c r="G85" s="155">
        <v>5421</v>
      </c>
      <c r="H85" s="155">
        <v>5411</v>
      </c>
      <c r="I85" s="155">
        <v>5148</v>
      </c>
      <c r="J85" s="155">
        <v>5486</v>
      </c>
      <c r="K85" s="155">
        <v>5590</v>
      </c>
      <c r="L85" s="155">
        <v>4706</v>
      </c>
      <c r="M85" s="155">
        <v>4888</v>
      </c>
      <c r="N85" s="155">
        <v>5148</v>
      </c>
      <c r="O85" s="155">
        <v>4108</v>
      </c>
      <c r="P85" s="155">
        <v>5772</v>
      </c>
      <c r="Q85" s="155">
        <v>5850</v>
      </c>
      <c r="R85" s="155">
        <v>5460</v>
      </c>
      <c r="S85" s="155">
        <v>5928</v>
      </c>
      <c r="T85" s="155">
        <v>5902</v>
      </c>
      <c r="U85" s="155">
        <v>5590</v>
      </c>
      <c r="V85" s="155">
        <v>5356</v>
      </c>
      <c r="W85" s="155">
        <v>5486</v>
      </c>
      <c r="X85" s="155">
        <v>5044</v>
      </c>
      <c r="Y85" s="155">
        <v>4856</v>
      </c>
      <c r="Z85" s="107">
        <v>4368</v>
      </c>
      <c r="AA85" s="107">
        <v>4550</v>
      </c>
      <c r="AB85" s="107">
        <v>5616</v>
      </c>
      <c r="AC85" s="107">
        <v>5434</v>
      </c>
      <c r="AD85" s="107">
        <v>5206</v>
      </c>
      <c r="AE85" s="107">
        <v>6084</v>
      </c>
      <c r="AF85" s="107">
        <v>5265</v>
      </c>
      <c r="AG85" s="107">
        <v>6552</v>
      </c>
      <c r="AH85" s="107">
        <v>6188</v>
      </c>
      <c r="AI85" s="107">
        <v>2028</v>
      </c>
      <c r="AJ85" s="107">
        <v>0</v>
      </c>
      <c r="AK85" s="107">
        <v>5902</v>
      </c>
      <c r="AL85" s="107"/>
      <c r="AM85" s="107"/>
      <c r="AN85" s="107"/>
      <c r="AO85" s="107">
        <v>3328</v>
      </c>
      <c r="AP85" s="108">
        <v>5642</v>
      </c>
      <c r="AQ85" s="108">
        <v>4784</v>
      </c>
      <c r="AR85" s="108">
        <v>6789</v>
      </c>
      <c r="AS85" s="108">
        <v>5850</v>
      </c>
      <c r="AT85" s="108">
        <v>6214</v>
      </c>
      <c r="AU85" s="108">
        <v>5460</v>
      </c>
      <c r="AV85" s="108">
        <v>6006</v>
      </c>
      <c r="AW85" s="108">
        <v>6344</v>
      </c>
      <c r="AX85" s="116">
        <v>5356</v>
      </c>
      <c r="AY85" s="111">
        <v>5085.666666666667</v>
      </c>
      <c r="AZ85" s="107">
        <f t="shared" si="76"/>
        <v>5395</v>
      </c>
      <c r="BA85" s="166">
        <v>4368</v>
      </c>
      <c r="BB85" s="166">
        <v>4550</v>
      </c>
      <c r="BC85" s="166">
        <v>5616</v>
      </c>
      <c r="BD85" s="166">
        <v>5434</v>
      </c>
      <c r="BE85" s="166">
        <v>5206</v>
      </c>
      <c r="BF85" s="166">
        <v>6084</v>
      </c>
      <c r="BG85" s="166">
        <v>5265</v>
      </c>
      <c r="BH85" s="166">
        <v>6552</v>
      </c>
      <c r="BI85" s="166">
        <v>6188</v>
      </c>
      <c r="BJ85" s="166">
        <v>2028</v>
      </c>
      <c r="BK85" s="166">
        <v>0</v>
      </c>
      <c r="BL85" s="166">
        <v>5902</v>
      </c>
      <c r="BM85" s="107">
        <f t="shared" si="77"/>
        <v>4281.333333333333</v>
      </c>
      <c r="BN85" s="107">
        <f t="shared" si="77"/>
        <v>4766.666666666667</v>
      </c>
      <c r="BO85" s="107">
        <f t="shared" si="77"/>
        <v>5390.666666666667</v>
      </c>
      <c r="BP85" s="107">
        <f t="shared" si="77"/>
        <v>6024.333333333333</v>
      </c>
      <c r="BQ85" s="107">
        <f t="shared" si="77"/>
        <v>5505.333333333333</v>
      </c>
      <c r="BR85" s="107">
        <f t="shared" si="77"/>
        <v>6075.333333333333</v>
      </c>
      <c r="BS85" s="107">
        <f t="shared" si="77"/>
        <v>5542.333333333333</v>
      </c>
      <c r="BT85" s="107">
        <f t="shared" si="77"/>
        <v>6049.333333333333</v>
      </c>
      <c r="BU85" s="107">
        <f t="shared" si="77"/>
        <v>5962.666666666667</v>
      </c>
      <c r="BV85" s="107">
        <f t="shared" si="77"/>
        <v>4290</v>
      </c>
      <c r="BW85" s="107">
        <f t="shared" si="77"/>
        <v>3376.5555555555561</v>
      </c>
      <c r="BX85" s="107">
        <f t="shared" si="77"/>
        <v>5384.333333333333</v>
      </c>
      <c r="BY85" s="107">
        <f t="shared" si="78"/>
        <v>3992.4444444444439</v>
      </c>
      <c r="BZ85" s="107">
        <f t="shared" si="78"/>
        <v>4986.2222222222226</v>
      </c>
      <c r="CA85" s="107">
        <f t="shared" si="78"/>
        <v>5263.5555555555557</v>
      </c>
      <c r="CB85" s="107">
        <f t="shared" si="78"/>
        <v>6082.4444444444443</v>
      </c>
      <c r="CC85" s="107">
        <f t="shared" si="78"/>
        <v>5520.4444444444443</v>
      </c>
      <c r="CD85" s="107">
        <f t="shared" si="78"/>
        <v>6124.4444444444443</v>
      </c>
      <c r="CE85" s="107">
        <f t="shared" si="78"/>
        <v>5422.4444444444443</v>
      </c>
      <c r="CF85" s="107">
        <f t="shared" si="78"/>
        <v>6202.4444444444443</v>
      </c>
      <c r="CG85" s="107">
        <f t="shared" si="78"/>
        <v>6164.8888888888896</v>
      </c>
      <c r="CH85" s="107">
        <f t="shared" si="78"/>
        <v>3891.3333333333335</v>
      </c>
      <c r="CI85" s="107">
        <f t="shared" si="78"/>
        <v>2820.7407407407409</v>
      </c>
      <c r="CJ85" s="107">
        <f t="shared" si="78"/>
        <v>5560.4444444444443</v>
      </c>
      <c r="CK85" s="107">
        <f t="shared" si="78"/>
        <v>4213.9259259259252</v>
      </c>
      <c r="CL85" s="107">
        <f t="shared" si="78"/>
        <v>4767.6296296296305</v>
      </c>
      <c r="CM85" s="107">
        <f t="shared" si="78"/>
        <v>5423.4074074074078</v>
      </c>
      <c r="CN85" s="107">
        <f t="shared" si="78"/>
        <v>5846.9259259259261</v>
      </c>
      <c r="CO85" s="107">
        <f t="shared" si="79"/>
        <v>5410.5925925925922</v>
      </c>
      <c r="CP85" s="107">
        <f t="shared" si="79"/>
        <v>6094.5925925925922</v>
      </c>
      <c r="CQ85" s="107">
        <f t="shared" si="79"/>
        <v>5409.9259259259261</v>
      </c>
      <c r="CR85" s="107">
        <f t="shared" si="79"/>
        <v>6267.9259259259261</v>
      </c>
      <c r="CS85" s="107">
        <f t="shared" si="79"/>
        <v>6105.1851851851861</v>
      </c>
      <c r="CT85" s="107">
        <f t="shared" si="79"/>
        <v>3403.1111111111113</v>
      </c>
      <c r="CU85" s="107">
        <f t="shared" si="79"/>
        <v>2065.7654320987658</v>
      </c>
      <c r="CV85" s="107">
        <f t="shared" si="79"/>
        <v>5615.5925925925922</v>
      </c>
      <c r="CW85" s="107">
        <f t="shared" si="79"/>
        <v>4162.5679012345672</v>
      </c>
      <c r="CX85" s="107">
        <f t="shared" si="79"/>
        <v>4840.1728395061737</v>
      </c>
      <c r="CY85" s="107">
        <f t="shared" si="79"/>
        <v>5359.2098765432102</v>
      </c>
      <c r="CZ85" s="107">
        <f t="shared" si="79"/>
        <v>5984.5679012345681</v>
      </c>
      <c r="DA85" s="107">
        <f t="shared" si="79"/>
        <v>5478.7901234567898</v>
      </c>
      <c r="DB85" s="107">
        <f t="shared" si="79"/>
        <v>6098.1234567901229</v>
      </c>
      <c r="DC85" s="107">
        <f t="shared" si="79"/>
        <v>5458.2345679012351</v>
      </c>
      <c r="DD85" s="107">
        <f t="shared" si="79"/>
        <v>6173.2345679012351</v>
      </c>
      <c r="DE85" s="107">
        <f t="shared" si="80"/>
        <v>6077.5802469135815</v>
      </c>
      <c r="DF85" s="107">
        <f t="shared" si="80"/>
        <v>3861.4814814814818</v>
      </c>
      <c r="DG85" s="107">
        <f t="shared" si="80"/>
        <v>2754.3539094650209</v>
      </c>
      <c r="DH85" s="107">
        <f t="shared" si="80"/>
        <v>5520.1234567901229</v>
      </c>
      <c r="DI85" s="107">
        <f t="shared" si="80"/>
        <v>4122.9794238683126</v>
      </c>
      <c r="DJ85" s="107">
        <f t="shared" si="80"/>
        <v>4864.6748971193419</v>
      </c>
      <c r="DK85" s="107">
        <f t="shared" si="80"/>
        <v>5348.7242798353909</v>
      </c>
      <c r="DL85" s="107">
        <f t="shared" si="80"/>
        <v>5971.3127572016456</v>
      </c>
      <c r="DM85" s="107">
        <f t="shared" si="80"/>
        <v>5469.9423868312761</v>
      </c>
      <c r="DN85" s="107">
        <f t="shared" si="80"/>
        <v>6105.7201646090534</v>
      </c>
      <c r="DO85" s="107">
        <f t="shared" si="80"/>
        <v>5430.2016460905352</v>
      </c>
      <c r="DP85" s="107">
        <f t="shared" si="80"/>
        <v>6214.5349794238682</v>
      </c>
      <c r="DQ85" s="107">
        <f t="shared" si="80"/>
        <v>6115.884773662553</v>
      </c>
      <c r="DR85" s="107">
        <f t="shared" si="80"/>
        <v>3718.6419753086425</v>
      </c>
      <c r="DS85" s="107">
        <f t="shared" si="80"/>
        <v>2546.9533607681756</v>
      </c>
      <c r="DT85" s="107">
        <f t="shared" si="80"/>
        <v>5565.3868312757195</v>
      </c>
    </row>
    <row r="86" spans="1:124" s="112" customFormat="1" x14ac:dyDescent="0.25">
      <c r="A86" s="114" t="s">
        <v>259</v>
      </c>
      <c r="B86" s="155">
        <v>2592</v>
      </c>
      <c r="C86" s="155">
        <v>4464</v>
      </c>
      <c r="D86" s="155">
        <v>4560</v>
      </c>
      <c r="E86" s="155">
        <v>4736</v>
      </c>
      <c r="F86" s="155">
        <v>5744</v>
      </c>
      <c r="G86" s="155">
        <v>4928</v>
      </c>
      <c r="H86" s="155">
        <v>5376</v>
      </c>
      <c r="I86" s="155">
        <v>4896</v>
      </c>
      <c r="J86" s="155">
        <v>5536</v>
      </c>
      <c r="K86" s="155">
        <v>6816</v>
      </c>
      <c r="L86" s="155">
        <v>5952</v>
      </c>
      <c r="M86" s="155">
        <v>3984</v>
      </c>
      <c r="N86" s="155">
        <v>2960</v>
      </c>
      <c r="O86" s="155">
        <v>4752</v>
      </c>
      <c r="P86" s="155">
        <v>4496</v>
      </c>
      <c r="Q86" s="155">
        <v>3824</v>
      </c>
      <c r="R86" s="155">
        <v>3856</v>
      </c>
      <c r="S86" s="155">
        <v>4160</v>
      </c>
      <c r="T86" s="155">
        <v>4896</v>
      </c>
      <c r="U86" s="155">
        <v>4944</v>
      </c>
      <c r="V86" s="155">
        <v>3264</v>
      </c>
      <c r="W86" s="155">
        <v>2800</v>
      </c>
      <c r="X86" s="155">
        <v>3984</v>
      </c>
      <c r="Y86" s="155">
        <v>3008</v>
      </c>
      <c r="Z86" s="107">
        <v>1792</v>
      </c>
      <c r="AA86" s="107">
        <v>3808</v>
      </c>
      <c r="AB86" s="107">
        <v>3408</v>
      </c>
      <c r="AC86" s="107">
        <v>4752</v>
      </c>
      <c r="AD86" s="107">
        <v>4400</v>
      </c>
      <c r="AE86" s="107">
        <v>4208</v>
      </c>
      <c r="AF86" s="107">
        <v>5664</v>
      </c>
      <c r="AG86" s="107">
        <v>5920</v>
      </c>
      <c r="AH86" s="107">
        <v>6224</v>
      </c>
      <c r="AI86" s="107">
        <v>1824</v>
      </c>
      <c r="AJ86" s="107">
        <v>0</v>
      </c>
      <c r="AK86" s="107">
        <v>3744</v>
      </c>
      <c r="AL86" s="107"/>
      <c r="AM86" s="107"/>
      <c r="AN86" s="107"/>
      <c r="AO86" s="107">
        <v>0</v>
      </c>
      <c r="AP86" s="108">
        <v>0</v>
      </c>
      <c r="AQ86" s="108">
        <v>1104</v>
      </c>
      <c r="AR86" s="108">
        <v>320</v>
      </c>
      <c r="AS86" s="108">
        <v>1024</v>
      </c>
      <c r="AT86" s="108">
        <v>5008</v>
      </c>
      <c r="AU86" s="108">
        <v>4704</v>
      </c>
      <c r="AV86" s="108">
        <v>5024</v>
      </c>
      <c r="AW86" s="108">
        <v>5312</v>
      </c>
      <c r="AX86" s="116">
        <v>528</v>
      </c>
      <c r="AY86" s="111">
        <v>5090.4444444444443</v>
      </c>
      <c r="AZ86" s="107">
        <f t="shared" si="76"/>
        <v>3864</v>
      </c>
      <c r="BA86" s="166">
        <v>1792</v>
      </c>
      <c r="BB86" s="166">
        <v>3808</v>
      </c>
      <c r="BC86" s="166">
        <v>3408</v>
      </c>
      <c r="BD86" s="166">
        <v>4752</v>
      </c>
      <c r="BE86" s="166">
        <v>4400</v>
      </c>
      <c r="BF86" s="166">
        <v>4208</v>
      </c>
      <c r="BG86" s="166">
        <v>5664</v>
      </c>
      <c r="BH86" s="166">
        <v>5920</v>
      </c>
      <c r="BI86" s="166">
        <v>6224</v>
      </c>
      <c r="BJ86" s="166">
        <v>1824</v>
      </c>
      <c r="BK86" s="166">
        <v>0</v>
      </c>
      <c r="BL86" s="166">
        <v>3744</v>
      </c>
      <c r="BM86" s="107">
        <f t="shared" si="77"/>
        <v>1584</v>
      </c>
      <c r="BN86" s="107">
        <f t="shared" si="77"/>
        <v>2853.3333333333335</v>
      </c>
      <c r="BO86" s="107">
        <f t="shared" si="77"/>
        <v>3002.6666666666665</v>
      </c>
      <c r="BP86" s="107">
        <f t="shared" si="77"/>
        <v>2965.3333333333335</v>
      </c>
      <c r="BQ86" s="107">
        <f t="shared" si="77"/>
        <v>3093.3333333333335</v>
      </c>
      <c r="BR86" s="107">
        <f t="shared" si="77"/>
        <v>4458.666666666667</v>
      </c>
      <c r="BS86" s="107">
        <f t="shared" si="77"/>
        <v>5088</v>
      </c>
      <c r="BT86" s="107">
        <f t="shared" si="77"/>
        <v>5296</v>
      </c>
      <c r="BU86" s="107">
        <f t="shared" si="77"/>
        <v>4933.333333333333</v>
      </c>
      <c r="BV86" s="107">
        <f t="shared" si="77"/>
        <v>1717.3333333333333</v>
      </c>
      <c r="BW86" s="107">
        <f t="shared" si="77"/>
        <v>3024.8148148148152</v>
      </c>
      <c r="BX86" s="107">
        <f t="shared" si="77"/>
        <v>3538.6666666666665</v>
      </c>
      <c r="BY86" s="107">
        <f t="shared" si="78"/>
        <v>1125.3333333333333</v>
      </c>
      <c r="BZ86" s="107">
        <f t="shared" si="78"/>
        <v>2220.4444444444448</v>
      </c>
      <c r="CA86" s="107">
        <f t="shared" si="78"/>
        <v>2504.8888888888887</v>
      </c>
      <c r="CB86" s="107">
        <f t="shared" si="78"/>
        <v>2679.1111111111113</v>
      </c>
      <c r="CC86" s="107">
        <f t="shared" si="78"/>
        <v>2839.1111111111113</v>
      </c>
      <c r="CD86" s="107">
        <f t="shared" si="78"/>
        <v>4558.2222222222226</v>
      </c>
      <c r="CE86" s="107">
        <f t="shared" si="78"/>
        <v>5152</v>
      </c>
      <c r="CF86" s="107">
        <f t="shared" si="78"/>
        <v>5413.333333333333</v>
      </c>
      <c r="CG86" s="107">
        <f t="shared" si="78"/>
        <v>5489.7777777777774</v>
      </c>
      <c r="CH86" s="107">
        <f t="shared" si="78"/>
        <v>1356.4444444444443</v>
      </c>
      <c r="CI86" s="107">
        <f t="shared" si="78"/>
        <v>2705.0864197530864</v>
      </c>
      <c r="CJ86" s="107">
        <f t="shared" si="78"/>
        <v>3715.5555555555552</v>
      </c>
      <c r="CK86" s="107">
        <f t="shared" si="78"/>
        <v>1500.4444444444443</v>
      </c>
      <c r="CL86" s="107">
        <f t="shared" si="78"/>
        <v>2960.5925925925931</v>
      </c>
      <c r="CM86" s="107">
        <f t="shared" si="78"/>
        <v>2971.8518518518517</v>
      </c>
      <c r="CN86" s="107">
        <f t="shared" si="78"/>
        <v>3465.4814814814818</v>
      </c>
      <c r="CO86" s="107">
        <f t="shared" si="79"/>
        <v>3444.1481481481483</v>
      </c>
      <c r="CP86" s="107">
        <f t="shared" si="79"/>
        <v>4408.2962962962965</v>
      </c>
      <c r="CQ86" s="107">
        <f t="shared" si="79"/>
        <v>5301.333333333333</v>
      </c>
      <c r="CR86" s="107">
        <f t="shared" si="79"/>
        <v>5543.1111111111104</v>
      </c>
      <c r="CS86" s="107">
        <f t="shared" si="79"/>
        <v>5549.0370370370365</v>
      </c>
      <c r="CT86" s="107">
        <f t="shared" si="79"/>
        <v>1632.5925925925924</v>
      </c>
      <c r="CU86" s="107">
        <f t="shared" si="79"/>
        <v>1909.9670781893008</v>
      </c>
      <c r="CV86" s="107">
        <f t="shared" si="79"/>
        <v>3666.0740740740735</v>
      </c>
      <c r="CW86" s="107">
        <f t="shared" si="79"/>
        <v>1403.2592592592591</v>
      </c>
      <c r="CX86" s="107">
        <f t="shared" si="79"/>
        <v>2678.1234567901238</v>
      </c>
      <c r="CY86" s="107">
        <f t="shared" si="79"/>
        <v>2826.4691358024688</v>
      </c>
      <c r="CZ86" s="107">
        <f t="shared" si="79"/>
        <v>3036.6419753086425</v>
      </c>
      <c r="DA86" s="107">
        <f t="shared" si="79"/>
        <v>3125.5308641975312</v>
      </c>
      <c r="DB86" s="107">
        <f t="shared" si="79"/>
        <v>4475.0617283950623</v>
      </c>
      <c r="DC86" s="107">
        <f t="shared" si="79"/>
        <v>5180.4444444444443</v>
      </c>
      <c r="DD86" s="107">
        <f t="shared" si="79"/>
        <v>5417.4814814814808</v>
      </c>
      <c r="DE86" s="107">
        <f t="shared" si="80"/>
        <v>5324.049382716049</v>
      </c>
      <c r="DF86" s="107">
        <f t="shared" si="80"/>
        <v>1568.7901234567898</v>
      </c>
      <c r="DG86" s="107">
        <f t="shared" si="80"/>
        <v>2546.6227709190675</v>
      </c>
      <c r="DH86" s="107">
        <f t="shared" si="80"/>
        <v>3640.0987654320984</v>
      </c>
      <c r="DI86" s="107">
        <f t="shared" si="80"/>
        <v>1343.0123456790122</v>
      </c>
      <c r="DJ86" s="107">
        <f t="shared" si="80"/>
        <v>2619.7201646090539</v>
      </c>
      <c r="DK86" s="107">
        <f t="shared" si="80"/>
        <v>2767.7366255144029</v>
      </c>
      <c r="DL86" s="107">
        <f t="shared" si="80"/>
        <v>3060.4115226337453</v>
      </c>
      <c r="DM86" s="107">
        <f t="shared" si="80"/>
        <v>3136.2633744855971</v>
      </c>
      <c r="DN86" s="107">
        <f t="shared" si="80"/>
        <v>4480.5267489711941</v>
      </c>
      <c r="DO86" s="107">
        <f t="shared" si="80"/>
        <v>5211.2592592592591</v>
      </c>
      <c r="DP86" s="107">
        <f t="shared" si="80"/>
        <v>5457.9753086419742</v>
      </c>
      <c r="DQ86" s="107">
        <f t="shared" si="80"/>
        <v>5454.2880658436216</v>
      </c>
      <c r="DR86" s="107">
        <f t="shared" si="80"/>
        <v>1519.2757201646089</v>
      </c>
      <c r="DS86" s="107">
        <f t="shared" si="80"/>
        <v>2387.225422953818</v>
      </c>
      <c r="DT86" s="107">
        <f t="shared" si="80"/>
        <v>3673.9094650205757</v>
      </c>
    </row>
    <row r="87" spans="1:124" s="112" customFormat="1" x14ac:dyDescent="0.25">
      <c r="A87" s="128" t="s">
        <v>260</v>
      </c>
      <c r="B87" s="155">
        <v>-808.52</v>
      </c>
      <c r="C87" s="155">
        <v>-806.61</v>
      </c>
      <c r="D87" s="155">
        <v>-750.29</v>
      </c>
      <c r="E87" s="155">
        <v>-648.32000000000005</v>
      </c>
      <c r="F87" s="155">
        <v>-641</v>
      </c>
      <c r="G87" s="155">
        <v>-473.18</v>
      </c>
      <c r="H87" s="155">
        <v>-409</v>
      </c>
      <c r="I87" s="155">
        <v>-840.82</v>
      </c>
      <c r="J87" s="155">
        <v>-2586.6</v>
      </c>
      <c r="K87" s="155">
        <v>-303.83</v>
      </c>
      <c r="L87" s="155">
        <v>-320.95999999999998</v>
      </c>
      <c r="M87" s="155">
        <v>-2118.5700000000002</v>
      </c>
      <c r="N87" s="155">
        <v>-1206.27</v>
      </c>
      <c r="O87" s="155">
        <v>-408.79</v>
      </c>
      <c r="P87" s="155">
        <v>-1036.94</v>
      </c>
      <c r="Q87" s="155">
        <v>-259.01</v>
      </c>
      <c r="R87" s="155">
        <v>-215.32</v>
      </c>
      <c r="S87" s="155">
        <v>-390.33</v>
      </c>
      <c r="T87" s="155">
        <v>-436.97</v>
      </c>
      <c r="U87" s="155">
        <v>45.95</v>
      </c>
      <c r="V87" s="155">
        <v>-2082.84</v>
      </c>
      <c r="W87" s="155">
        <v>888.05</v>
      </c>
      <c r="X87" s="155">
        <v>-845</v>
      </c>
      <c r="Y87" s="155">
        <v>-959.41</v>
      </c>
      <c r="Z87" s="107">
        <v>135.97</v>
      </c>
      <c r="AA87" s="107">
        <v>-274.39999999999998</v>
      </c>
      <c r="AB87" s="107">
        <v>-348.68</v>
      </c>
      <c r="AC87" s="107">
        <v>-657.43</v>
      </c>
      <c r="AD87" s="107">
        <v>-220.72</v>
      </c>
      <c r="AE87" s="107">
        <v>-675.93</v>
      </c>
      <c r="AF87" s="107">
        <v>-233.24</v>
      </c>
      <c r="AG87" s="107">
        <v>-406.32</v>
      </c>
      <c r="AH87" s="107">
        <v>-320.62</v>
      </c>
      <c r="AI87" s="107">
        <v>-801.72</v>
      </c>
      <c r="AJ87" s="107">
        <v>0</v>
      </c>
      <c r="AK87" s="107">
        <v>448.61</v>
      </c>
      <c r="AL87" s="107"/>
      <c r="AM87" s="107"/>
      <c r="AN87" s="107"/>
      <c r="AO87" s="107">
        <v>-11766.69</v>
      </c>
      <c r="AP87" s="108">
        <v>-3496.88</v>
      </c>
      <c r="AQ87" s="108">
        <v>-2660.91</v>
      </c>
      <c r="AR87" s="108">
        <v>-2862.46</v>
      </c>
      <c r="AS87" s="108">
        <v>-1745.7</v>
      </c>
      <c r="AT87" s="108">
        <v>-2119.9499999999998</v>
      </c>
      <c r="AU87" s="108">
        <v>-2326.06</v>
      </c>
      <c r="AV87" s="108">
        <v>-2691.38</v>
      </c>
      <c r="AW87" s="108">
        <v>-1100.76</v>
      </c>
      <c r="AX87" s="116">
        <v>-1129.8</v>
      </c>
      <c r="AY87" s="111">
        <v>-514.33629629629627</v>
      </c>
      <c r="AZ87" s="107">
        <f t="shared" si="76"/>
        <v>-834.98</v>
      </c>
      <c r="BA87" s="166">
        <v>135.97</v>
      </c>
      <c r="BB87" s="166">
        <v>-274.39999999999998</v>
      </c>
      <c r="BC87" s="166">
        <v>-348.68</v>
      </c>
      <c r="BD87" s="166">
        <v>-657.43</v>
      </c>
      <c r="BE87" s="166">
        <v>-220.72</v>
      </c>
      <c r="BF87" s="166">
        <v>-675.93</v>
      </c>
      <c r="BG87" s="166">
        <v>-233.24</v>
      </c>
      <c r="BH87" s="166">
        <v>-406.32</v>
      </c>
      <c r="BI87" s="166">
        <v>-320.62</v>
      </c>
      <c r="BJ87" s="166">
        <v>-801.72</v>
      </c>
      <c r="BK87" s="166">
        <v>0</v>
      </c>
      <c r="BL87" s="166">
        <v>448.61</v>
      </c>
      <c r="BM87" s="107">
        <f t="shared" si="77"/>
        <v>-4278.9966666666669</v>
      </c>
      <c r="BN87" s="107">
        <f t="shared" si="77"/>
        <v>-1393.3566666666666</v>
      </c>
      <c r="BO87" s="107">
        <f t="shared" si="77"/>
        <v>-1348.8433333333332</v>
      </c>
      <c r="BP87" s="107">
        <f t="shared" si="77"/>
        <v>-1259.6333333333334</v>
      </c>
      <c r="BQ87" s="107">
        <f t="shared" si="77"/>
        <v>-727.24666666666656</v>
      </c>
      <c r="BR87" s="107">
        <f t="shared" si="77"/>
        <v>-1062.07</v>
      </c>
      <c r="BS87" s="107">
        <f t="shared" si="77"/>
        <v>-998.75666666666655</v>
      </c>
      <c r="BT87" s="107">
        <f t="shared" si="77"/>
        <v>-1017.2500000000001</v>
      </c>
      <c r="BU87" s="107">
        <f t="shared" si="77"/>
        <v>-1168.0733333333335</v>
      </c>
      <c r="BV87" s="107">
        <f t="shared" si="77"/>
        <v>-347.82333333333332</v>
      </c>
      <c r="BW87" s="107">
        <f t="shared" si="77"/>
        <v>-453.11209876543211</v>
      </c>
      <c r="BX87" s="107">
        <f t="shared" si="77"/>
        <v>-448.59333333333325</v>
      </c>
      <c r="BY87" s="107">
        <f t="shared" si="78"/>
        <v>-5303.2388888888891</v>
      </c>
      <c r="BZ87" s="107">
        <f t="shared" si="78"/>
        <v>-1721.5455555555557</v>
      </c>
      <c r="CA87" s="107">
        <f t="shared" si="78"/>
        <v>-1452.8111111111109</v>
      </c>
      <c r="CB87" s="107">
        <f t="shared" si="78"/>
        <v>-1593.1744444444446</v>
      </c>
      <c r="CC87" s="107">
        <f t="shared" si="78"/>
        <v>-897.8888888888888</v>
      </c>
      <c r="CD87" s="107">
        <f t="shared" si="78"/>
        <v>-1285.9833333333333</v>
      </c>
      <c r="CE87" s="107">
        <f t="shared" si="78"/>
        <v>-1186.018888888889</v>
      </c>
      <c r="CF87" s="107">
        <f t="shared" si="78"/>
        <v>-1371.6500000000003</v>
      </c>
      <c r="CG87" s="107">
        <f t="shared" si="78"/>
        <v>-863.15111111111128</v>
      </c>
      <c r="CH87" s="107">
        <f t="shared" si="78"/>
        <v>-759.78111111111104</v>
      </c>
      <c r="CI87" s="107">
        <f t="shared" si="78"/>
        <v>-322.48279835390946</v>
      </c>
      <c r="CJ87" s="107">
        <f t="shared" si="78"/>
        <v>-278.32111111111107</v>
      </c>
      <c r="CK87" s="107">
        <f t="shared" si="78"/>
        <v>-3148.7551851851854</v>
      </c>
      <c r="CL87" s="107">
        <f t="shared" si="78"/>
        <v>-1129.7674074074075</v>
      </c>
      <c r="CM87" s="107">
        <f t="shared" si="78"/>
        <v>-1050.1114814814814</v>
      </c>
      <c r="CN87" s="107">
        <f t="shared" si="78"/>
        <v>-1170.0792592592595</v>
      </c>
      <c r="CO87" s="107">
        <f t="shared" si="79"/>
        <v>-615.28518518518513</v>
      </c>
      <c r="CP87" s="107">
        <f t="shared" si="79"/>
        <v>-1007.9944444444445</v>
      </c>
      <c r="CQ87" s="107">
        <f t="shared" si="79"/>
        <v>-806.00518518518527</v>
      </c>
      <c r="CR87" s="107">
        <f t="shared" si="79"/>
        <v>-931.74000000000012</v>
      </c>
      <c r="CS87" s="107">
        <f t="shared" si="79"/>
        <v>-783.94814814814833</v>
      </c>
      <c r="CT87" s="107">
        <f t="shared" si="79"/>
        <v>-636.44148148148145</v>
      </c>
      <c r="CU87" s="107">
        <f t="shared" si="79"/>
        <v>-258.53163237311384</v>
      </c>
      <c r="CV87" s="107">
        <f t="shared" si="79"/>
        <v>-92.7681481481481</v>
      </c>
      <c r="CW87" s="107">
        <f t="shared" si="79"/>
        <v>-4243.6635802469136</v>
      </c>
      <c r="CX87" s="107">
        <f t="shared" si="79"/>
        <v>-1414.8898765432098</v>
      </c>
      <c r="CY87" s="107">
        <f t="shared" si="79"/>
        <v>-1283.921975308642</v>
      </c>
      <c r="CZ87" s="107">
        <f t="shared" si="79"/>
        <v>-1340.9623456790125</v>
      </c>
      <c r="DA87" s="107">
        <f t="shared" si="79"/>
        <v>-746.80691358024671</v>
      </c>
      <c r="DB87" s="107">
        <f t="shared" si="79"/>
        <v>-1118.6825925925925</v>
      </c>
      <c r="DC87" s="107">
        <f t="shared" si="79"/>
        <v>-996.92691358024695</v>
      </c>
      <c r="DD87" s="107">
        <f t="shared" si="79"/>
        <v>-1106.8800000000003</v>
      </c>
      <c r="DE87" s="107">
        <f t="shared" si="80"/>
        <v>-938.39086419753096</v>
      </c>
      <c r="DF87" s="107">
        <f t="shared" si="80"/>
        <v>-581.34864197530862</v>
      </c>
      <c r="DG87" s="107">
        <f t="shared" si="80"/>
        <v>-344.7088431641518</v>
      </c>
      <c r="DH87" s="107">
        <f t="shared" si="80"/>
        <v>-273.22753086419749</v>
      </c>
      <c r="DI87" s="107">
        <f t="shared" si="80"/>
        <v>-4231.8858847736628</v>
      </c>
      <c r="DJ87" s="107">
        <f t="shared" si="80"/>
        <v>-1422.0676131687242</v>
      </c>
      <c r="DK87" s="107">
        <f t="shared" si="80"/>
        <v>-1262.2815226337445</v>
      </c>
      <c r="DL87" s="107">
        <f t="shared" si="80"/>
        <v>-1368.0720164609056</v>
      </c>
      <c r="DM87" s="107">
        <f t="shared" si="80"/>
        <v>-753.32699588477351</v>
      </c>
      <c r="DN87" s="107">
        <f t="shared" si="80"/>
        <v>-1137.5534567901234</v>
      </c>
      <c r="DO87" s="107">
        <f t="shared" si="80"/>
        <v>-996.31699588477375</v>
      </c>
      <c r="DP87" s="107">
        <f t="shared" si="80"/>
        <v>-1136.7566666666669</v>
      </c>
      <c r="DQ87" s="107">
        <f t="shared" si="80"/>
        <v>-861.83004115226356</v>
      </c>
      <c r="DR87" s="107">
        <f t="shared" si="80"/>
        <v>-659.19041152263378</v>
      </c>
      <c r="DS87" s="107">
        <f t="shared" si="80"/>
        <v>-308.57442463039166</v>
      </c>
      <c r="DT87" s="107">
        <f t="shared" si="80"/>
        <v>-214.77226337448556</v>
      </c>
    </row>
    <row r="88" spans="1:124" s="112" customFormat="1" x14ac:dyDescent="0.25">
      <c r="A88" s="130" t="s">
        <v>261</v>
      </c>
      <c r="B88" s="155">
        <v>780</v>
      </c>
      <c r="C88" s="155">
        <v>1346</v>
      </c>
      <c r="D88" s="155">
        <v>1976</v>
      </c>
      <c r="E88" s="155">
        <v>1248</v>
      </c>
      <c r="F88" s="155">
        <v>1612</v>
      </c>
      <c r="G88" s="155">
        <v>988</v>
      </c>
      <c r="H88" s="155">
        <v>884</v>
      </c>
      <c r="I88" s="155">
        <v>728</v>
      </c>
      <c r="J88" s="155">
        <v>1820</v>
      </c>
      <c r="K88" s="155">
        <v>1404</v>
      </c>
      <c r="L88" s="155">
        <v>2288</v>
      </c>
      <c r="M88" s="155">
        <v>2158</v>
      </c>
      <c r="N88" s="156">
        <v>1196</v>
      </c>
      <c r="O88" s="156">
        <v>1820</v>
      </c>
      <c r="P88" s="156">
        <v>1872</v>
      </c>
      <c r="Q88" s="156">
        <v>884</v>
      </c>
      <c r="R88" s="156">
        <v>780</v>
      </c>
      <c r="S88" s="156">
        <v>2414</v>
      </c>
      <c r="T88" s="156">
        <v>1144</v>
      </c>
      <c r="U88" s="156">
        <v>1300</v>
      </c>
      <c r="V88" s="156">
        <v>1144</v>
      </c>
      <c r="W88" s="156">
        <v>312</v>
      </c>
      <c r="X88" s="156">
        <v>1300</v>
      </c>
      <c r="Y88" s="156">
        <v>1560</v>
      </c>
      <c r="Z88" s="107">
        <v>1248</v>
      </c>
      <c r="AA88" s="107">
        <v>1612</v>
      </c>
      <c r="AB88" s="107">
        <v>1456</v>
      </c>
      <c r="AC88" s="107">
        <v>1456</v>
      </c>
      <c r="AD88" s="107">
        <v>2184</v>
      </c>
      <c r="AE88" s="107">
        <v>1560</v>
      </c>
      <c r="AF88" s="107">
        <v>2496</v>
      </c>
      <c r="AG88" s="107">
        <v>1352</v>
      </c>
      <c r="AH88" s="107">
        <v>1946</v>
      </c>
      <c r="AI88" s="107">
        <v>676</v>
      </c>
      <c r="AJ88" s="107">
        <v>0</v>
      </c>
      <c r="AK88" s="107">
        <v>1062</v>
      </c>
      <c r="AL88" s="107"/>
      <c r="AM88" s="107"/>
      <c r="AN88" s="107"/>
      <c r="AO88" s="107">
        <v>52</v>
      </c>
      <c r="AP88" s="108">
        <v>52</v>
      </c>
      <c r="AQ88" s="108">
        <v>0</v>
      </c>
      <c r="AR88" s="108">
        <v>1092</v>
      </c>
      <c r="AS88" s="108">
        <v>52</v>
      </c>
      <c r="AT88" s="108">
        <v>2518</v>
      </c>
      <c r="AU88" s="108">
        <v>1322</v>
      </c>
      <c r="AV88" s="108">
        <v>1872</v>
      </c>
      <c r="AW88" s="108">
        <v>1196</v>
      </c>
      <c r="AX88" s="116">
        <v>104</v>
      </c>
      <c r="AY88" s="111">
        <v>2023.4074074074076</v>
      </c>
      <c r="AZ88" s="107">
        <f t="shared" si="76"/>
        <v>1610</v>
      </c>
      <c r="BA88" s="166">
        <v>1248</v>
      </c>
      <c r="BB88" s="166">
        <v>1612</v>
      </c>
      <c r="BC88" s="166">
        <v>1456</v>
      </c>
      <c r="BD88" s="166">
        <v>1456</v>
      </c>
      <c r="BE88" s="166">
        <v>2184</v>
      </c>
      <c r="BF88" s="166">
        <v>1560</v>
      </c>
      <c r="BG88" s="166">
        <v>2496</v>
      </c>
      <c r="BH88" s="166">
        <v>1352</v>
      </c>
      <c r="BI88" s="166">
        <v>1946</v>
      </c>
      <c r="BJ88" s="166">
        <v>676</v>
      </c>
      <c r="BK88" s="166">
        <v>0</v>
      </c>
      <c r="BL88" s="166">
        <v>1062</v>
      </c>
      <c r="BM88" s="107">
        <f t="shared" si="77"/>
        <v>832</v>
      </c>
      <c r="BN88" s="107">
        <f t="shared" si="77"/>
        <v>1161.3333333333333</v>
      </c>
      <c r="BO88" s="107">
        <f t="shared" si="77"/>
        <v>1109.3333333333333</v>
      </c>
      <c r="BP88" s="107">
        <f t="shared" si="77"/>
        <v>1144</v>
      </c>
      <c r="BQ88" s="107">
        <f t="shared" si="77"/>
        <v>1005.3333333333334</v>
      </c>
      <c r="BR88" s="107">
        <f t="shared" si="77"/>
        <v>2164</v>
      </c>
      <c r="BS88" s="107">
        <f t="shared" si="77"/>
        <v>1654</v>
      </c>
      <c r="BT88" s="107">
        <f t="shared" si="77"/>
        <v>1508</v>
      </c>
      <c r="BU88" s="107">
        <f t="shared" si="77"/>
        <v>1428.6666666666667</v>
      </c>
      <c r="BV88" s="107">
        <f t="shared" si="77"/>
        <v>364</v>
      </c>
      <c r="BW88" s="107">
        <f t="shared" si="77"/>
        <v>1107.8024691358025</v>
      </c>
      <c r="BX88" s="107">
        <f t="shared" si="77"/>
        <v>1410.6666666666667</v>
      </c>
      <c r="BY88" s="107">
        <f t="shared" si="78"/>
        <v>710.66666666666663</v>
      </c>
      <c r="BZ88" s="107">
        <f t="shared" si="78"/>
        <v>941.77777777777771</v>
      </c>
      <c r="CA88" s="107">
        <f t="shared" si="78"/>
        <v>855.11111111111097</v>
      </c>
      <c r="CB88" s="107">
        <f t="shared" si="78"/>
        <v>1230.6666666666667</v>
      </c>
      <c r="CC88" s="107">
        <f t="shared" si="78"/>
        <v>1080.4444444444446</v>
      </c>
      <c r="CD88" s="107">
        <f t="shared" si="78"/>
        <v>2080.6666666666665</v>
      </c>
      <c r="CE88" s="107">
        <f t="shared" si="78"/>
        <v>1824</v>
      </c>
      <c r="CF88" s="107">
        <f t="shared" si="78"/>
        <v>1577.3333333333333</v>
      </c>
      <c r="CG88" s="107">
        <f t="shared" si="78"/>
        <v>1523.5555555555557</v>
      </c>
      <c r="CH88" s="107">
        <f t="shared" si="78"/>
        <v>381.33333333333331</v>
      </c>
      <c r="CI88" s="107">
        <f t="shared" si="78"/>
        <v>1043.7366255144034</v>
      </c>
      <c r="CJ88" s="107">
        <f t="shared" si="78"/>
        <v>1360.8888888888889</v>
      </c>
      <c r="CK88" s="107">
        <f t="shared" si="78"/>
        <v>930.22222222222217</v>
      </c>
      <c r="CL88" s="107">
        <f t="shared" si="78"/>
        <v>1238.3703703703702</v>
      </c>
      <c r="CM88" s="107">
        <f t="shared" si="78"/>
        <v>1140.148148148148</v>
      </c>
      <c r="CN88" s="107">
        <f t="shared" si="78"/>
        <v>1276.8888888888889</v>
      </c>
      <c r="CO88" s="107">
        <f t="shared" si="79"/>
        <v>1423.2592592592594</v>
      </c>
      <c r="CP88" s="107">
        <f t="shared" si="79"/>
        <v>1934.8888888888887</v>
      </c>
      <c r="CQ88" s="107">
        <f t="shared" si="79"/>
        <v>1991.3333333333333</v>
      </c>
      <c r="CR88" s="107">
        <f t="shared" si="79"/>
        <v>1479.1111111111111</v>
      </c>
      <c r="CS88" s="107">
        <f t="shared" si="79"/>
        <v>1632.7407407407409</v>
      </c>
      <c r="CT88" s="107">
        <f t="shared" si="79"/>
        <v>473.77777777777777</v>
      </c>
      <c r="CU88" s="107">
        <f t="shared" si="79"/>
        <v>717.17969821673523</v>
      </c>
      <c r="CV88" s="107">
        <f t="shared" si="79"/>
        <v>1277.851851851852</v>
      </c>
      <c r="CW88" s="107">
        <f t="shared" si="79"/>
        <v>824.29629629629619</v>
      </c>
      <c r="CX88" s="107">
        <f t="shared" si="79"/>
        <v>1113.827160493827</v>
      </c>
      <c r="CY88" s="107">
        <f t="shared" si="79"/>
        <v>1034.864197530864</v>
      </c>
      <c r="CZ88" s="107">
        <f t="shared" si="79"/>
        <v>1217.1851851851852</v>
      </c>
      <c r="DA88" s="107">
        <f t="shared" si="79"/>
        <v>1169.6790123456792</v>
      </c>
      <c r="DB88" s="107">
        <f t="shared" si="79"/>
        <v>2059.8518518518517</v>
      </c>
      <c r="DC88" s="107">
        <f t="shared" si="79"/>
        <v>1823.1111111111111</v>
      </c>
      <c r="DD88" s="107">
        <f t="shared" si="79"/>
        <v>1521.4814814814815</v>
      </c>
      <c r="DE88" s="107">
        <f t="shared" si="80"/>
        <v>1528.3209876543212</v>
      </c>
      <c r="DF88" s="107">
        <f t="shared" si="80"/>
        <v>406.37037037037038</v>
      </c>
      <c r="DG88" s="107">
        <f t="shared" si="80"/>
        <v>956.23959762231368</v>
      </c>
      <c r="DH88" s="107">
        <f t="shared" si="80"/>
        <v>1349.8024691358025</v>
      </c>
      <c r="DI88" s="107">
        <f t="shared" si="80"/>
        <v>821.72839506172829</v>
      </c>
      <c r="DJ88" s="107">
        <f t="shared" si="80"/>
        <v>1097.991769547325</v>
      </c>
      <c r="DK88" s="107">
        <f t="shared" si="80"/>
        <v>1010.0411522633743</v>
      </c>
      <c r="DL88" s="107">
        <f t="shared" si="80"/>
        <v>1241.5802469135804</v>
      </c>
      <c r="DM88" s="107">
        <f t="shared" si="80"/>
        <v>1224.4609053497943</v>
      </c>
      <c r="DN88" s="107">
        <f t="shared" si="80"/>
        <v>2025.1358024691356</v>
      </c>
      <c r="DO88" s="107">
        <f t="shared" si="80"/>
        <v>1879.4814814814815</v>
      </c>
      <c r="DP88" s="107">
        <f t="shared" si="80"/>
        <v>1525.9753086419753</v>
      </c>
      <c r="DQ88" s="107">
        <f t="shared" si="80"/>
        <v>1561.5390946502059</v>
      </c>
      <c r="DR88" s="107">
        <f t="shared" si="80"/>
        <v>420.49382716049382</v>
      </c>
      <c r="DS88" s="107">
        <f t="shared" si="80"/>
        <v>905.7186404511508</v>
      </c>
      <c r="DT88" s="107">
        <f t="shared" si="80"/>
        <v>1329.514403292181</v>
      </c>
    </row>
    <row r="89" spans="1:124" s="112" customFormat="1" x14ac:dyDescent="0.25">
      <c r="A89" s="114" t="s">
        <v>262</v>
      </c>
      <c r="B89" s="155">
        <v>1255</v>
      </c>
      <c r="C89" s="155">
        <v>879.75</v>
      </c>
      <c r="D89" s="155">
        <v>940.35</v>
      </c>
      <c r="E89" s="155">
        <v>1325</v>
      </c>
      <c r="F89" s="155">
        <v>1518</v>
      </c>
      <c r="G89" s="155">
        <v>676.56</v>
      </c>
      <c r="H89" s="155">
        <v>1492</v>
      </c>
      <c r="I89" s="155">
        <v>1020</v>
      </c>
      <c r="J89" s="155">
        <v>1569.44</v>
      </c>
      <c r="K89" s="155">
        <v>1488.87</v>
      </c>
      <c r="L89" s="155">
        <v>1246.8499999999999</v>
      </c>
      <c r="M89" s="155">
        <v>1905.38</v>
      </c>
      <c r="N89" s="155">
        <v>880.17</v>
      </c>
      <c r="O89" s="155">
        <v>1138</v>
      </c>
      <c r="P89" s="155">
        <v>640</v>
      </c>
      <c r="Q89" s="155">
        <v>682.38</v>
      </c>
      <c r="R89" s="155">
        <v>942.51</v>
      </c>
      <c r="S89" s="155">
        <v>780</v>
      </c>
      <c r="T89" s="155">
        <v>1005</v>
      </c>
      <c r="U89" s="155">
        <v>1415</v>
      </c>
      <c r="V89" s="155">
        <v>1553.28</v>
      </c>
      <c r="W89" s="155">
        <v>943.54</v>
      </c>
      <c r="X89" s="155">
        <v>1401.45</v>
      </c>
      <c r="Y89" s="155">
        <v>1365.22</v>
      </c>
      <c r="Z89" s="107">
        <v>1285.3599999999999</v>
      </c>
      <c r="AA89" s="107">
        <v>1890.42</v>
      </c>
      <c r="AB89" s="107">
        <v>1008.11</v>
      </c>
      <c r="AC89" s="107">
        <v>1074.04</v>
      </c>
      <c r="AD89" s="107">
        <v>990</v>
      </c>
      <c r="AE89" s="107">
        <v>465</v>
      </c>
      <c r="AF89" s="107">
        <v>955</v>
      </c>
      <c r="AG89" s="107">
        <v>1295</v>
      </c>
      <c r="AH89" s="107">
        <v>1887.85</v>
      </c>
      <c r="AI89" s="107">
        <v>530</v>
      </c>
      <c r="AJ89" s="107">
        <v>0</v>
      </c>
      <c r="AK89" s="107">
        <v>1769.19</v>
      </c>
      <c r="AL89" s="107"/>
      <c r="AM89" s="107"/>
      <c r="AN89" s="107"/>
      <c r="AO89" s="107">
        <v>580</v>
      </c>
      <c r="AP89" s="108">
        <v>415</v>
      </c>
      <c r="AQ89" s="108">
        <v>622.13</v>
      </c>
      <c r="AR89" s="108">
        <v>1276.05</v>
      </c>
      <c r="AS89" s="108">
        <v>961.2</v>
      </c>
      <c r="AT89" s="108">
        <v>1037.9100000000001</v>
      </c>
      <c r="AU89" s="108">
        <v>1099.32</v>
      </c>
      <c r="AV89" s="108">
        <v>1356.98</v>
      </c>
      <c r="AW89" s="108">
        <v>1003.08</v>
      </c>
      <c r="AX89" s="116">
        <v>1060</v>
      </c>
      <c r="AY89" s="111">
        <v>1269.211111111111</v>
      </c>
      <c r="AZ89" s="107">
        <f t="shared" si="76"/>
        <v>1837.2850000000001</v>
      </c>
      <c r="BA89" s="166">
        <v>1285.3599999999999</v>
      </c>
      <c r="BB89" s="166">
        <v>1890.42</v>
      </c>
      <c r="BC89" s="166">
        <v>1008.11</v>
      </c>
      <c r="BD89" s="166">
        <v>1074.04</v>
      </c>
      <c r="BE89" s="166">
        <v>990</v>
      </c>
      <c r="BF89" s="166">
        <v>465</v>
      </c>
      <c r="BG89" s="166">
        <v>955</v>
      </c>
      <c r="BH89" s="166">
        <v>1295</v>
      </c>
      <c r="BI89" s="166">
        <v>1887.85</v>
      </c>
      <c r="BJ89" s="166">
        <v>530</v>
      </c>
      <c r="BK89" s="166">
        <v>0</v>
      </c>
      <c r="BL89" s="166">
        <v>1769.19</v>
      </c>
      <c r="BM89" s="107">
        <f t="shared" si="77"/>
        <v>915.17666666666662</v>
      </c>
      <c r="BN89" s="107">
        <f t="shared" si="77"/>
        <v>1147.8066666666666</v>
      </c>
      <c r="BO89" s="107">
        <f t="shared" si="77"/>
        <v>756.74666666666678</v>
      </c>
      <c r="BP89" s="107">
        <f t="shared" si="77"/>
        <v>1010.8233333333333</v>
      </c>
      <c r="BQ89" s="107">
        <f t="shared" si="77"/>
        <v>964.57</v>
      </c>
      <c r="BR89" s="107">
        <f t="shared" si="77"/>
        <v>760.96999999999991</v>
      </c>
      <c r="BS89" s="107">
        <f t="shared" si="77"/>
        <v>1019.7733333333332</v>
      </c>
      <c r="BT89" s="107">
        <f t="shared" si="77"/>
        <v>1355.66</v>
      </c>
      <c r="BU89" s="107">
        <f t="shared" si="77"/>
        <v>1481.4033333333334</v>
      </c>
      <c r="BV89" s="107">
        <f t="shared" si="77"/>
        <v>844.51333333333332</v>
      </c>
      <c r="BW89" s="107">
        <f t="shared" si="77"/>
        <v>890.22037037037035</v>
      </c>
      <c r="BX89" s="107">
        <f t="shared" si="77"/>
        <v>1657.2316666666666</v>
      </c>
      <c r="BY89" s="107">
        <f t="shared" si="78"/>
        <v>926.84555555555551</v>
      </c>
      <c r="BZ89" s="107">
        <f t="shared" si="78"/>
        <v>1151.0755555555554</v>
      </c>
      <c r="CA89" s="107">
        <f t="shared" si="78"/>
        <v>795.66222222222223</v>
      </c>
      <c r="CB89" s="107">
        <f t="shared" si="78"/>
        <v>1120.3044444444445</v>
      </c>
      <c r="CC89" s="107">
        <f t="shared" si="78"/>
        <v>971.92333333333329</v>
      </c>
      <c r="CD89" s="107">
        <f t="shared" si="78"/>
        <v>754.62666666666667</v>
      </c>
      <c r="CE89" s="107">
        <f t="shared" si="78"/>
        <v>1024.6977777777777</v>
      </c>
      <c r="CF89" s="107">
        <f t="shared" si="78"/>
        <v>1335.88</v>
      </c>
      <c r="CG89" s="107">
        <f t="shared" si="78"/>
        <v>1457.4444444444443</v>
      </c>
      <c r="CH89" s="107">
        <f t="shared" si="78"/>
        <v>811.5044444444444</v>
      </c>
      <c r="CI89" s="107">
        <f t="shared" si="78"/>
        <v>719.81049382716049</v>
      </c>
      <c r="CJ89" s="107">
        <f t="shared" si="78"/>
        <v>1754.568888888889</v>
      </c>
      <c r="CK89" s="107">
        <f t="shared" si="78"/>
        <v>1042.4607407407407</v>
      </c>
      <c r="CL89" s="107">
        <f t="shared" si="78"/>
        <v>1396.4340740740738</v>
      </c>
      <c r="CM89" s="107">
        <f t="shared" si="78"/>
        <v>853.50629629629623</v>
      </c>
      <c r="CN89" s="107">
        <f t="shared" si="78"/>
        <v>1068.3892592592592</v>
      </c>
      <c r="CO89" s="107">
        <f t="shared" si="79"/>
        <v>975.49777777777774</v>
      </c>
      <c r="CP89" s="107">
        <f t="shared" si="79"/>
        <v>660.19888888888875</v>
      </c>
      <c r="CQ89" s="107">
        <f t="shared" si="79"/>
        <v>999.8237037037037</v>
      </c>
      <c r="CR89" s="107">
        <f t="shared" si="79"/>
        <v>1328.8466666666666</v>
      </c>
      <c r="CS89" s="107">
        <f t="shared" si="79"/>
        <v>1608.8992592592592</v>
      </c>
      <c r="CT89" s="107">
        <f t="shared" si="79"/>
        <v>728.67259259259254</v>
      </c>
      <c r="CU89" s="107">
        <f t="shared" si="79"/>
        <v>536.67695473251024</v>
      </c>
      <c r="CV89" s="107">
        <f t="shared" si="79"/>
        <v>1726.9968518518519</v>
      </c>
      <c r="CW89" s="107">
        <f t="shared" si="79"/>
        <v>961.49432098765431</v>
      </c>
      <c r="CX89" s="107">
        <f t="shared" si="79"/>
        <v>1231.772098765432</v>
      </c>
      <c r="CY89" s="107">
        <f t="shared" si="79"/>
        <v>801.97172839506175</v>
      </c>
      <c r="CZ89" s="107">
        <f t="shared" si="79"/>
        <v>1066.5056790123456</v>
      </c>
      <c r="DA89" s="107">
        <f t="shared" si="79"/>
        <v>970.66370370370362</v>
      </c>
      <c r="DB89" s="107">
        <f t="shared" si="79"/>
        <v>725.26518518518515</v>
      </c>
      <c r="DC89" s="107">
        <f t="shared" si="79"/>
        <v>1014.7649382716049</v>
      </c>
      <c r="DD89" s="107">
        <f t="shared" si="79"/>
        <v>1340.1288888888887</v>
      </c>
      <c r="DE89" s="107">
        <f t="shared" si="80"/>
        <v>1515.9156790123459</v>
      </c>
      <c r="DF89" s="107">
        <f t="shared" si="80"/>
        <v>794.89679012345675</v>
      </c>
      <c r="DG89" s="107">
        <f t="shared" si="80"/>
        <v>715.56927297668028</v>
      </c>
      <c r="DH89" s="107">
        <f t="shared" si="80"/>
        <v>1712.9324691358024</v>
      </c>
      <c r="DI89" s="107">
        <f t="shared" si="80"/>
        <v>976.9335390946502</v>
      </c>
      <c r="DJ89" s="107">
        <f t="shared" si="80"/>
        <v>1259.760576131687</v>
      </c>
      <c r="DK89" s="107">
        <f t="shared" si="80"/>
        <v>817.04674897119332</v>
      </c>
      <c r="DL89" s="107">
        <f t="shared" si="80"/>
        <v>1085.0664609053499</v>
      </c>
      <c r="DM89" s="107">
        <f t="shared" si="80"/>
        <v>972.69493827160488</v>
      </c>
      <c r="DN89" s="107">
        <f t="shared" si="80"/>
        <v>713.36358024691344</v>
      </c>
      <c r="DO89" s="107">
        <f t="shared" si="80"/>
        <v>1013.0954732510287</v>
      </c>
      <c r="DP89" s="107">
        <f t="shared" si="80"/>
        <v>1334.9518518518516</v>
      </c>
      <c r="DQ89" s="107">
        <f t="shared" si="80"/>
        <v>1527.4197942386834</v>
      </c>
      <c r="DR89" s="107">
        <f t="shared" si="80"/>
        <v>778.35794238683127</v>
      </c>
      <c r="DS89" s="107">
        <f t="shared" si="80"/>
        <v>657.35224051211696</v>
      </c>
      <c r="DT89" s="107">
        <f t="shared" si="80"/>
        <v>1731.4994032921811</v>
      </c>
    </row>
    <row r="90" spans="1:124" s="112" customFormat="1" x14ac:dyDescent="0.25">
      <c r="A90" s="114" t="s">
        <v>263</v>
      </c>
      <c r="B90" s="155">
        <v>195</v>
      </c>
      <c r="C90" s="155">
        <v>130</v>
      </c>
      <c r="D90" s="155">
        <v>195</v>
      </c>
      <c r="E90" s="155">
        <v>390</v>
      </c>
      <c r="F90" s="155">
        <v>65</v>
      </c>
      <c r="G90" s="155"/>
      <c r="H90" s="155">
        <v>260</v>
      </c>
      <c r="I90" s="155">
        <v>260</v>
      </c>
      <c r="J90" s="155">
        <v>260</v>
      </c>
      <c r="K90" s="155">
        <v>130</v>
      </c>
      <c r="L90" s="155"/>
      <c r="M90" s="155">
        <v>130</v>
      </c>
      <c r="N90" s="155">
        <v>195</v>
      </c>
      <c r="O90" s="155">
        <v>65</v>
      </c>
      <c r="P90" s="155">
        <v>325</v>
      </c>
      <c r="Q90" s="155">
        <v>130</v>
      </c>
      <c r="R90" s="155">
        <v>195</v>
      </c>
      <c r="S90" s="155">
        <v>585</v>
      </c>
      <c r="T90" s="155">
        <v>195</v>
      </c>
      <c r="U90" s="155">
        <v>325</v>
      </c>
      <c r="V90" s="155">
        <v>195</v>
      </c>
      <c r="W90" s="155">
        <v>325</v>
      </c>
      <c r="X90" s="155">
        <v>780</v>
      </c>
      <c r="Y90" s="155">
        <v>260</v>
      </c>
      <c r="Z90" s="107">
        <v>325</v>
      </c>
      <c r="AA90" s="107">
        <v>325</v>
      </c>
      <c r="AB90" s="107">
        <v>455</v>
      </c>
      <c r="AC90" s="107">
        <v>260</v>
      </c>
      <c r="AD90" s="107">
        <v>650</v>
      </c>
      <c r="AE90" s="107">
        <v>585</v>
      </c>
      <c r="AF90" s="107">
        <v>650</v>
      </c>
      <c r="AG90" s="107">
        <v>910</v>
      </c>
      <c r="AH90" s="107">
        <v>130</v>
      </c>
      <c r="AI90" s="107">
        <v>65</v>
      </c>
      <c r="AJ90" s="107">
        <v>0</v>
      </c>
      <c r="AK90" s="107">
        <v>455</v>
      </c>
      <c r="AL90" s="107"/>
      <c r="AM90" s="107"/>
      <c r="AN90" s="107"/>
      <c r="AO90" s="107">
        <v>0</v>
      </c>
      <c r="AP90" s="108">
        <v>325</v>
      </c>
      <c r="AQ90" s="108">
        <v>260</v>
      </c>
      <c r="AR90" s="108">
        <v>650</v>
      </c>
      <c r="AS90" s="108">
        <v>650</v>
      </c>
      <c r="AT90" s="108">
        <v>650</v>
      </c>
      <c r="AU90" s="108">
        <v>520</v>
      </c>
      <c r="AV90" s="108">
        <v>585</v>
      </c>
      <c r="AW90" s="108">
        <v>455</v>
      </c>
      <c r="AX90" s="116">
        <v>780</v>
      </c>
      <c r="AY90" s="111">
        <v>406.5</v>
      </c>
      <c r="AZ90" s="107">
        <f t="shared" si="76"/>
        <v>292.5</v>
      </c>
      <c r="BA90" s="166">
        <v>325</v>
      </c>
      <c r="BB90" s="166">
        <v>325</v>
      </c>
      <c r="BC90" s="166">
        <v>455</v>
      </c>
      <c r="BD90" s="166">
        <v>260</v>
      </c>
      <c r="BE90" s="166">
        <v>650</v>
      </c>
      <c r="BF90" s="166">
        <v>585</v>
      </c>
      <c r="BG90" s="166">
        <v>650</v>
      </c>
      <c r="BH90" s="166">
        <v>910</v>
      </c>
      <c r="BI90" s="166">
        <v>130</v>
      </c>
      <c r="BJ90" s="166">
        <v>65</v>
      </c>
      <c r="BK90" s="166">
        <v>0</v>
      </c>
      <c r="BL90" s="166">
        <v>455</v>
      </c>
      <c r="BM90" s="107">
        <f t="shared" si="77"/>
        <v>173.33333333333334</v>
      </c>
      <c r="BN90" s="107">
        <f t="shared" si="77"/>
        <v>238.33333333333334</v>
      </c>
      <c r="BO90" s="107">
        <f t="shared" si="77"/>
        <v>346.66666666666669</v>
      </c>
      <c r="BP90" s="107">
        <f t="shared" si="77"/>
        <v>346.66666666666669</v>
      </c>
      <c r="BQ90" s="107">
        <f t="shared" si="77"/>
        <v>498.33333333333331</v>
      </c>
      <c r="BR90" s="107">
        <f t="shared" si="77"/>
        <v>606.66666666666663</v>
      </c>
      <c r="BS90" s="107">
        <f t="shared" si="77"/>
        <v>455</v>
      </c>
      <c r="BT90" s="107">
        <f t="shared" si="77"/>
        <v>606.66666666666663</v>
      </c>
      <c r="BU90" s="107">
        <f t="shared" si="77"/>
        <v>260</v>
      </c>
      <c r="BV90" s="107">
        <f t="shared" si="77"/>
        <v>390</v>
      </c>
      <c r="BW90" s="107">
        <f t="shared" si="77"/>
        <v>395.5</v>
      </c>
      <c r="BX90" s="107">
        <f t="shared" si="77"/>
        <v>335.83333333333331</v>
      </c>
      <c r="BY90" s="107">
        <f t="shared" si="78"/>
        <v>166.11111111111111</v>
      </c>
      <c r="BZ90" s="107">
        <f t="shared" si="78"/>
        <v>296.11111111111114</v>
      </c>
      <c r="CA90" s="107">
        <f t="shared" si="78"/>
        <v>353.88888888888891</v>
      </c>
      <c r="CB90" s="107">
        <f t="shared" si="78"/>
        <v>418.88888888888891</v>
      </c>
      <c r="CC90" s="107">
        <f t="shared" si="78"/>
        <v>599.44444444444446</v>
      </c>
      <c r="CD90" s="107">
        <f t="shared" si="78"/>
        <v>613.8888888888888</v>
      </c>
      <c r="CE90" s="107">
        <f t="shared" si="78"/>
        <v>541.66666666666663</v>
      </c>
      <c r="CF90" s="107">
        <f t="shared" si="78"/>
        <v>700.55555555555554</v>
      </c>
      <c r="CG90" s="107">
        <f t="shared" si="78"/>
        <v>281.66666666666669</v>
      </c>
      <c r="CH90" s="107">
        <f t="shared" si="78"/>
        <v>411.66666666666669</v>
      </c>
      <c r="CI90" s="107">
        <f t="shared" si="78"/>
        <v>267.33333333333331</v>
      </c>
      <c r="CJ90" s="107">
        <f t="shared" si="78"/>
        <v>361.11111111111109</v>
      </c>
      <c r="CK90" s="107">
        <f t="shared" si="78"/>
        <v>221.4814814814815</v>
      </c>
      <c r="CL90" s="107">
        <f t="shared" si="78"/>
        <v>286.48148148148152</v>
      </c>
      <c r="CM90" s="107">
        <f t="shared" si="78"/>
        <v>385.18518518518522</v>
      </c>
      <c r="CN90" s="107">
        <f t="shared" si="78"/>
        <v>341.8518518518519</v>
      </c>
      <c r="CO90" s="107">
        <f t="shared" si="79"/>
        <v>582.59259259259261</v>
      </c>
      <c r="CP90" s="107">
        <f t="shared" si="79"/>
        <v>601.85185185185173</v>
      </c>
      <c r="CQ90" s="107">
        <f t="shared" si="79"/>
        <v>548.8888888888888</v>
      </c>
      <c r="CR90" s="107">
        <f t="shared" si="79"/>
        <v>739.07407407407402</v>
      </c>
      <c r="CS90" s="107">
        <f t="shared" si="79"/>
        <v>223.88888888888891</v>
      </c>
      <c r="CT90" s="107">
        <f t="shared" si="79"/>
        <v>288.88888888888891</v>
      </c>
      <c r="CU90" s="107">
        <f t="shared" si="79"/>
        <v>220.94444444444443</v>
      </c>
      <c r="CV90" s="107">
        <f t="shared" si="79"/>
        <v>383.98148148148147</v>
      </c>
      <c r="CW90" s="107">
        <f t="shared" si="79"/>
        <v>186.97530864197532</v>
      </c>
      <c r="CX90" s="107">
        <f t="shared" si="79"/>
        <v>273.64197530864197</v>
      </c>
      <c r="CY90" s="107">
        <f t="shared" si="79"/>
        <v>361.91358024691363</v>
      </c>
      <c r="CZ90" s="107">
        <f t="shared" si="79"/>
        <v>369.13580246913585</v>
      </c>
      <c r="DA90" s="107">
        <f t="shared" si="79"/>
        <v>560.12345679012344</v>
      </c>
      <c r="DB90" s="107">
        <f t="shared" si="79"/>
        <v>607.46913580246905</v>
      </c>
      <c r="DC90" s="107">
        <f t="shared" si="79"/>
        <v>515.18518518518511</v>
      </c>
      <c r="DD90" s="107">
        <f t="shared" si="79"/>
        <v>682.09876543209873</v>
      </c>
      <c r="DE90" s="107">
        <f t="shared" si="80"/>
        <v>255.18518518518522</v>
      </c>
      <c r="DF90" s="107">
        <f t="shared" si="80"/>
        <v>363.51851851851853</v>
      </c>
      <c r="DG90" s="107">
        <f t="shared" si="80"/>
        <v>294.59259259259255</v>
      </c>
      <c r="DH90" s="107">
        <f t="shared" si="80"/>
        <v>360.3086419753086</v>
      </c>
      <c r="DI90" s="107">
        <f t="shared" si="80"/>
        <v>191.52263374485597</v>
      </c>
      <c r="DJ90" s="107">
        <f t="shared" si="80"/>
        <v>285.41152263374488</v>
      </c>
      <c r="DK90" s="107">
        <f t="shared" si="80"/>
        <v>366.99588477366257</v>
      </c>
      <c r="DL90" s="107">
        <f t="shared" si="80"/>
        <v>376.62551440329224</v>
      </c>
      <c r="DM90" s="107">
        <f t="shared" si="80"/>
        <v>580.72016460905343</v>
      </c>
      <c r="DN90" s="107">
        <f t="shared" si="80"/>
        <v>607.73662551440316</v>
      </c>
      <c r="DO90" s="107">
        <f t="shared" si="80"/>
        <v>535.24691358024677</v>
      </c>
      <c r="DP90" s="107">
        <f t="shared" si="80"/>
        <v>707.24279835390951</v>
      </c>
      <c r="DQ90" s="107">
        <f t="shared" si="80"/>
        <v>253.58024691358028</v>
      </c>
      <c r="DR90" s="107">
        <f t="shared" si="80"/>
        <v>354.6913580246914</v>
      </c>
      <c r="DS90" s="107">
        <f t="shared" si="80"/>
        <v>260.95679012345676</v>
      </c>
      <c r="DT90" s="107">
        <f t="shared" si="80"/>
        <v>368.46707818930037</v>
      </c>
    </row>
    <row r="91" spans="1:124" s="112" customFormat="1" x14ac:dyDescent="0.25">
      <c r="A91" s="114" t="s">
        <v>280</v>
      </c>
      <c r="B91" s="155">
        <v>0</v>
      </c>
      <c r="C91" s="155">
        <v>0</v>
      </c>
      <c r="D91" s="155">
        <v>0</v>
      </c>
      <c r="E91" s="155">
        <v>0</v>
      </c>
      <c r="F91" s="155">
        <v>0</v>
      </c>
      <c r="G91" s="155">
        <v>0</v>
      </c>
      <c r="H91" s="155">
        <v>0</v>
      </c>
      <c r="I91" s="155">
        <v>0</v>
      </c>
      <c r="J91" s="155">
        <v>0</v>
      </c>
      <c r="K91" s="155">
        <v>0</v>
      </c>
      <c r="L91" s="155">
        <v>0</v>
      </c>
      <c r="M91" s="155">
        <v>0</v>
      </c>
      <c r="N91" s="155"/>
      <c r="O91" s="155"/>
      <c r="P91" s="155"/>
      <c r="Q91" s="155"/>
      <c r="R91" s="155"/>
      <c r="S91" s="155"/>
      <c r="T91" s="155"/>
      <c r="U91" s="155"/>
      <c r="V91" s="155"/>
      <c r="W91" s="155">
        <v>0</v>
      </c>
      <c r="X91" s="155">
        <v>0</v>
      </c>
      <c r="Y91" s="155">
        <v>0</v>
      </c>
      <c r="Z91" s="107"/>
      <c r="AA91" s="107"/>
      <c r="AB91" s="107"/>
      <c r="AC91" s="107"/>
      <c r="AD91" s="107"/>
      <c r="AE91" s="107">
        <v>0</v>
      </c>
      <c r="AF91" s="107">
        <v>0</v>
      </c>
      <c r="AG91" s="107">
        <v>0</v>
      </c>
      <c r="AH91" s="107">
        <v>0</v>
      </c>
      <c r="AI91" s="107">
        <v>0</v>
      </c>
      <c r="AJ91" s="107">
        <v>0</v>
      </c>
      <c r="AK91" s="107">
        <v>0</v>
      </c>
      <c r="AL91" s="107"/>
      <c r="AM91" s="107"/>
      <c r="AN91" s="107"/>
      <c r="AO91" s="107">
        <v>0</v>
      </c>
      <c r="AP91" s="108">
        <v>0</v>
      </c>
      <c r="AQ91" s="108">
        <v>0</v>
      </c>
      <c r="AR91" s="108">
        <v>0</v>
      </c>
      <c r="AS91" s="108">
        <v>0</v>
      </c>
      <c r="AT91" s="108">
        <v>0</v>
      </c>
      <c r="AU91" s="108">
        <v>0</v>
      </c>
      <c r="AV91" s="108">
        <v>0</v>
      </c>
      <c r="AW91" s="108">
        <v>0</v>
      </c>
      <c r="AX91" s="116">
        <v>0</v>
      </c>
      <c r="AY91" s="111">
        <v>0</v>
      </c>
      <c r="AZ91" s="107">
        <f t="shared" si="76"/>
        <v>0</v>
      </c>
      <c r="BA91" s="135">
        <f t="shared" si="76"/>
        <v>0</v>
      </c>
      <c r="BB91" s="135">
        <f t="shared" si="76"/>
        <v>0</v>
      </c>
      <c r="BC91" s="135">
        <f t="shared" si="76"/>
        <v>0</v>
      </c>
      <c r="BD91" s="135">
        <f t="shared" si="76"/>
        <v>0</v>
      </c>
      <c r="BE91" s="135">
        <f t="shared" si="76"/>
        <v>0</v>
      </c>
      <c r="BF91" s="135">
        <f t="shared" si="76"/>
        <v>0</v>
      </c>
      <c r="BG91" s="135">
        <f t="shared" si="76"/>
        <v>0</v>
      </c>
      <c r="BH91" s="135">
        <f t="shared" si="76"/>
        <v>0</v>
      </c>
      <c r="BI91" s="135">
        <f t="shared" si="76"/>
        <v>0</v>
      </c>
      <c r="BJ91" s="135">
        <f t="shared" si="76"/>
        <v>0</v>
      </c>
      <c r="BK91" s="135">
        <f t="shared" si="76"/>
        <v>0</v>
      </c>
      <c r="BL91" s="135">
        <f t="shared" si="76"/>
        <v>0</v>
      </c>
      <c r="BM91" s="107">
        <f t="shared" si="77"/>
        <v>0</v>
      </c>
      <c r="BN91" s="107">
        <f t="shared" si="77"/>
        <v>0</v>
      </c>
      <c r="BO91" s="107">
        <f t="shared" si="77"/>
        <v>0</v>
      </c>
      <c r="BP91" s="107">
        <f t="shared" si="77"/>
        <v>0</v>
      </c>
      <c r="BQ91" s="107">
        <f t="shared" si="77"/>
        <v>0</v>
      </c>
      <c r="BR91" s="107">
        <f t="shared" si="77"/>
        <v>0</v>
      </c>
      <c r="BS91" s="107">
        <f t="shared" si="77"/>
        <v>0</v>
      </c>
      <c r="BT91" s="107">
        <f t="shared" si="77"/>
        <v>0</v>
      </c>
      <c r="BU91" s="107">
        <f t="shared" si="77"/>
        <v>0</v>
      </c>
      <c r="BV91" s="107">
        <f t="shared" si="77"/>
        <v>0</v>
      </c>
      <c r="BW91" s="107">
        <f t="shared" si="77"/>
        <v>0</v>
      </c>
      <c r="BX91" s="107">
        <f t="shared" si="77"/>
        <v>0</v>
      </c>
      <c r="BY91" s="107">
        <f t="shared" si="78"/>
        <v>0</v>
      </c>
      <c r="BZ91" s="107">
        <f t="shared" si="78"/>
        <v>0</v>
      </c>
      <c r="CA91" s="107">
        <f t="shared" si="78"/>
        <v>0</v>
      </c>
      <c r="CB91" s="107">
        <f t="shared" si="78"/>
        <v>0</v>
      </c>
      <c r="CC91" s="107">
        <f t="shared" si="78"/>
        <v>0</v>
      </c>
      <c r="CD91" s="107">
        <f t="shared" si="78"/>
        <v>0</v>
      </c>
      <c r="CE91" s="107">
        <f t="shared" si="78"/>
        <v>0</v>
      </c>
      <c r="CF91" s="107">
        <f t="shared" si="78"/>
        <v>0</v>
      </c>
      <c r="CG91" s="107">
        <f t="shared" si="78"/>
        <v>0</v>
      </c>
      <c r="CH91" s="107">
        <f t="shared" si="78"/>
        <v>0</v>
      </c>
      <c r="CI91" s="107">
        <f t="shared" si="78"/>
        <v>0</v>
      </c>
      <c r="CJ91" s="107">
        <f t="shared" si="78"/>
        <v>0</v>
      </c>
      <c r="CK91" s="107">
        <f t="shared" si="78"/>
        <v>0</v>
      </c>
      <c r="CL91" s="107">
        <f t="shared" si="78"/>
        <v>0</v>
      </c>
      <c r="CM91" s="107">
        <f t="shared" si="78"/>
        <v>0</v>
      </c>
      <c r="CN91" s="107">
        <f t="shared" si="78"/>
        <v>0</v>
      </c>
      <c r="CO91" s="107">
        <f t="shared" si="79"/>
        <v>0</v>
      </c>
      <c r="CP91" s="107">
        <f t="shared" si="79"/>
        <v>0</v>
      </c>
      <c r="CQ91" s="107">
        <f t="shared" si="79"/>
        <v>0</v>
      </c>
      <c r="CR91" s="107">
        <f t="shared" si="79"/>
        <v>0</v>
      </c>
      <c r="CS91" s="107">
        <f t="shared" si="79"/>
        <v>0</v>
      </c>
      <c r="CT91" s="107">
        <f t="shared" si="79"/>
        <v>0</v>
      </c>
      <c r="CU91" s="107">
        <f t="shared" si="79"/>
        <v>0</v>
      </c>
      <c r="CV91" s="107">
        <f t="shared" si="79"/>
        <v>0</v>
      </c>
      <c r="CW91" s="107">
        <f t="shared" si="79"/>
        <v>0</v>
      </c>
      <c r="CX91" s="107">
        <f t="shared" si="79"/>
        <v>0</v>
      </c>
      <c r="CY91" s="107">
        <f t="shared" si="79"/>
        <v>0</v>
      </c>
      <c r="CZ91" s="107">
        <f t="shared" si="79"/>
        <v>0</v>
      </c>
      <c r="DA91" s="107">
        <f t="shared" si="79"/>
        <v>0</v>
      </c>
      <c r="DB91" s="107">
        <f t="shared" si="79"/>
        <v>0</v>
      </c>
      <c r="DC91" s="107">
        <f t="shared" si="79"/>
        <v>0</v>
      </c>
      <c r="DD91" s="107">
        <f t="shared" si="79"/>
        <v>0</v>
      </c>
      <c r="DE91" s="107">
        <f t="shared" si="80"/>
        <v>0</v>
      </c>
      <c r="DF91" s="107">
        <f t="shared" si="80"/>
        <v>0</v>
      </c>
      <c r="DG91" s="107">
        <f t="shared" si="80"/>
        <v>0</v>
      </c>
      <c r="DH91" s="107">
        <f t="shared" si="80"/>
        <v>0</v>
      </c>
      <c r="DI91" s="107">
        <f t="shared" si="80"/>
        <v>0</v>
      </c>
      <c r="DJ91" s="107">
        <f t="shared" si="80"/>
        <v>0</v>
      </c>
      <c r="DK91" s="107">
        <f t="shared" si="80"/>
        <v>0</v>
      </c>
      <c r="DL91" s="107">
        <f t="shared" si="80"/>
        <v>0</v>
      </c>
      <c r="DM91" s="107">
        <f t="shared" si="80"/>
        <v>0</v>
      </c>
      <c r="DN91" s="107">
        <f t="shared" si="80"/>
        <v>0</v>
      </c>
      <c r="DO91" s="107">
        <f t="shared" si="80"/>
        <v>0</v>
      </c>
      <c r="DP91" s="107">
        <f t="shared" si="80"/>
        <v>0</v>
      </c>
      <c r="DQ91" s="107">
        <f t="shared" si="80"/>
        <v>0</v>
      </c>
      <c r="DR91" s="107">
        <f t="shared" si="80"/>
        <v>0</v>
      </c>
      <c r="DS91" s="107">
        <f t="shared" si="80"/>
        <v>0</v>
      </c>
      <c r="DT91" s="107">
        <f t="shared" si="80"/>
        <v>0</v>
      </c>
    </row>
    <row r="92" spans="1:124" s="112" customFormat="1" x14ac:dyDescent="0.25">
      <c r="A92" s="114" t="s">
        <v>265</v>
      </c>
      <c r="B92" s="155">
        <v>7543.2</v>
      </c>
      <c r="C92" s="155">
        <v>7543.2</v>
      </c>
      <c r="D92" s="155">
        <v>7543.2</v>
      </c>
      <c r="E92" s="155">
        <v>7543.2</v>
      </c>
      <c r="F92" s="155">
        <v>7543</v>
      </c>
      <c r="G92" s="155">
        <v>8098.32</v>
      </c>
      <c r="H92" s="155">
        <v>7636</v>
      </c>
      <c r="I92" s="155">
        <v>7635.72</v>
      </c>
      <c r="J92" s="155">
        <v>7635.72</v>
      </c>
      <c r="K92" s="155">
        <v>7635.72</v>
      </c>
      <c r="L92" s="155">
        <v>7635.72</v>
      </c>
      <c r="M92" s="155">
        <v>7635.72</v>
      </c>
      <c r="N92" s="155">
        <v>2959.13</v>
      </c>
      <c r="O92" s="155">
        <v>2959.13</v>
      </c>
      <c r="P92" s="155">
        <v>2959.13</v>
      </c>
      <c r="Q92" s="155">
        <v>-44386.95</v>
      </c>
      <c r="R92" s="155"/>
      <c r="S92" s="155"/>
      <c r="T92" s="155"/>
      <c r="U92" s="155"/>
      <c r="V92" s="155"/>
      <c r="W92" s="155">
        <v>0</v>
      </c>
      <c r="X92" s="155">
        <v>0</v>
      </c>
      <c r="Y92" s="155">
        <v>0</v>
      </c>
      <c r="Z92" s="107"/>
      <c r="AA92" s="107"/>
      <c r="AB92" s="107"/>
      <c r="AC92" s="107"/>
      <c r="AD92" s="107"/>
      <c r="AE92" s="107"/>
      <c r="AF92" s="107">
        <v>0</v>
      </c>
      <c r="AG92" s="107">
        <v>0</v>
      </c>
      <c r="AH92" s="107">
        <v>0</v>
      </c>
      <c r="AI92" s="107">
        <v>0</v>
      </c>
      <c r="AJ92" s="107">
        <v>0</v>
      </c>
      <c r="AK92" s="107">
        <v>581721</v>
      </c>
      <c r="AL92" s="107"/>
      <c r="AM92" s="107"/>
      <c r="AN92" s="107"/>
      <c r="AO92" s="107">
        <v>0</v>
      </c>
      <c r="AP92" s="108">
        <v>0</v>
      </c>
      <c r="AQ92" s="108">
        <v>0</v>
      </c>
      <c r="AR92" s="108">
        <v>0</v>
      </c>
      <c r="AS92" s="108">
        <v>0</v>
      </c>
      <c r="AT92" s="108">
        <v>0</v>
      </c>
      <c r="AU92" s="108">
        <v>0</v>
      </c>
      <c r="AV92" s="108">
        <v>0</v>
      </c>
      <c r="AW92" s="108">
        <v>0</v>
      </c>
      <c r="AX92" s="116">
        <v>0</v>
      </c>
      <c r="AY92" s="111"/>
      <c r="AZ92" s="107"/>
      <c r="BA92" s="107"/>
      <c r="BB92" s="107"/>
      <c r="BC92" s="107"/>
      <c r="BD92" s="107"/>
      <c r="BE92" s="107"/>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7"/>
      <c r="CN92" s="107"/>
      <c r="CO92" s="107"/>
      <c r="CP92" s="107"/>
      <c r="CQ92" s="107"/>
      <c r="CR92" s="107"/>
      <c r="CS92" s="107"/>
      <c r="CT92" s="107"/>
      <c r="CU92" s="107"/>
      <c r="CV92" s="107"/>
      <c r="CW92" s="107"/>
      <c r="CX92" s="107"/>
      <c r="CY92" s="107"/>
      <c r="CZ92" s="107"/>
      <c r="DA92" s="107"/>
      <c r="DB92" s="107"/>
      <c r="DC92" s="107"/>
      <c r="DD92" s="107"/>
      <c r="DE92" s="107"/>
      <c r="DF92" s="107"/>
      <c r="DG92" s="107"/>
      <c r="DH92" s="107"/>
      <c r="DI92" s="107"/>
      <c r="DJ92" s="107"/>
      <c r="DK92" s="107"/>
      <c r="DL92" s="107"/>
      <c r="DM92" s="107"/>
      <c r="DN92" s="107"/>
      <c r="DO92" s="107"/>
      <c r="DP92" s="107"/>
      <c r="DQ92" s="107"/>
      <c r="DR92" s="107"/>
      <c r="DS92" s="107"/>
      <c r="DT92" s="107"/>
    </row>
    <row r="93" spans="1:124" s="112" customFormat="1" x14ac:dyDescent="0.25">
      <c r="A93" s="114" t="s">
        <v>266</v>
      </c>
      <c r="B93" s="155">
        <v>451.67</v>
      </c>
      <c r="C93" s="155">
        <v>451.67</v>
      </c>
      <c r="D93" s="155">
        <v>451.67</v>
      </c>
      <c r="E93" s="155">
        <v>451.67</v>
      </c>
      <c r="F93" s="155">
        <v>452</v>
      </c>
      <c r="G93" s="155">
        <v>451.67000000000189</v>
      </c>
      <c r="H93" s="155">
        <v>451.67000000000007</v>
      </c>
      <c r="I93" s="155">
        <v>451.67000000000007</v>
      </c>
      <c r="J93" s="155">
        <v>451.67</v>
      </c>
      <c r="K93" s="155">
        <v>451.67</v>
      </c>
      <c r="L93" s="155">
        <v>451.67</v>
      </c>
      <c r="M93" s="155">
        <v>451.67</v>
      </c>
      <c r="N93" s="155">
        <v>7635.72</v>
      </c>
      <c r="O93" s="155">
        <v>7635.72</v>
      </c>
      <c r="P93" s="155">
        <v>7635.72</v>
      </c>
      <c r="Q93" s="157">
        <v>11037.75</v>
      </c>
      <c r="R93" s="155">
        <v>11037.75</v>
      </c>
      <c r="S93" s="155">
        <v>11037.75</v>
      </c>
      <c r="T93" s="155">
        <v>11037.75</v>
      </c>
      <c r="U93" s="155">
        <v>11037.75</v>
      </c>
      <c r="V93" s="155">
        <v>12817.89</v>
      </c>
      <c r="W93" s="155">
        <v>11088.45</v>
      </c>
      <c r="X93" s="155">
        <v>11088.45</v>
      </c>
      <c r="Y93" s="157">
        <v>11088.45</v>
      </c>
      <c r="Z93" s="107">
        <v>12047.670000000002</v>
      </c>
      <c r="AA93" s="107">
        <v>12047.670000000002</v>
      </c>
      <c r="AB93" s="107">
        <v>12197.67</v>
      </c>
      <c r="AC93" s="107">
        <v>12047.67</v>
      </c>
      <c r="AD93" s="107">
        <v>12047.67</v>
      </c>
      <c r="AE93" s="107">
        <v>12047.67</v>
      </c>
      <c r="AF93" s="107">
        <v>12047.77</v>
      </c>
      <c r="AG93" s="167">
        <v>12462.52</v>
      </c>
      <c r="AH93" s="107">
        <v>12462.52</v>
      </c>
      <c r="AI93" s="107">
        <v>12183.77</v>
      </c>
      <c r="AJ93" s="107">
        <v>12183.77</v>
      </c>
      <c r="AK93" s="107">
        <v>12183.77</v>
      </c>
      <c r="AL93" s="107"/>
      <c r="AM93" s="107"/>
      <c r="AN93" s="107"/>
      <c r="AO93" s="107">
        <v>12183.77</v>
      </c>
      <c r="AP93" s="108">
        <v>12965.640000000001</v>
      </c>
      <c r="AQ93" s="107">
        <v>12574.7</v>
      </c>
      <c r="AR93" s="107">
        <v>12574.7</v>
      </c>
      <c r="AS93" s="107">
        <v>-569146.29999999993</v>
      </c>
      <c r="AT93" s="107">
        <v>12574.7</v>
      </c>
      <c r="AU93" s="107">
        <v>12574.7</v>
      </c>
      <c r="AV93" s="107">
        <v>12574.7</v>
      </c>
      <c r="AW93" s="107">
        <v>13174.32</v>
      </c>
      <c r="AX93" s="110">
        <v>12574.7</v>
      </c>
      <c r="AY93" s="111">
        <v>12048</v>
      </c>
      <c r="AZ93" s="107">
        <v>12045</v>
      </c>
      <c r="BA93" s="107">
        <v>12048</v>
      </c>
      <c r="BB93" s="107">
        <v>12048</v>
      </c>
      <c r="BC93" s="107">
        <v>12048</v>
      </c>
      <c r="BD93" s="107">
        <v>12048</v>
      </c>
      <c r="BE93" s="107">
        <v>12048</v>
      </c>
      <c r="BF93" s="107">
        <v>12048</v>
      </c>
      <c r="BG93" s="107">
        <v>12048</v>
      </c>
      <c r="BH93" s="107">
        <v>12048</v>
      </c>
      <c r="BI93" s="107">
        <v>12048</v>
      </c>
      <c r="BJ93" s="107">
        <v>12048</v>
      </c>
      <c r="BK93" s="107">
        <v>12048</v>
      </c>
      <c r="BL93" s="107">
        <v>12048</v>
      </c>
      <c r="BM93" s="107">
        <v>12048</v>
      </c>
      <c r="BN93" s="107">
        <v>12048</v>
      </c>
      <c r="BO93" s="107">
        <v>12048</v>
      </c>
      <c r="BP93" s="107">
        <v>12048</v>
      </c>
      <c r="BQ93" s="107">
        <v>12048</v>
      </c>
      <c r="BR93" s="107">
        <v>12048</v>
      </c>
      <c r="BS93" s="107">
        <v>12048</v>
      </c>
      <c r="BT93" s="107">
        <v>12048</v>
      </c>
      <c r="BU93" s="107">
        <v>12048</v>
      </c>
      <c r="BV93" s="107">
        <v>12048</v>
      </c>
      <c r="BW93" s="107">
        <v>12048</v>
      </c>
      <c r="BX93" s="107">
        <v>12048</v>
      </c>
      <c r="BY93" s="107">
        <v>12048</v>
      </c>
      <c r="BZ93" s="107">
        <v>12048</v>
      </c>
      <c r="CA93" s="107">
        <v>12048</v>
      </c>
      <c r="CB93" s="107">
        <v>12048</v>
      </c>
      <c r="CC93" s="107">
        <v>12048</v>
      </c>
      <c r="CD93" s="107">
        <v>12048</v>
      </c>
      <c r="CE93" s="107">
        <v>12048</v>
      </c>
      <c r="CF93" s="107">
        <v>12048</v>
      </c>
      <c r="CG93" s="107">
        <v>12048</v>
      </c>
      <c r="CH93" s="107">
        <v>12048</v>
      </c>
      <c r="CI93" s="107">
        <v>12048</v>
      </c>
      <c r="CJ93" s="107">
        <v>12048</v>
      </c>
      <c r="CK93" s="107">
        <v>12048</v>
      </c>
      <c r="CL93" s="107">
        <v>12048</v>
      </c>
      <c r="CM93" s="107">
        <v>12048</v>
      </c>
      <c r="CN93" s="107">
        <v>12048</v>
      </c>
      <c r="CO93" s="107">
        <v>12048</v>
      </c>
      <c r="CP93" s="107">
        <v>12048</v>
      </c>
      <c r="CQ93" s="107">
        <v>12048</v>
      </c>
      <c r="CR93" s="107">
        <v>12048</v>
      </c>
      <c r="CS93" s="107">
        <v>12048</v>
      </c>
      <c r="CT93" s="107">
        <v>12048</v>
      </c>
      <c r="CU93" s="107">
        <v>12048</v>
      </c>
      <c r="CV93" s="107">
        <v>12048</v>
      </c>
      <c r="CW93" s="107">
        <v>12048</v>
      </c>
      <c r="CX93" s="107">
        <v>12048</v>
      </c>
      <c r="CY93" s="107">
        <v>12048</v>
      </c>
      <c r="CZ93" s="107">
        <v>12048</v>
      </c>
      <c r="DA93" s="107">
        <v>12048</v>
      </c>
      <c r="DB93" s="107">
        <v>12048</v>
      </c>
      <c r="DC93" s="107">
        <v>12048</v>
      </c>
      <c r="DD93" s="107">
        <v>12048</v>
      </c>
      <c r="DE93" s="107">
        <v>12048</v>
      </c>
      <c r="DF93" s="107">
        <v>12048</v>
      </c>
      <c r="DG93" s="107">
        <v>12048</v>
      </c>
      <c r="DH93" s="107">
        <v>12048</v>
      </c>
      <c r="DI93" s="107">
        <v>12048</v>
      </c>
      <c r="DJ93" s="107">
        <v>12048</v>
      </c>
      <c r="DK93" s="107">
        <v>12048</v>
      </c>
      <c r="DL93" s="107">
        <v>12048</v>
      </c>
      <c r="DM93" s="107">
        <v>12048</v>
      </c>
      <c r="DN93" s="107">
        <v>12048</v>
      </c>
      <c r="DO93" s="107">
        <v>12048</v>
      </c>
      <c r="DP93" s="107">
        <v>12048</v>
      </c>
      <c r="DQ93" s="107">
        <v>12048</v>
      </c>
      <c r="DR93" s="107">
        <v>12048</v>
      </c>
      <c r="DS93" s="107">
        <v>12048</v>
      </c>
      <c r="DT93" s="107">
        <v>12048</v>
      </c>
    </row>
    <row r="94" spans="1:124" s="112" customFormat="1" x14ac:dyDescent="0.25">
      <c r="A94" s="113" t="s">
        <v>267</v>
      </c>
      <c r="B94" s="158">
        <f>SUM(B83:B93)</f>
        <v>41720</v>
      </c>
      <c r="C94" s="158">
        <f t="shared" ref="C94:CC94" si="81">SUM(C83:C93)</f>
        <v>39918.859999999993</v>
      </c>
      <c r="D94" s="158">
        <f t="shared" si="81"/>
        <v>42775.149999999994</v>
      </c>
      <c r="E94" s="158">
        <f t="shared" si="81"/>
        <v>43413.549999999996</v>
      </c>
      <c r="F94" s="158">
        <f t="shared" si="81"/>
        <v>42625</v>
      </c>
      <c r="G94" s="158">
        <f t="shared" si="81"/>
        <v>41046.729999999996</v>
      </c>
      <c r="H94" s="158">
        <f t="shared" si="81"/>
        <v>43442.67</v>
      </c>
      <c r="I94" s="158">
        <f t="shared" si="81"/>
        <v>44608.89</v>
      </c>
      <c r="J94" s="158">
        <f t="shared" si="81"/>
        <v>45007.420000000006</v>
      </c>
      <c r="K94" s="158">
        <f t="shared" si="81"/>
        <v>48277.51</v>
      </c>
      <c r="L94" s="158">
        <f t="shared" si="81"/>
        <v>45040.009999999995</v>
      </c>
      <c r="M94" s="158">
        <f t="shared" si="81"/>
        <v>42575.1</v>
      </c>
      <c r="N94" s="158">
        <f t="shared" si="81"/>
        <v>43292.65</v>
      </c>
      <c r="O94" s="158">
        <f t="shared" si="81"/>
        <v>43017.79</v>
      </c>
      <c r="P94" s="158">
        <f t="shared" si="81"/>
        <v>41287.980000000003</v>
      </c>
      <c r="Q94" s="158">
        <f t="shared" si="81"/>
        <v>-2099.8999999999942</v>
      </c>
      <c r="R94" s="158">
        <f t="shared" si="81"/>
        <v>41975.43</v>
      </c>
      <c r="S94" s="158">
        <f t="shared" si="81"/>
        <v>48145.259999999995</v>
      </c>
      <c r="T94" s="158">
        <f t="shared" si="81"/>
        <v>44670.720000000001</v>
      </c>
      <c r="U94" s="158">
        <f t="shared" si="81"/>
        <v>47556.909999999996</v>
      </c>
      <c r="V94" s="158">
        <f t="shared" si="81"/>
        <v>45018.57</v>
      </c>
      <c r="W94" s="158">
        <f t="shared" si="81"/>
        <v>46342.05</v>
      </c>
      <c r="X94" s="158">
        <f t="shared" si="81"/>
        <v>45374.17</v>
      </c>
      <c r="Y94" s="158">
        <f t="shared" si="81"/>
        <v>45212.149999999994</v>
      </c>
      <c r="Z94" s="158">
        <v>42289.560000000005</v>
      </c>
      <c r="AA94" s="158">
        <v>40198.17</v>
      </c>
      <c r="AB94" s="158">
        <v>48006.74</v>
      </c>
      <c r="AC94" s="158">
        <v>47177.99</v>
      </c>
      <c r="AD94" s="158">
        <v>45261.94</v>
      </c>
      <c r="AE94" s="158">
        <v>45456.49</v>
      </c>
      <c r="AF94" s="158">
        <v>48357.97</v>
      </c>
      <c r="AG94" s="158">
        <v>110168.53</v>
      </c>
      <c r="AH94" s="158">
        <v>48282.369999999995</v>
      </c>
      <c r="AI94" s="158">
        <v>16505.05</v>
      </c>
      <c r="AJ94" s="158">
        <v>12183.77</v>
      </c>
      <c r="AK94" s="158">
        <v>623105.31000000006</v>
      </c>
      <c r="AL94" s="158"/>
      <c r="AM94" s="158"/>
      <c r="AN94" s="158"/>
      <c r="AO94" s="136">
        <f>SUM(AO83:AO93)</f>
        <v>10598.550000000001</v>
      </c>
      <c r="AP94" s="158">
        <f>SUM(AP83:AP93)</f>
        <v>42632.89</v>
      </c>
      <c r="AQ94" s="158">
        <f t="shared" si="81"/>
        <v>38545.72</v>
      </c>
      <c r="AR94" s="158">
        <f t="shared" si="81"/>
        <v>43736.36</v>
      </c>
      <c r="AS94" s="158">
        <f>SUM(AS83:AS93)</f>
        <v>-538229.05999999994</v>
      </c>
      <c r="AT94" s="158">
        <f>SUM(AT83:AT93)</f>
        <v>42788.270000000004</v>
      </c>
      <c r="AU94" s="158">
        <f t="shared" ref="AU94:AZ94" si="82">SUM(AU83:AU93)</f>
        <v>42895.42</v>
      </c>
      <c r="AV94" s="158">
        <f t="shared" si="82"/>
        <v>45149.69</v>
      </c>
      <c r="AW94" s="158">
        <f t="shared" si="82"/>
        <v>44778.570000000007</v>
      </c>
      <c r="AX94" s="159">
        <f t="shared" si="82"/>
        <v>40936.490000000005</v>
      </c>
      <c r="AY94" s="139">
        <f t="shared" si="82"/>
        <v>48200.237037037034</v>
      </c>
      <c r="AZ94" s="136">
        <f t="shared" si="82"/>
        <v>43889.125</v>
      </c>
      <c r="BA94" s="136">
        <f>SUM(BA83:BA93)</f>
        <v>42289.89</v>
      </c>
      <c r="BB94" s="136">
        <f t="shared" ref="BB94" si="83">SUM(BB83:BB93)</f>
        <v>40198.5</v>
      </c>
      <c r="BC94" s="136">
        <f t="shared" si="81"/>
        <v>47857.07</v>
      </c>
      <c r="BD94" s="158">
        <f t="shared" si="81"/>
        <v>47178.32</v>
      </c>
      <c r="BE94" s="158">
        <f t="shared" si="81"/>
        <v>45262.270000000004</v>
      </c>
      <c r="BF94" s="158">
        <f t="shared" si="81"/>
        <v>45456.82</v>
      </c>
      <c r="BG94" s="158">
        <f t="shared" si="81"/>
        <v>48358.2</v>
      </c>
      <c r="BH94" s="158">
        <f t="shared" si="81"/>
        <v>50662.61</v>
      </c>
      <c r="BI94" s="158">
        <f t="shared" si="81"/>
        <v>47867.85</v>
      </c>
      <c r="BJ94" s="158">
        <f t="shared" si="81"/>
        <v>16369.279999999999</v>
      </c>
      <c r="BK94" s="158">
        <f t="shared" si="81"/>
        <v>12048</v>
      </c>
      <c r="BL94" s="158">
        <f t="shared" si="81"/>
        <v>41248.539999999994</v>
      </c>
      <c r="BM94" s="158">
        <f t="shared" si="81"/>
        <v>32499.49</v>
      </c>
      <c r="BN94" s="158">
        <f t="shared" si="81"/>
        <v>42128.229999999996</v>
      </c>
      <c r="BO94" s="158">
        <f t="shared" si="81"/>
        <v>42872.406666666662</v>
      </c>
      <c r="BP94" s="158">
        <f t="shared" si="81"/>
        <v>44561.759999999995</v>
      </c>
      <c r="BQ94" s="158">
        <f t="shared" si="81"/>
        <v>43737.729999999996</v>
      </c>
      <c r="BR94" s="158">
        <f t="shared" si="81"/>
        <v>45624.633333333331</v>
      </c>
      <c r="BS94" s="158">
        <f t="shared" si="81"/>
        <v>45469.296666666662</v>
      </c>
      <c r="BT94" s="158">
        <f t="shared" si="81"/>
        <v>47950.92</v>
      </c>
      <c r="BU94" s="158">
        <f t="shared" si="81"/>
        <v>45256.259999999995</v>
      </c>
      <c r="BV94" s="158">
        <f t="shared" si="81"/>
        <v>34693.556666666664</v>
      </c>
      <c r="BW94" s="158">
        <f t="shared" si="81"/>
        <v>35527.319012345681</v>
      </c>
      <c r="BX94" s="158">
        <f t="shared" si="81"/>
        <v>43770.78833333333</v>
      </c>
      <c r="BY94" s="158">
        <f t="shared" si="81"/>
        <v>28417.386666666665</v>
      </c>
      <c r="BZ94" s="158">
        <f t="shared" si="81"/>
        <v>41347.326666666668</v>
      </c>
      <c r="CA94" s="158">
        <f t="shared" si="81"/>
        <v>42916.165555555548</v>
      </c>
      <c r="CB94" s="158">
        <f t="shared" si="81"/>
        <v>44983.246666666673</v>
      </c>
      <c r="CC94" s="158">
        <f t="shared" si="81"/>
        <v>43988.41333333333</v>
      </c>
      <c r="CD94" s="158">
        <f t="shared" ref="CD94:DT94" si="84">SUM(CD83:CD93)</f>
        <v>44447.674444444448</v>
      </c>
      <c r="CE94" s="158">
        <f t="shared" si="84"/>
        <v>45398.738888888889</v>
      </c>
      <c r="CF94" s="158">
        <f t="shared" si="84"/>
        <v>47745.506666666661</v>
      </c>
      <c r="CG94" s="158">
        <f t="shared" si="84"/>
        <v>45592.119999999995</v>
      </c>
      <c r="CH94" s="158">
        <f t="shared" si="84"/>
        <v>30490.875555555554</v>
      </c>
      <c r="CI94" s="158">
        <f t="shared" si="84"/>
        <v>31925.185349794236</v>
      </c>
      <c r="CJ94" s="158">
        <f t="shared" si="84"/>
        <v>42970.484444444446</v>
      </c>
      <c r="CK94" s="158">
        <f t="shared" si="84"/>
        <v>34402.255555555559</v>
      </c>
      <c r="CL94" s="158">
        <f t="shared" si="84"/>
        <v>41224.685555555552</v>
      </c>
      <c r="CM94" s="158">
        <f t="shared" si="84"/>
        <v>44548.547407407401</v>
      </c>
      <c r="CN94" s="158">
        <f t="shared" si="84"/>
        <v>45574.442222222227</v>
      </c>
      <c r="CO94" s="158">
        <f t="shared" si="84"/>
        <v>44329.47111111111</v>
      </c>
      <c r="CP94" s="158">
        <f t="shared" si="84"/>
        <v>45176.375925925924</v>
      </c>
      <c r="CQ94" s="158">
        <f t="shared" si="84"/>
        <v>46408.745185185187</v>
      </c>
      <c r="CR94" s="158">
        <f t="shared" si="84"/>
        <v>48786.345555555548</v>
      </c>
      <c r="CS94" s="158">
        <f t="shared" si="84"/>
        <v>46238.743333333332</v>
      </c>
      <c r="CT94" s="158">
        <f t="shared" si="84"/>
        <v>27184.570740740743</v>
      </c>
      <c r="CU94" s="158">
        <f t="shared" si="84"/>
        <v>26500.168120713308</v>
      </c>
      <c r="CV94" s="158">
        <f t="shared" si="84"/>
        <v>42663.270925925921</v>
      </c>
      <c r="CW94" s="158">
        <f t="shared" si="84"/>
        <v>31773.044074074074</v>
      </c>
      <c r="CX94" s="158">
        <f t="shared" si="84"/>
        <v>41566.747407407405</v>
      </c>
      <c r="CY94" s="158">
        <f t="shared" si="84"/>
        <v>43445.706543209875</v>
      </c>
      <c r="CZ94" s="158">
        <f t="shared" si="84"/>
        <v>45039.816296296296</v>
      </c>
      <c r="DA94" s="158">
        <f t="shared" si="84"/>
        <v>44018.538148148145</v>
      </c>
      <c r="DB94" s="158">
        <f t="shared" si="84"/>
        <v>45082.894567901232</v>
      </c>
      <c r="DC94" s="158">
        <f t="shared" si="84"/>
        <v>45758.926913580246</v>
      </c>
      <c r="DD94" s="158">
        <f t="shared" si="84"/>
        <v>48160.924074074064</v>
      </c>
      <c r="DE94" s="158">
        <f t="shared" si="84"/>
        <v>45695.707777777781</v>
      </c>
      <c r="DF94" s="158">
        <f t="shared" si="84"/>
        <v>30789.667654320987</v>
      </c>
      <c r="DG94" s="158">
        <f t="shared" si="84"/>
        <v>31317.557494284407</v>
      </c>
      <c r="DH94" s="158">
        <f t="shared" si="84"/>
        <v>43134.847901234571</v>
      </c>
      <c r="DI94" s="158">
        <f t="shared" si="84"/>
        <v>31530.895432098765</v>
      </c>
      <c r="DJ94" s="158">
        <f t="shared" si="84"/>
        <v>41379.58654320988</v>
      </c>
      <c r="DK94" s="158">
        <f t="shared" si="84"/>
        <v>43636.80650205761</v>
      </c>
      <c r="DL94" s="158">
        <f t="shared" si="84"/>
        <v>45199.16839506173</v>
      </c>
      <c r="DM94" s="158">
        <f t="shared" si="84"/>
        <v>44112.140864197529</v>
      </c>
      <c r="DN94" s="158">
        <f t="shared" si="84"/>
        <v>44902.314979423871</v>
      </c>
      <c r="DO94" s="158">
        <f t="shared" si="84"/>
        <v>45855.470329218108</v>
      </c>
      <c r="DP94" s="158">
        <f t="shared" si="84"/>
        <v>48230.92543209876</v>
      </c>
      <c r="DQ94" s="158">
        <f t="shared" si="84"/>
        <v>45842.190370370372</v>
      </c>
      <c r="DR94" s="158">
        <f t="shared" si="84"/>
        <v>29488.371316872432</v>
      </c>
      <c r="DS94" s="158">
        <f t="shared" si="84"/>
        <v>29914.303654930649</v>
      </c>
      <c r="DT94" s="158">
        <f t="shared" si="84"/>
        <v>42922.867757201646</v>
      </c>
    </row>
    <row r="95" spans="1:124" s="112" customFormat="1" x14ac:dyDescent="0.25">
      <c r="A95" s="113"/>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07"/>
      <c r="AA95" s="107"/>
      <c r="AB95" s="107"/>
      <c r="AC95" s="107"/>
      <c r="AD95" s="107"/>
      <c r="AE95" s="107"/>
      <c r="AF95" s="107"/>
      <c r="AG95" s="107"/>
      <c r="AH95" s="107"/>
      <c r="AI95" s="107"/>
      <c r="AJ95" s="107"/>
      <c r="AK95" s="107"/>
      <c r="AL95" s="107"/>
      <c r="AM95" s="107"/>
      <c r="AN95" s="107"/>
      <c r="AO95" s="107"/>
      <c r="AP95" s="107"/>
      <c r="AQ95" s="107"/>
      <c r="AR95" s="107"/>
      <c r="AS95" s="107"/>
      <c r="AT95" s="107"/>
      <c r="AU95" s="107"/>
      <c r="AV95" s="107"/>
      <c r="AW95" s="107"/>
      <c r="AX95" s="110"/>
      <c r="AY95" s="111"/>
      <c r="AZ95" s="107"/>
      <c r="BA95" s="107"/>
      <c r="BB95" s="107"/>
      <c r="BC95" s="107"/>
      <c r="BD95" s="107"/>
      <c r="BE95" s="107"/>
      <c r="BF95" s="107"/>
      <c r="BG95" s="107"/>
      <c r="BH95" s="107"/>
      <c r="BI95" s="107"/>
      <c r="BJ95" s="107"/>
      <c r="BK95" s="107"/>
      <c r="BL95" s="107"/>
    </row>
    <row r="96" spans="1:124" s="112" customFormat="1" x14ac:dyDescent="0.25">
      <c r="A96" s="113"/>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07"/>
      <c r="AA96" s="107"/>
      <c r="AB96" s="107"/>
      <c r="AC96" s="107"/>
      <c r="AD96" s="107"/>
      <c r="AE96" s="107"/>
      <c r="AF96" s="107"/>
      <c r="AG96" s="107"/>
      <c r="AH96" s="107"/>
      <c r="AI96" s="107"/>
      <c r="AJ96" s="107"/>
      <c r="AK96" s="107"/>
      <c r="AL96" s="107"/>
      <c r="AM96" s="107"/>
      <c r="AN96" s="107"/>
      <c r="AO96" s="107"/>
      <c r="AP96" s="107"/>
      <c r="AQ96" s="107"/>
      <c r="AR96" s="107"/>
      <c r="AS96" s="107"/>
      <c r="AT96" s="107"/>
      <c r="AU96" s="107"/>
      <c r="AV96" s="107"/>
      <c r="AW96" s="107"/>
      <c r="AX96" s="110"/>
      <c r="AY96" s="111"/>
      <c r="AZ96" s="107"/>
      <c r="BA96" s="107"/>
      <c r="BB96" s="107"/>
      <c r="BC96" s="107"/>
      <c r="BD96" s="107"/>
      <c r="BE96" s="107"/>
      <c r="BF96" s="107"/>
      <c r="BG96" s="107"/>
      <c r="BH96" s="107"/>
      <c r="BI96" s="107"/>
      <c r="BJ96" s="107"/>
      <c r="BK96" s="107"/>
      <c r="BL96" s="107"/>
    </row>
    <row r="97" spans="1:64" s="112" customFormat="1" x14ac:dyDescent="0.25">
      <c r="A97" s="113"/>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10"/>
      <c r="AY97" s="111"/>
      <c r="AZ97" s="107"/>
      <c r="BA97" s="107"/>
      <c r="BB97" s="107"/>
      <c r="BC97" s="107"/>
      <c r="BD97" s="107"/>
      <c r="BE97" s="107"/>
      <c r="BF97" s="107"/>
      <c r="BG97" s="107"/>
      <c r="BH97" s="107"/>
      <c r="BI97" s="107"/>
      <c r="BJ97" s="107"/>
      <c r="BK97" s="107"/>
      <c r="BL97" s="107"/>
    </row>
    <row r="98" spans="1:64" s="112" customFormat="1" x14ac:dyDescent="0.25">
      <c r="A98" s="113"/>
      <c r="B98" s="113"/>
      <c r="C98" s="113"/>
      <c r="D98" s="113"/>
      <c r="E98" s="113"/>
      <c r="F98" s="113"/>
      <c r="G98" s="113"/>
      <c r="H98" s="113"/>
      <c r="I98" s="113"/>
      <c r="J98" s="113"/>
      <c r="K98" s="113"/>
      <c r="L98" s="113"/>
      <c r="M98" s="113"/>
      <c r="N98" s="113"/>
      <c r="O98" s="113"/>
      <c r="P98" s="113"/>
      <c r="Q98" s="113"/>
      <c r="R98" s="113"/>
      <c r="S98" s="113"/>
      <c r="T98" s="113"/>
      <c r="U98" s="113"/>
      <c r="V98" s="113"/>
      <c r="W98" s="113"/>
      <c r="X98" s="113"/>
      <c r="Y98" s="113"/>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10"/>
      <c r="AY98" s="111"/>
      <c r="AZ98" s="107"/>
      <c r="BA98" s="107"/>
      <c r="BB98" s="107"/>
      <c r="BC98" s="107"/>
      <c r="BD98" s="107"/>
      <c r="BE98" s="107"/>
      <c r="BF98" s="107"/>
      <c r="BG98" s="107"/>
      <c r="BH98" s="107"/>
      <c r="BI98" s="107"/>
      <c r="BJ98" s="107"/>
      <c r="BK98" s="107"/>
      <c r="BL98" s="107"/>
    </row>
    <row r="99" spans="1:64" s="112" customFormat="1" x14ac:dyDescent="0.25">
      <c r="A99" s="113"/>
      <c r="B99" s="113"/>
      <c r="C99" s="113"/>
      <c r="D99" s="113"/>
      <c r="E99" s="113"/>
      <c r="F99" s="113"/>
      <c r="G99" s="113"/>
      <c r="H99" s="113"/>
      <c r="I99" s="113"/>
      <c r="J99" s="113"/>
      <c r="K99" s="113"/>
      <c r="L99" s="113"/>
      <c r="M99" s="113"/>
      <c r="N99" s="113"/>
      <c r="O99" s="113"/>
      <c r="P99" s="113"/>
      <c r="Q99" s="113"/>
      <c r="R99" s="113"/>
      <c r="S99" s="113"/>
      <c r="T99" s="113"/>
      <c r="U99" s="113"/>
      <c r="V99" s="113"/>
      <c r="W99" s="113"/>
      <c r="X99" s="113"/>
      <c r="Y99" s="113"/>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10"/>
      <c r="AY99" s="111"/>
      <c r="AZ99" s="107"/>
      <c r="BA99" s="107"/>
      <c r="BB99" s="107"/>
      <c r="BC99" s="107"/>
      <c r="BD99" s="107"/>
      <c r="BE99" s="107"/>
      <c r="BF99" s="107"/>
      <c r="BG99" s="107"/>
      <c r="BH99" s="107"/>
      <c r="BI99" s="107"/>
      <c r="BJ99" s="107"/>
      <c r="BK99" s="107"/>
      <c r="BL99" s="107"/>
    </row>
    <row r="100" spans="1:64" s="112" customFormat="1" x14ac:dyDescent="0.25">
      <c r="A100" s="113"/>
      <c r="B100" s="113"/>
      <c r="C100" s="113"/>
      <c r="D100" s="113"/>
      <c r="E100" s="113"/>
      <c r="F100" s="113"/>
      <c r="G100" s="113"/>
      <c r="H100" s="113"/>
      <c r="I100" s="113"/>
      <c r="J100" s="113"/>
      <c r="K100" s="113"/>
      <c r="L100" s="113"/>
      <c r="M100" s="113"/>
      <c r="N100" s="113"/>
      <c r="O100" s="113"/>
      <c r="P100" s="113"/>
      <c r="Q100" s="113"/>
      <c r="R100" s="113"/>
      <c r="S100" s="113"/>
      <c r="T100" s="113"/>
      <c r="U100" s="113"/>
      <c r="V100" s="113"/>
      <c r="W100" s="113"/>
      <c r="X100" s="113"/>
      <c r="Y100" s="113"/>
      <c r="Z100" s="107"/>
      <c r="AA100" s="107"/>
      <c r="AB100" s="107"/>
      <c r="AC100" s="107"/>
      <c r="AD100" s="107"/>
      <c r="AE100" s="107"/>
      <c r="AF100" s="107"/>
      <c r="AG100" s="107"/>
      <c r="AH100" s="107"/>
      <c r="AI100" s="107"/>
      <c r="AJ100" s="107"/>
      <c r="AK100" s="107"/>
      <c r="AL100" s="107"/>
      <c r="AM100" s="107"/>
      <c r="AN100" s="107"/>
      <c r="AO100" s="107"/>
      <c r="AP100" s="107"/>
      <c r="AQ100" s="107"/>
      <c r="AR100" s="107"/>
      <c r="AS100" s="107"/>
      <c r="AT100" s="107"/>
      <c r="AU100" s="107"/>
      <c r="AV100" s="107"/>
      <c r="AW100" s="107"/>
      <c r="AX100" s="110"/>
      <c r="AY100" s="111"/>
      <c r="AZ100" s="107"/>
      <c r="BA100" s="107"/>
      <c r="BB100" s="107"/>
      <c r="BC100" s="107"/>
      <c r="BD100" s="107"/>
      <c r="BE100" s="107"/>
      <c r="BF100" s="107"/>
      <c r="BG100" s="107"/>
      <c r="BH100" s="107"/>
      <c r="BI100" s="107"/>
      <c r="BJ100" s="107"/>
      <c r="BK100" s="107"/>
      <c r="BL100" s="107"/>
    </row>
    <row r="101" spans="1:64" s="112" customFormat="1" x14ac:dyDescent="0.25">
      <c r="A101" s="168"/>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10"/>
      <c r="AY101" s="111"/>
      <c r="AZ101" s="107"/>
      <c r="BA101" s="107"/>
      <c r="BB101" s="107"/>
      <c r="BC101" s="107"/>
      <c r="BD101" s="107"/>
      <c r="BE101" s="107"/>
      <c r="BF101" s="107"/>
      <c r="BG101" s="107"/>
      <c r="BH101" s="107"/>
      <c r="BI101" s="107"/>
      <c r="BJ101" s="107"/>
      <c r="BK101" s="107"/>
      <c r="BL101" s="107"/>
    </row>
    <row r="102" spans="1:64" s="112" customFormat="1" x14ac:dyDescent="0.25">
      <c r="A102" s="168"/>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07"/>
      <c r="AA102" s="107"/>
      <c r="AB102" s="107"/>
      <c r="AC102" s="107"/>
      <c r="AD102" s="107"/>
      <c r="AE102" s="107"/>
      <c r="AF102" s="107"/>
      <c r="AG102" s="107"/>
      <c r="AH102" s="107"/>
      <c r="AI102" s="107"/>
      <c r="AJ102" s="107"/>
      <c r="AK102" s="107"/>
      <c r="AL102" s="107"/>
      <c r="AM102" s="107"/>
      <c r="AN102" s="107"/>
      <c r="AO102" s="107"/>
      <c r="AP102" s="107"/>
      <c r="AQ102" s="107"/>
      <c r="AR102" s="107"/>
      <c r="AS102" s="107"/>
      <c r="AT102" s="107"/>
      <c r="AU102" s="107"/>
      <c r="AV102" s="107"/>
      <c r="AW102" s="107"/>
      <c r="AX102" s="110"/>
      <c r="AY102" s="111"/>
      <c r="AZ102" s="107"/>
      <c r="BA102" s="107"/>
      <c r="BB102" s="107"/>
      <c r="BC102" s="107"/>
      <c r="BD102" s="107"/>
      <c r="BE102" s="107"/>
      <c r="BF102" s="107"/>
      <c r="BG102" s="107"/>
      <c r="BH102" s="107"/>
      <c r="BI102" s="107"/>
      <c r="BJ102" s="107"/>
      <c r="BK102" s="107"/>
      <c r="BL102" s="107"/>
    </row>
    <row r="103" spans="1:64" s="112" customFormat="1" x14ac:dyDescent="0.25">
      <c r="A103" s="168"/>
      <c r="B103" s="168"/>
      <c r="C103" s="168"/>
      <c r="D103" s="168"/>
      <c r="E103" s="168"/>
      <c r="F103" s="168"/>
      <c r="G103" s="168"/>
      <c r="H103" s="168"/>
      <c r="I103" s="168"/>
      <c r="J103" s="168"/>
      <c r="K103" s="168"/>
      <c r="L103" s="168"/>
      <c r="M103" s="168"/>
      <c r="N103" s="168"/>
      <c r="O103" s="168"/>
      <c r="P103" s="168"/>
      <c r="Q103" s="168"/>
      <c r="R103" s="168"/>
      <c r="S103" s="168"/>
      <c r="T103" s="168"/>
      <c r="U103" s="168"/>
      <c r="V103" s="168"/>
      <c r="W103" s="168"/>
      <c r="X103" s="168"/>
      <c r="Y103" s="168"/>
      <c r="Z103" s="107"/>
      <c r="AA103" s="107"/>
      <c r="AB103" s="107"/>
      <c r="AC103" s="107"/>
      <c r="AD103" s="107"/>
      <c r="AE103" s="107"/>
      <c r="AF103" s="107"/>
      <c r="AG103" s="107"/>
      <c r="AH103" s="107"/>
      <c r="AI103" s="107"/>
      <c r="AJ103" s="107"/>
      <c r="AK103" s="107"/>
      <c r="AL103" s="107"/>
      <c r="AM103" s="107"/>
      <c r="AN103" s="107"/>
      <c r="AO103" s="107"/>
      <c r="AP103" s="107"/>
      <c r="AQ103" s="107"/>
      <c r="AR103" s="107"/>
      <c r="AS103" s="107"/>
      <c r="AT103" s="107"/>
      <c r="AU103" s="107"/>
      <c r="AV103" s="107"/>
      <c r="AW103" s="107"/>
      <c r="AX103" s="110"/>
      <c r="AY103" s="111"/>
      <c r="AZ103" s="107"/>
      <c r="BA103" s="107"/>
      <c r="BB103" s="107"/>
      <c r="BC103" s="107"/>
      <c r="BD103" s="107"/>
      <c r="BE103" s="107"/>
      <c r="BF103" s="107"/>
      <c r="BG103" s="107"/>
      <c r="BH103" s="107"/>
      <c r="BI103" s="107"/>
      <c r="BJ103" s="107"/>
      <c r="BK103" s="107"/>
      <c r="BL103" s="107"/>
    </row>
    <row r="104" spans="1:64" s="112" customFormat="1" x14ac:dyDescent="0.25">
      <c r="A104" s="121"/>
      <c r="B104" s="121"/>
      <c r="C104" s="121"/>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07"/>
      <c r="AA104" s="107"/>
      <c r="AB104" s="107"/>
      <c r="AC104" s="107"/>
      <c r="AD104" s="107"/>
      <c r="AE104" s="107"/>
      <c r="AF104" s="107"/>
      <c r="AG104" s="107"/>
      <c r="AH104" s="107"/>
      <c r="AI104" s="107"/>
      <c r="AJ104" s="107"/>
      <c r="AK104" s="107"/>
      <c r="AL104" s="107"/>
      <c r="AM104" s="107"/>
      <c r="AN104" s="107"/>
      <c r="AO104" s="107"/>
      <c r="AP104" s="107"/>
      <c r="AQ104" s="107"/>
      <c r="AR104" s="107"/>
      <c r="AS104" s="107"/>
      <c r="AT104" s="107"/>
      <c r="AU104" s="107"/>
      <c r="AV104" s="107"/>
      <c r="AW104" s="107"/>
      <c r="AX104" s="110"/>
      <c r="AY104" s="111"/>
      <c r="AZ104" s="107"/>
      <c r="BA104" s="107"/>
      <c r="BB104" s="107"/>
      <c r="BC104" s="107"/>
      <c r="BD104" s="107"/>
      <c r="BE104" s="107"/>
      <c r="BF104" s="107"/>
      <c r="BG104" s="107"/>
      <c r="BH104" s="107"/>
      <c r="BI104" s="107"/>
      <c r="BJ104" s="107"/>
      <c r="BK104" s="107"/>
      <c r="BL104" s="107"/>
    </row>
    <row r="105" spans="1:64" s="112" customFormat="1" x14ac:dyDescent="0.25">
      <c r="A105" s="168"/>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10"/>
      <c r="AY105" s="111"/>
      <c r="AZ105" s="107"/>
      <c r="BA105" s="107"/>
      <c r="BB105" s="107"/>
      <c r="BC105" s="107"/>
      <c r="BD105" s="107"/>
      <c r="BE105" s="107"/>
      <c r="BF105" s="107"/>
      <c r="BG105" s="107"/>
      <c r="BH105" s="107"/>
      <c r="BI105" s="107"/>
      <c r="BJ105" s="107"/>
      <c r="BK105" s="107"/>
      <c r="BL105" s="107"/>
    </row>
    <row r="106" spans="1:64" s="112" customFormat="1" x14ac:dyDescent="0.25">
      <c r="A106" s="168"/>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10"/>
      <c r="AY106" s="111"/>
      <c r="AZ106" s="107"/>
      <c r="BA106" s="107"/>
      <c r="BB106" s="107"/>
      <c r="BC106" s="107"/>
      <c r="BD106" s="107"/>
      <c r="BE106" s="107"/>
      <c r="BF106" s="107"/>
      <c r="BG106" s="107"/>
      <c r="BH106" s="107"/>
      <c r="BI106" s="107"/>
      <c r="BJ106" s="107"/>
      <c r="BK106" s="107"/>
      <c r="BL106" s="107"/>
    </row>
    <row r="107" spans="1:64" s="112" customFormat="1" x14ac:dyDescent="0.25">
      <c r="A107" s="168"/>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10"/>
      <c r="AY107" s="111"/>
      <c r="AZ107" s="107"/>
      <c r="BA107" s="107"/>
      <c r="BB107" s="107"/>
      <c r="BC107" s="107"/>
      <c r="BD107" s="107"/>
      <c r="BE107" s="107"/>
      <c r="BF107" s="107"/>
      <c r="BG107" s="107"/>
      <c r="BH107" s="107"/>
      <c r="BI107" s="107"/>
      <c r="BJ107" s="107"/>
      <c r="BK107" s="107"/>
      <c r="BL107" s="107"/>
    </row>
    <row r="108" spans="1:64" s="112" customFormat="1" x14ac:dyDescent="0.25">
      <c r="A108" s="168"/>
      <c r="B108" s="168"/>
      <c r="C108" s="168"/>
      <c r="D108" s="168"/>
      <c r="E108" s="168"/>
      <c r="F108" s="168"/>
      <c r="G108" s="168"/>
      <c r="H108" s="168"/>
      <c r="I108" s="168"/>
      <c r="J108" s="168"/>
      <c r="K108" s="168"/>
      <c r="L108" s="168"/>
      <c r="M108" s="168"/>
      <c r="N108" s="168"/>
      <c r="O108" s="168"/>
      <c r="P108" s="168"/>
      <c r="Q108" s="168"/>
      <c r="R108" s="168"/>
      <c r="S108" s="168"/>
      <c r="T108" s="168"/>
      <c r="U108" s="168"/>
      <c r="V108" s="168"/>
      <c r="W108" s="168"/>
      <c r="X108" s="168"/>
      <c r="Y108" s="168"/>
      <c r="Z108" s="107"/>
      <c r="AA108" s="107"/>
      <c r="AB108" s="107"/>
      <c r="AC108" s="107"/>
      <c r="AD108" s="107"/>
      <c r="AE108" s="107"/>
      <c r="AF108" s="107"/>
      <c r="AG108" s="107"/>
      <c r="AH108" s="107"/>
      <c r="AI108" s="107"/>
      <c r="AJ108" s="107"/>
      <c r="AK108" s="107"/>
      <c r="AL108" s="107"/>
      <c r="AM108" s="107"/>
      <c r="AN108" s="107"/>
      <c r="AO108" s="107"/>
      <c r="AP108" s="107"/>
      <c r="AQ108" s="107"/>
      <c r="AR108" s="107"/>
      <c r="AS108" s="107"/>
      <c r="AT108" s="107"/>
      <c r="AU108" s="107"/>
      <c r="AV108" s="107"/>
      <c r="AW108" s="107"/>
      <c r="AX108" s="110"/>
      <c r="AY108" s="111"/>
      <c r="AZ108" s="107"/>
      <c r="BA108" s="107"/>
      <c r="BB108" s="107"/>
      <c r="BC108" s="107"/>
      <c r="BD108" s="107"/>
      <c r="BE108" s="107"/>
      <c r="BF108" s="107"/>
      <c r="BG108" s="107"/>
      <c r="BH108" s="107"/>
      <c r="BI108" s="107"/>
      <c r="BJ108" s="107"/>
      <c r="BK108" s="107"/>
      <c r="BL108" s="107"/>
    </row>
    <row r="109" spans="1:64" s="112" customFormat="1" x14ac:dyDescent="0.25">
      <c r="A109" s="121"/>
      <c r="B109" s="121"/>
      <c r="C109" s="121"/>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07"/>
      <c r="AA109" s="107"/>
      <c r="AB109" s="107"/>
      <c r="AC109" s="107"/>
      <c r="AD109" s="107"/>
      <c r="AE109" s="107"/>
      <c r="AF109" s="107"/>
      <c r="AG109" s="107"/>
      <c r="AH109" s="107"/>
      <c r="AI109" s="107"/>
      <c r="AJ109" s="107"/>
      <c r="AK109" s="107"/>
      <c r="AL109" s="107"/>
      <c r="AM109" s="107"/>
      <c r="AN109" s="107"/>
      <c r="AO109" s="107"/>
      <c r="AP109" s="107"/>
      <c r="AQ109" s="107"/>
      <c r="AR109" s="107"/>
      <c r="AS109" s="107"/>
      <c r="AT109" s="107"/>
      <c r="AU109" s="107"/>
      <c r="AV109" s="107"/>
      <c r="AW109" s="107"/>
      <c r="AX109" s="110"/>
      <c r="AY109" s="111"/>
      <c r="AZ109" s="107"/>
      <c r="BA109" s="107"/>
      <c r="BB109" s="107"/>
      <c r="BC109" s="107"/>
      <c r="BD109" s="107"/>
      <c r="BE109" s="107"/>
      <c r="BF109" s="107"/>
      <c r="BG109" s="107"/>
      <c r="BH109" s="107"/>
      <c r="BI109" s="107"/>
      <c r="BJ109" s="107"/>
      <c r="BK109" s="107"/>
      <c r="BL109" s="107"/>
    </row>
    <row r="110" spans="1:64" s="112" customFormat="1" x14ac:dyDescent="0.25">
      <c r="A110" s="168"/>
      <c r="B110" s="168"/>
      <c r="C110" s="168"/>
      <c r="D110" s="168"/>
      <c r="E110" s="168"/>
      <c r="F110" s="168"/>
      <c r="G110" s="168"/>
      <c r="H110" s="168"/>
      <c r="I110" s="168"/>
      <c r="J110" s="168"/>
      <c r="K110" s="168"/>
      <c r="L110" s="168"/>
      <c r="M110" s="168"/>
      <c r="N110" s="168"/>
      <c r="O110" s="168"/>
      <c r="P110" s="168"/>
      <c r="Q110" s="168"/>
      <c r="R110" s="168"/>
      <c r="S110" s="168"/>
      <c r="T110" s="168"/>
      <c r="U110" s="168"/>
      <c r="V110" s="168"/>
      <c r="W110" s="168"/>
      <c r="X110" s="168"/>
      <c r="Y110" s="168"/>
      <c r="Z110" s="107"/>
      <c r="AA110" s="107"/>
      <c r="AB110" s="107"/>
      <c r="AC110" s="107"/>
      <c r="AD110" s="107"/>
      <c r="AE110" s="107"/>
      <c r="AF110" s="107"/>
      <c r="AG110" s="107"/>
      <c r="AH110" s="107"/>
      <c r="AI110" s="107"/>
      <c r="AJ110" s="107"/>
      <c r="AK110" s="107"/>
      <c r="AL110" s="107"/>
      <c r="AM110" s="107"/>
      <c r="AN110" s="107"/>
      <c r="AO110" s="107"/>
      <c r="AP110" s="107"/>
      <c r="AQ110" s="107"/>
      <c r="AR110" s="107"/>
      <c r="AS110" s="107"/>
      <c r="AT110" s="107"/>
      <c r="AU110" s="107"/>
      <c r="AV110" s="107"/>
      <c r="AW110" s="107"/>
      <c r="AX110" s="110"/>
      <c r="AY110" s="111"/>
      <c r="AZ110" s="107"/>
      <c r="BA110" s="107"/>
      <c r="BB110" s="107"/>
      <c r="BC110" s="107"/>
      <c r="BD110" s="107"/>
      <c r="BE110" s="107"/>
      <c r="BF110" s="107"/>
      <c r="BG110" s="107"/>
      <c r="BH110" s="107"/>
      <c r="BI110" s="107"/>
      <c r="BJ110" s="107"/>
      <c r="BK110" s="107"/>
      <c r="BL110" s="107"/>
    </row>
    <row r="111" spans="1:64" s="112" customFormat="1" x14ac:dyDescent="0.25">
      <c r="A111" s="168"/>
      <c r="B111" s="168"/>
      <c r="C111" s="168"/>
      <c r="D111" s="168"/>
      <c r="E111" s="168"/>
      <c r="F111" s="168"/>
      <c r="G111" s="168"/>
      <c r="H111" s="168"/>
      <c r="I111" s="168"/>
      <c r="J111" s="168"/>
      <c r="K111" s="168"/>
      <c r="L111" s="168"/>
      <c r="M111" s="168"/>
      <c r="N111" s="168"/>
      <c r="O111" s="168"/>
      <c r="P111" s="168"/>
      <c r="Q111" s="168"/>
      <c r="R111" s="168"/>
      <c r="S111" s="168"/>
      <c r="T111" s="168"/>
      <c r="U111" s="168"/>
      <c r="V111" s="168"/>
      <c r="W111" s="168"/>
      <c r="X111" s="168"/>
      <c r="Y111" s="168"/>
      <c r="Z111" s="107"/>
      <c r="AA111" s="107"/>
      <c r="AB111" s="107"/>
      <c r="AC111" s="107"/>
      <c r="AD111" s="107"/>
      <c r="AE111" s="107"/>
      <c r="AF111" s="107"/>
      <c r="AG111" s="107"/>
      <c r="AH111" s="107"/>
      <c r="AI111" s="107"/>
      <c r="AJ111" s="107"/>
      <c r="AK111" s="107"/>
      <c r="AL111" s="107"/>
      <c r="AM111" s="107"/>
      <c r="AN111" s="107"/>
      <c r="AO111" s="107"/>
      <c r="AP111" s="107"/>
      <c r="AQ111" s="107"/>
      <c r="AR111" s="107"/>
      <c r="AS111" s="107"/>
      <c r="AT111" s="107"/>
      <c r="AU111" s="107"/>
      <c r="AV111" s="107"/>
      <c r="AW111" s="107"/>
      <c r="AX111" s="110"/>
      <c r="AY111" s="111"/>
      <c r="AZ111" s="107"/>
      <c r="BA111" s="107"/>
      <c r="BB111" s="107"/>
      <c r="BC111" s="107"/>
      <c r="BD111" s="107"/>
      <c r="BE111" s="107"/>
      <c r="BF111" s="107"/>
      <c r="BG111" s="107"/>
      <c r="BH111" s="107"/>
      <c r="BI111" s="107"/>
      <c r="BJ111" s="107"/>
      <c r="BK111" s="107"/>
      <c r="BL111" s="107"/>
    </row>
    <row r="112" spans="1:64" s="112" customFormat="1" x14ac:dyDescent="0.25">
      <c r="A112" s="168"/>
      <c r="B112" s="168"/>
      <c r="C112" s="168"/>
      <c r="D112" s="168"/>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07"/>
      <c r="AA112" s="107"/>
      <c r="AB112" s="107"/>
      <c r="AC112" s="107"/>
      <c r="AD112" s="107"/>
      <c r="AE112" s="107"/>
      <c r="AF112" s="107"/>
      <c r="AG112" s="107"/>
      <c r="AH112" s="107"/>
      <c r="AI112" s="107"/>
      <c r="AJ112" s="107"/>
      <c r="AK112" s="107"/>
      <c r="AL112" s="107"/>
      <c r="AM112" s="107"/>
      <c r="AN112" s="107"/>
      <c r="AO112" s="107"/>
      <c r="AP112" s="107"/>
      <c r="AQ112" s="107"/>
      <c r="AR112" s="107"/>
      <c r="AS112" s="107"/>
      <c r="AT112" s="107"/>
      <c r="AU112" s="107"/>
      <c r="AV112" s="107"/>
      <c r="AW112" s="107"/>
      <c r="AX112" s="110"/>
      <c r="AY112" s="111"/>
      <c r="AZ112" s="107"/>
      <c r="BA112" s="107"/>
      <c r="BB112" s="107"/>
      <c r="BC112" s="107"/>
      <c r="BD112" s="107"/>
      <c r="BE112" s="107"/>
      <c r="BF112" s="107"/>
      <c r="BG112" s="107"/>
      <c r="BH112" s="107"/>
      <c r="BI112" s="107"/>
      <c r="BJ112" s="107"/>
      <c r="BK112" s="107"/>
      <c r="BL112" s="107"/>
    </row>
    <row r="113" spans="1:64" s="112" customFormat="1" x14ac:dyDescent="0.25">
      <c r="A113" s="168"/>
      <c r="B113" s="168"/>
      <c r="C113" s="168"/>
      <c r="D113" s="168"/>
      <c r="E113" s="168"/>
      <c r="F113" s="168"/>
      <c r="G113" s="168"/>
      <c r="H113" s="168"/>
      <c r="I113" s="168"/>
      <c r="J113" s="168"/>
      <c r="K113" s="168"/>
      <c r="L113" s="168"/>
      <c r="M113" s="168"/>
      <c r="N113" s="168"/>
      <c r="O113" s="168"/>
      <c r="P113" s="168"/>
      <c r="Q113" s="168"/>
      <c r="R113" s="168"/>
      <c r="S113" s="168"/>
      <c r="T113" s="168"/>
      <c r="U113" s="168"/>
      <c r="V113" s="168"/>
      <c r="W113" s="168"/>
      <c r="X113" s="168"/>
      <c r="Y113" s="168"/>
      <c r="Z113" s="107"/>
      <c r="AA113" s="107"/>
      <c r="AB113" s="107"/>
      <c r="AC113" s="107"/>
      <c r="AD113" s="107"/>
      <c r="AE113" s="107"/>
      <c r="AF113" s="107"/>
      <c r="AG113" s="107"/>
      <c r="AH113" s="107"/>
      <c r="AI113" s="107"/>
      <c r="AJ113" s="107"/>
      <c r="AK113" s="107"/>
      <c r="AL113" s="107"/>
      <c r="AM113" s="107"/>
      <c r="AN113" s="107"/>
      <c r="AO113" s="107"/>
      <c r="AP113" s="107"/>
      <c r="AQ113" s="107"/>
      <c r="AR113" s="107"/>
      <c r="AS113" s="107"/>
      <c r="AT113" s="107"/>
      <c r="AU113" s="107"/>
      <c r="AV113" s="107"/>
      <c r="AW113" s="107"/>
      <c r="AX113" s="110"/>
      <c r="AY113" s="111"/>
      <c r="AZ113" s="107"/>
      <c r="BA113" s="107"/>
      <c r="BB113" s="107"/>
      <c r="BC113" s="107"/>
      <c r="BD113" s="107"/>
      <c r="BE113" s="107"/>
      <c r="BF113" s="107"/>
      <c r="BG113" s="107"/>
      <c r="BH113" s="107"/>
      <c r="BI113" s="107"/>
      <c r="BJ113" s="107"/>
      <c r="BK113" s="107"/>
      <c r="BL113" s="107"/>
    </row>
    <row r="114" spans="1:64" s="112" customFormat="1" x14ac:dyDescent="0.25">
      <c r="A114" s="121"/>
      <c r="B114" s="121"/>
      <c r="C114" s="121"/>
      <c r="D114" s="121"/>
      <c r="E114" s="121"/>
      <c r="F114" s="121"/>
      <c r="G114" s="121"/>
      <c r="H114" s="121"/>
      <c r="I114" s="121"/>
      <c r="J114" s="121"/>
      <c r="K114" s="121"/>
      <c r="L114" s="121"/>
      <c r="M114" s="121"/>
      <c r="N114" s="121"/>
      <c r="O114" s="121"/>
      <c r="P114" s="121"/>
      <c r="Q114" s="121"/>
      <c r="R114" s="121"/>
      <c r="S114" s="121"/>
      <c r="T114" s="121"/>
      <c r="U114" s="121"/>
      <c r="V114" s="121"/>
      <c r="W114" s="121"/>
      <c r="X114" s="121"/>
      <c r="Y114" s="121"/>
      <c r="Z114" s="107"/>
      <c r="AA114" s="107"/>
      <c r="AB114" s="107"/>
      <c r="AC114" s="107"/>
      <c r="AD114" s="107"/>
      <c r="AE114" s="107"/>
      <c r="AF114" s="107"/>
      <c r="AG114" s="107"/>
      <c r="AH114" s="107"/>
      <c r="AI114" s="107"/>
      <c r="AJ114" s="107"/>
      <c r="AK114" s="107"/>
      <c r="AL114" s="107"/>
      <c r="AM114" s="107"/>
      <c r="AN114" s="107"/>
      <c r="AO114" s="107"/>
      <c r="AP114" s="107"/>
      <c r="AQ114" s="107"/>
      <c r="AR114" s="107"/>
      <c r="AS114" s="107"/>
      <c r="AT114" s="107"/>
      <c r="AU114" s="107"/>
      <c r="AV114" s="107"/>
      <c r="AW114" s="107"/>
      <c r="AX114" s="110"/>
      <c r="AY114" s="111"/>
      <c r="AZ114" s="107"/>
      <c r="BA114" s="107"/>
      <c r="BB114" s="107"/>
      <c r="BC114" s="107"/>
      <c r="BD114" s="107"/>
      <c r="BE114" s="107"/>
      <c r="BF114" s="107"/>
      <c r="BG114" s="107"/>
      <c r="BH114" s="107"/>
      <c r="BI114" s="107"/>
      <c r="BJ114" s="107"/>
      <c r="BK114" s="107"/>
      <c r="BL114" s="107"/>
    </row>
    <row r="115" spans="1:64" s="112" customFormat="1" x14ac:dyDescent="0.25">
      <c r="A115" s="168"/>
      <c r="B115" s="168"/>
      <c r="C115" s="168"/>
      <c r="D115" s="168"/>
      <c r="E115" s="168"/>
      <c r="F115" s="168"/>
      <c r="G115" s="168"/>
      <c r="H115" s="168"/>
      <c r="I115" s="168"/>
      <c r="J115" s="168"/>
      <c r="K115" s="168"/>
      <c r="L115" s="168"/>
      <c r="M115" s="168"/>
      <c r="N115" s="168"/>
      <c r="O115" s="168"/>
      <c r="P115" s="168"/>
      <c r="Q115" s="168"/>
      <c r="R115" s="168"/>
      <c r="S115" s="168"/>
      <c r="T115" s="168"/>
      <c r="U115" s="168"/>
      <c r="V115" s="168"/>
      <c r="W115" s="168"/>
      <c r="X115" s="168"/>
      <c r="Y115" s="168"/>
      <c r="Z115" s="107"/>
      <c r="AA115" s="107"/>
      <c r="AB115" s="107"/>
      <c r="AC115" s="107"/>
      <c r="AD115" s="107"/>
      <c r="AE115" s="107"/>
      <c r="AF115" s="107"/>
      <c r="AG115" s="107"/>
      <c r="AH115" s="107"/>
      <c r="AI115" s="107"/>
      <c r="AJ115" s="107"/>
      <c r="AK115" s="107"/>
      <c r="AL115" s="107"/>
      <c r="AM115" s="107"/>
      <c r="AN115" s="107"/>
      <c r="AO115" s="107"/>
      <c r="AP115" s="107"/>
      <c r="AQ115" s="107"/>
      <c r="AR115" s="107"/>
      <c r="AS115" s="107"/>
      <c r="AT115" s="107"/>
      <c r="AU115" s="107"/>
      <c r="AV115" s="107"/>
      <c r="AW115" s="107"/>
      <c r="AX115" s="110"/>
      <c r="AY115" s="111"/>
      <c r="AZ115" s="107"/>
      <c r="BA115" s="107"/>
      <c r="BB115" s="107"/>
      <c r="BC115" s="107"/>
      <c r="BD115" s="107"/>
      <c r="BE115" s="107"/>
      <c r="BF115" s="107"/>
      <c r="BG115" s="107"/>
      <c r="BH115" s="107"/>
      <c r="BI115" s="107"/>
      <c r="BJ115" s="107"/>
      <c r="BK115" s="107"/>
      <c r="BL115" s="107"/>
    </row>
    <row r="116" spans="1:64" s="112" customFormat="1" x14ac:dyDescent="0.25">
      <c r="A116" s="168"/>
      <c r="B116" s="168"/>
      <c r="C116" s="168"/>
      <c r="D116" s="168"/>
      <c r="E116" s="168"/>
      <c r="F116" s="168"/>
      <c r="G116" s="168"/>
      <c r="H116" s="168"/>
      <c r="I116" s="168"/>
      <c r="J116" s="168"/>
      <c r="K116" s="168"/>
      <c r="L116" s="168"/>
      <c r="M116" s="168"/>
      <c r="N116" s="168"/>
      <c r="O116" s="168"/>
      <c r="P116" s="168"/>
      <c r="Q116" s="168"/>
      <c r="R116" s="168"/>
      <c r="S116" s="168"/>
      <c r="T116" s="168"/>
      <c r="U116" s="168"/>
      <c r="V116" s="168"/>
      <c r="W116" s="168"/>
      <c r="X116" s="168"/>
      <c r="Y116" s="168"/>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10"/>
      <c r="AY116" s="111"/>
      <c r="AZ116" s="107"/>
      <c r="BA116" s="107"/>
      <c r="BB116" s="107"/>
      <c r="BC116" s="107"/>
      <c r="BD116" s="107"/>
      <c r="BE116" s="107"/>
      <c r="BF116" s="107"/>
      <c r="BG116" s="107"/>
      <c r="BH116" s="107"/>
      <c r="BI116" s="107"/>
      <c r="BJ116" s="107"/>
      <c r="BK116" s="107"/>
      <c r="BL116" s="107"/>
    </row>
    <row r="117" spans="1:64" s="112" customFormat="1" x14ac:dyDescent="0.25">
      <c r="A117" s="168"/>
      <c r="B117" s="168"/>
      <c r="C117" s="168"/>
      <c r="D117" s="168"/>
      <c r="E117" s="168"/>
      <c r="F117" s="168"/>
      <c r="G117" s="168"/>
      <c r="H117" s="168"/>
      <c r="I117" s="168"/>
      <c r="J117" s="168"/>
      <c r="K117" s="168"/>
      <c r="L117" s="168"/>
      <c r="M117" s="168"/>
      <c r="N117" s="168"/>
      <c r="O117" s="168"/>
      <c r="P117" s="168"/>
      <c r="Q117" s="168"/>
      <c r="R117" s="168"/>
      <c r="S117" s="168"/>
      <c r="T117" s="168"/>
      <c r="U117" s="168"/>
      <c r="V117" s="168"/>
      <c r="W117" s="168"/>
      <c r="X117" s="168"/>
      <c r="Y117" s="168"/>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10"/>
      <c r="AY117" s="111"/>
      <c r="AZ117" s="107"/>
      <c r="BA117" s="107"/>
      <c r="BB117" s="107"/>
      <c r="BC117" s="107"/>
      <c r="BD117" s="107"/>
      <c r="BE117" s="107"/>
      <c r="BF117" s="107"/>
      <c r="BG117" s="107"/>
      <c r="BH117" s="107"/>
      <c r="BI117" s="107"/>
      <c r="BJ117" s="107"/>
      <c r="BK117" s="107"/>
      <c r="BL117" s="107"/>
    </row>
    <row r="118" spans="1:64" s="112" customFormat="1" x14ac:dyDescent="0.25">
      <c r="A118" s="168"/>
      <c r="B118" s="168"/>
      <c r="C118" s="168"/>
      <c r="D118" s="168"/>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10"/>
      <c r="AY118" s="111"/>
      <c r="AZ118" s="107"/>
      <c r="BA118" s="107"/>
      <c r="BB118" s="107"/>
      <c r="BC118" s="107"/>
      <c r="BD118" s="107"/>
      <c r="BE118" s="107"/>
      <c r="BF118" s="107"/>
      <c r="BG118" s="107"/>
      <c r="BH118" s="107"/>
      <c r="BI118" s="107"/>
      <c r="BJ118" s="107"/>
      <c r="BK118" s="107"/>
      <c r="BL118" s="107"/>
    </row>
    <row r="119" spans="1:64" s="127" customFormat="1" x14ac:dyDescent="0.25">
      <c r="A119" s="169"/>
      <c r="B119" s="169"/>
      <c r="C119" s="169"/>
      <c r="D119" s="169"/>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70"/>
      <c r="AA119" s="170"/>
      <c r="AB119" s="170"/>
      <c r="AC119" s="170"/>
      <c r="AD119" s="170"/>
      <c r="AE119" s="170"/>
      <c r="AF119" s="170"/>
      <c r="AG119" s="170"/>
      <c r="AH119" s="170"/>
      <c r="AI119" s="170"/>
      <c r="AJ119" s="170"/>
      <c r="AK119" s="170"/>
      <c r="AL119" s="170"/>
      <c r="AM119" s="170"/>
      <c r="AN119" s="170"/>
      <c r="AO119" s="170"/>
      <c r="AP119" s="170"/>
      <c r="AQ119" s="170"/>
      <c r="AR119" s="170"/>
      <c r="AS119" s="170"/>
      <c r="AT119" s="170"/>
      <c r="AU119" s="170"/>
      <c r="AV119" s="170"/>
      <c r="AW119" s="170"/>
      <c r="AX119" s="171"/>
      <c r="AY119" s="172"/>
      <c r="AZ119" s="170"/>
      <c r="BA119" s="170"/>
      <c r="BB119" s="170"/>
      <c r="BC119" s="170"/>
      <c r="BD119" s="170"/>
      <c r="BE119" s="170"/>
      <c r="BF119" s="170"/>
      <c r="BG119" s="170"/>
      <c r="BH119" s="170"/>
      <c r="BI119" s="170"/>
      <c r="BJ119" s="170"/>
      <c r="BK119" s="170"/>
      <c r="BL119" s="170"/>
    </row>
    <row r="120" spans="1:64" s="112" customFormat="1" x14ac:dyDescent="0.25">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0"/>
      <c r="AA120" s="170"/>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1"/>
      <c r="AY120" s="172"/>
      <c r="AZ120" s="170"/>
      <c r="BA120" s="170"/>
      <c r="BB120" s="170"/>
      <c r="BC120" s="170"/>
      <c r="BD120" s="170"/>
      <c r="BE120" s="170"/>
      <c r="BF120" s="170"/>
      <c r="BG120" s="170"/>
      <c r="BH120" s="170"/>
      <c r="BI120" s="170"/>
      <c r="BJ120" s="170"/>
      <c r="BK120" s="170"/>
      <c r="BL120" s="170"/>
    </row>
    <row r="121" spans="1:64" s="112" customFormat="1" x14ac:dyDescent="0.25">
      <c r="A121" s="174"/>
      <c r="B121" s="174"/>
      <c r="C121" s="174"/>
      <c r="D121" s="174"/>
      <c r="E121" s="174"/>
      <c r="F121" s="174"/>
      <c r="G121" s="174"/>
      <c r="H121" s="174"/>
      <c r="I121" s="174"/>
      <c r="J121" s="174"/>
      <c r="K121" s="174"/>
      <c r="L121" s="174"/>
      <c r="M121" s="174"/>
      <c r="N121" s="174"/>
      <c r="O121" s="174"/>
      <c r="P121" s="174"/>
      <c r="Q121" s="174"/>
      <c r="R121" s="174"/>
      <c r="S121" s="174"/>
      <c r="T121" s="174"/>
      <c r="U121" s="174"/>
      <c r="V121" s="174"/>
      <c r="W121" s="174"/>
      <c r="X121" s="174"/>
      <c r="Y121" s="174"/>
      <c r="Z121" s="175"/>
      <c r="AA121" s="175"/>
      <c r="AB121" s="175"/>
      <c r="AC121" s="175"/>
      <c r="AD121" s="175"/>
      <c r="AE121" s="175"/>
      <c r="AF121" s="175"/>
      <c r="AG121" s="175"/>
      <c r="AH121" s="175"/>
      <c r="AI121" s="175"/>
      <c r="AJ121" s="175"/>
      <c r="AK121" s="175"/>
      <c r="AL121" s="175"/>
      <c r="AM121" s="175"/>
      <c r="AN121" s="175"/>
      <c r="AO121" s="175"/>
      <c r="AV121" s="175"/>
      <c r="AW121" s="175"/>
      <c r="AX121" s="176"/>
      <c r="AY121" s="177"/>
      <c r="AZ121" s="175"/>
      <c r="BA121" s="175"/>
      <c r="BB121" s="175"/>
      <c r="BC121" s="175"/>
    </row>
    <row r="122" spans="1:64" s="112" customFormat="1" x14ac:dyDescent="0.25">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10"/>
      <c r="AY122" s="111"/>
      <c r="AZ122" s="107"/>
      <c r="BA122" s="107"/>
      <c r="BB122" s="107"/>
      <c r="BC122" s="107"/>
      <c r="BD122" s="107"/>
      <c r="BE122" s="107"/>
      <c r="BF122" s="107"/>
      <c r="BG122" s="107"/>
      <c r="BH122" s="107"/>
      <c r="BI122" s="107"/>
      <c r="BJ122" s="107"/>
      <c r="BK122" s="107"/>
      <c r="BL122" s="107"/>
    </row>
    <row r="123" spans="1:64" s="112" customFormat="1" x14ac:dyDescent="0.25">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07"/>
      <c r="AA123" s="107"/>
      <c r="AB123" s="107"/>
      <c r="AC123" s="107"/>
      <c r="AD123" s="107"/>
      <c r="AE123" s="107"/>
      <c r="AF123" s="107"/>
      <c r="AG123" s="107"/>
      <c r="AH123" s="107"/>
      <c r="AI123" s="107"/>
      <c r="AJ123" s="107"/>
      <c r="AK123" s="107"/>
      <c r="AL123" s="107"/>
      <c r="AM123" s="107"/>
      <c r="AN123" s="107"/>
      <c r="AO123" s="107"/>
      <c r="AP123" s="107"/>
      <c r="AQ123" s="107"/>
      <c r="AR123" s="107"/>
      <c r="AS123" s="107"/>
      <c r="AT123" s="107"/>
      <c r="AU123" s="107"/>
      <c r="AV123" s="107"/>
      <c r="AW123" s="107"/>
      <c r="AX123" s="110"/>
      <c r="AY123" s="111"/>
      <c r="AZ123" s="107"/>
      <c r="BA123" s="107"/>
      <c r="BB123" s="107"/>
      <c r="BC123" s="107"/>
      <c r="BD123" s="107"/>
      <c r="BE123" s="107"/>
      <c r="BF123" s="107"/>
      <c r="BG123" s="107"/>
      <c r="BH123" s="107"/>
      <c r="BI123" s="107"/>
      <c r="BJ123" s="107"/>
      <c r="BK123" s="107"/>
      <c r="BL123" s="107"/>
    </row>
    <row r="124" spans="1:64" s="112" customFormat="1" x14ac:dyDescent="0.25">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07"/>
      <c r="AA124" s="107"/>
      <c r="AB124" s="107"/>
      <c r="AC124" s="107"/>
      <c r="AD124" s="107"/>
      <c r="AE124" s="107"/>
      <c r="AF124" s="107"/>
      <c r="AG124" s="107"/>
      <c r="AH124" s="107"/>
      <c r="AI124" s="107"/>
      <c r="AJ124" s="107"/>
      <c r="AK124" s="107"/>
      <c r="AL124" s="107"/>
      <c r="AM124" s="107"/>
      <c r="AN124" s="107"/>
      <c r="AO124" s="107"/>
      <c r="AP124" s="107"/>
      <c r="AQ124" s="107"/>
      <c r="AR124" s="107"/>
      <c r="AS124" s="107"/>
      <c r="AT124" s="107"/>
      <c r="AU124" s="107"/>
      <c r="AV124" s="107"/>
      <c r="AW124" s="107"/>
      <c r="AX124" s="110"/>
      <c r="AY124" s="111"/>
      <c r="AZ124" s="107"/>
      <c r="BA124" s="107"/>
      <c r="BB124" s="107"/>
      <c r="BC124" s="107"/>
      <c r="BD124" s="107"/>
      <c r="BE124" s="107"/>
      <c r="BF124" s="107"/>
      <c r="BG124" s="107"/>
      <c r="BH124" s="107"/>
      <c r="BI124" s="107"/>
      <c r="BJ124" s="107"/>
      <c r="BK124" s="107"/>
      <c r="BL124" s="107"/>
    </row>
    <row r="125" spans="1:64" s="112" customFormat="1" x14ac:dyDescent="0.25">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07"/>
      <c r="AA125" s="107"/>
      <c r="AB125" s="107"/>
      <c r="AC125" s="107"/>
      <c r="AD125" s="107"/>
      <c r="AE125" s="107"/>
      <c r="AF125" s="107"/>
      <c r="AG125" s="107"/>
      <c r="AH125" s="107"/>
      <c r="AI125" s="107"/>
      <c r="AJ125" s="107"/>
      <c r="AK125" s="107"/>
      <c r="AL125" s="107"/>
      <c r="AM125" s="107"/>
      <c r="AN125" s="107"/>
      <c r="AO125" s="107"/>
      <c r="AP125" s="107"/>
      <c r="AQ125" s="107"/>
      <c r="AR125" s="107"/>
      <c r="AS125" s="107"/>
      <c r="AT125" s="107"/>
      <c r="AU125" s="107"/>
      <c r="AV125" s="107"/>
      <c r="AW125" s="107"/>
      <c r="AX125" s="110"/>
      <c r="AY125" s="111"/>
      <c r="AZ125" s="107"/>
      <c r="BA125" s="107"/>
      <c r="BB125" s="107"/>
      <c r="BC125" s="107"/>
      <c r="BD125" s="107"/>
      <c r="BE125" s="107"/>
      <c r="BF125" s="107"/>
      <c r="BG125" s="107"/>
      <c r="BH125" s="107"/>
      <c r="BI125" s="107"/>
      <c r="BJ125" s="107"/>
      <c r="BK125" s="107"/>
      <c r="BL125" s="107"/>
    </row>
    <row r="126" spans="1:64" s="112" customFormat="1" x14ac:dyDescent="0.25">
      <c r="A126" s="169"/>
      <c r="B126" s="169"/>
      <c r="C126" s="169"/>
      <c r="D126" s="169"/>
      <c r="E126" s="169"/>
      <c r="F126" s="169"/>
      <c r="G126" s="169"/>
      <c r="H126" s="169"/>
      <c r="I126" s="169"/>
      <c r="J126" s="169"/>
      <c r="K126" s="169"/>
      <c r="L126" s="169"/>
      <c r="M126" s="169"/>
      <c r="N126" s="169"/>
      <c r="O126" s="169"/>
      <c r="P126" s="169"/>
      <c r="Q126" s="169"/>
      <c r="R126" s="169"/>
      <c r="S126" s="169"/>
      <c r="T126" s="169"/>
      <c r="U126" s="169"/>
      <c r="V126" s="169"/>
      <c r="W126" s="169"/>
      <c r="X126" s="169"/>
      <c r="Y126" s="169"/>
      <c r="Z126" s="170"/>
      <c r="AA126" s="170"/>
      <c r="AB126" s="170"/>
      <c r="AC126" s="170"/>
      <c r="AD126" s="170"/>
      <c r="AE126" s="170"/>
      <c r="AF126" s="170"/>
      <c r="AG126" s="170"/>
      <c r="AH126" s="170"/>
      <c r="AI126" s="170"/>
      <c r="AJ126" s="170"/>
      <c r="AK126" s="170"/>
      <c r="AL126" s="170"/>
      <c r="AM126" s="170"/>
      <c r="AN126" s="170"/>
      <c r="AO126" s="170"/>
      <c r="AP126" s="170"/>
      <c r="AQ126" s="170"/>
      <c r="AR126" s="170"/>
      <c r="AS126" s="170"/>
      <c r="AT126" s="170"/>
      <c r="AU126" s="170"/>
      <c r="AV126" s="170"/>
      <c r="AW126" s="170"/>
      <c r="AX126" s="171"/>
      <c r="AY126" s="172"/>
      <c r="AZ126" s="170"/>
      <c r="BA126" s="170"/>
      <c r="BB126" s="170"/>
      <c r="BC126" s="170"/>
      <c r="BD126" s="170"/>
      <c r="BE126" s="170"/>
      <c r="BF126" s="170"/>
      <c r="BG126" s="170"/>
      <c r="BH126" s="170"/>
      <c r="BI126" s="170"/>
      <c r="BJ126" s="170"/>
      <c r="BK126" s="170"/>
      <c r="BL126" s="170"/>
    </row>
    <row r="127" spans="1:64" s="112" customFormat="1" x14ac:dyDescent="0.25">
      <c r="A127" s="173"/>
      <c r="B127" s="173"/>
      <c r="C127" s="173"/>
      <c r="D127" s="173"/>
      <c r="E127" s="173"/>
      <c r="F127" s="173"/>
      <c r="G127" s="173"/>
      <c r="H127" s="173"/>
      <c r="I127" s="173"/>
      <c r="J127" s="173"/>
      <c r="K127" s="173"/>
      <c r="L127" s="173"/>
      <c r="M127" s="173"/>
      <c r="N127" s="173"/>
      <c r="O127" s="173"/>
      <c r="P127" s="173"/>
      <c r="Q127" s="173"/>
      <c r="R127" s="173"/>
      <c r="S127" s="173"/>
      <c r="T127" s="173"/>
      <c r="U127" s="173"/>
      <c r="V127" s="173"/>
      <c r="W127" s="173"/>
      <c r="X127" s="173"/>
      <c r="Y127" s="173"/>
      <c r="Z127" s="178"/>
      <c r="AA127" s="178"/>
      <c r="AB127" s="178"/>
      <c r="AC127" s="178"/>
      <c r="AD127" s="178"/>
      <c r="AE127" s="178"/>
      <c r="AF127" s="178"/>
      <c r="AG127" s="178"/>
      <c r="AH127" s="178"/>
      <c r="AI127" s="178"/>
      <c r="AJ127" s="178"/>
      <c r="AK127" s="178"/>
      <c r="AL127" s="178"/>
      <c r="AM127" s="178"/>
      <c r="AN127" s="178"/>
      <c r="AO127" s="178"/>
      <c r="AP127" s="178"/>
      <c r="AQ127" s="178"/>
      <c r="AR127" s="178"/>
      <c r="AS127" s="178"/>
      <c r="AT127" s="178"/>
      <c r="AU127" s="178"/>
      <c r="AV127" s="178"/>
      <c r="AW127" s="178"/>
      <c r="AX127" s="179"/>
      <c r="AY127" s="180"/>
      <c r="AZ127" s="178"/>
      <c r="BA127" s="178"/>
      <c r="BB127" s="178"/>
      <c r="BC127" s="178"/>
      <c r="BD127" s="178"/>
      <c r="BE127" s="178"/>
      <c r="BF127" s="178"/>
      <c r="BG127" s="178"/>
      <c r="BH127" s="178"/>
      <c r="BI127" s="178"/>
      <c r="BJ127" s="178"/>
      <c r="BK127" s="178"/>
      <c r="BL127" s="178"/>
    </row>
    <row r="128" spans="1:64" s="112" customFormat="1" x14ac:dyDescent="0.25">
      <c r="Z128" s="107"/>
      <c r="AA128" s="107"/>
      <c r="AB128" s="107"/>
      <c r="AC128" s="107"/>
      <c r="AD128" s="107"/>
      <c r="AE128" s="107"/>
      <c r="AF128" s="107"/>
      <c r="AG128" s="107"/>
      <c r="AH128" s="107"/>
      <c r="AI128" s="107"/>
      <c r="AJ128" s="107"/>
      <c r="AK128" s="107"/>
      <c r="AL128" s="107"/>
      <c r="AM128" s="107"/>
      <c r="AN128" s="107"/>
      <c r="AO128" s="107"/>
      <c r="AV128" s="107"/>
      <c r="AW128" s="107"/>
      <c r="AX128" s="110"/>
      <c r="AY128" s="111"/>
      <c r="AZ128" s="107"/>
      <c r="BA128" s="107"/>
      <c r="BB128" s="107"/>
      <c r="BC128" s="107"/>
    </row>
    <row r="129" spans="1:64" s="112" customFormat="1" x14ac:dyDescent="0.25">
      <c r="A129" s="173"/>
      <c r="B129" s="173"/>
      <c r="C129" s="173"/>
      <c r="D129" s="173"/>
      <c r="E129" s="173"/>
      <c r="F129" s="173"/>
      <c r="G129" s="173"/>
      <c r="H129" s="173"/>
      <c r="I129" s="173"/>
      <c r="J129" s="173"/>
      <c r="K129" s="173"/>
      <c r="L129" s="173"/>
      <c r="M129" s="173"/>
      <c r="N129" s="173"/>
      <c r="O129" s="173"/>
      <c r="P129" s="173"/>
      <c r="Q129" s="173"/>
      <c r="R129" s="173"/>
      <c r="S129" s="173"/>
      <c r="T129" s="173"/>
      <c r="U129" s="173"/>
      <c r="V129" s="173"/>
      <c r="W129" s="173"/>
      <c r="X129" s="173"/>
      <c r="Y129" s="173"/>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10"/>
      <c r="AY129" s="111"/>
      <c r="AZ129" s="107"/>
      <c r="BA129" s="107"/>
      <c r="BB129" s="107"/>
      <c r="BC129" s="107"/>
      <c r="BD129" s="107"/>
      <c r="BE129" s="107"/>
      <c r="BF129" s="107"/>
      <c r="BG129" s="107"/>
      <c r="BH129" s="107"/>
      <c r="BI129" s="107"/>
      <c r="BJ129" s="107"/>
      <c r="BK129" s="107"/>
      <c r="BL129" s="107"/>
    </row>
    <row r="130" spans="1:64" s="112" customFormat="1" x14ac:dyDescent="0.25">
      <c r="A130" s="173"/>
      <c r="B130" s="173"/>
      <c r="C130" s="173"/>
      <c r="D130" s="173"/>
      <c r="E130" s="173"/>
      <c r="F130" s="173"/>
      <c r="G130" s="173"/>
      <c r="H130" s="173"/>
      <c r="I130" s="173"/>
      <c r="J130" s="173"/>
      <c r="K130" s="173"/>
      <c r="L130" s="173"/>
      <c r="M130" s="173"/>
      <c r="N130" s="173"/>
      <c r="O130" s="173"/>
      <c r="P130" s="173"/>
      <c r="Q130" s="173"/>
      <c r="R130" s="173"/>
      <c r="S130" s="173"/>
      <c r="T130" s="173"/>
      <c r="U130" s="173"/>
      <c r="V130" s="173"/>
      <c r="W130" s="173"/>
      <c r="X130" s="173"/>
      <c r="Y130" s="173"/>
      <c r="Z130" s="107"/>
      <c r="AA130" s="107"/>
      <c r="AB130" s="107"/>
      <c r="AC130" s="107"/>
      <c r="AD130" s="107"/>
      <c r="AE130" s="107"/>
      <c r="AF130" s="107"/>
      <c r="AG130" s="107"/>
      <c r="AH130" s="107"/>
      <c r="AI130" s="107"/>
      <c r="AJ130" s="107"/>
      <c r="AK130" s="107"/>
      <c r="AL130" s="107"/>
      <c r="AM130" s="107"/>
      <c r="AN130" s="107"/>
      <c r="AO130" s="107"/>
      <c r="AP130" s="107"/>
      <c r="AQ130" s="107"/>
      <c r="AR130" s="107"/>
      <c r="AS130" s="107"/>
      <c r="AT130" s="107"/>
      <c r="AU130" s="107"/>
      <c r="AV130" s="107"/>
      <c r="AW130" s="107"/>
      <c r="AX130" s="110"/>
      <c r="AY130" s="111"/>
      <c r="AZ130" s="107"/>
      <c r="BA130" s="107"/>
      <c r="BB130" s="107"/>
      <c r="BC130" s="107"/>
      <c r="BD130" s="107"/>
      <c r="BE130" s="107"/>
      <c r="BF130" s="107"/>
      <c r="BG130" s="107"/>
      <c r="BH130" s="107"/>
      <c r="BI130" s="107"/>
      <c r="BJ130" s="107"/>
      <c r="BK130" s="107"/>
      <c r="BL130" s="107"/>
    </row>
    <row r="131" spans="1:64" s="112" customFormat="1" x14ac:dyDescent="0.25">
      <c r="A131" s="173"/>
      <c r="B131" s="173"/>
      <c r="C131" s="173"/>
      <c r="D131" s="173"/>
      <c r="E131" s="173"/>
      <c r="F131" s="173"/>
      <c r="G131" s="173"/>
      <c r="H131" s="173"/>
      <c r="I131" s="173"/>
      <c r="J131" s="173"/>
      <c r="K131" s="173"/>
      <c r="L131" s="173"/>
      <c r="M131" s="173"/>
      <c r="N131" s="173"/>
      <c r="O131" s="173"/>
      <c r="P131" s="173"/>
      <c r="Q131" s="173"/>
      <c r="R131" s="173"/>
      <c r="S131" s="173"/>
      <c r="T131" s="173"/>
      <c r="U131" s="173"/>
      <c r="V131" s="173"/>
      <c r="W131" s="173"/>
      <c r="X131" s="173"/>
      <c r="Y131" s="173"/>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10"/>
      <c r="AY131" s="111"/>
      <c r="AZ131" s="107"/>
      <c r="BA131" s="107"/>
      <c r="BB131" s="107"/>
      <c r="BC131" s="107"/>
      <c r="BD131" s="107"/>
      <c r="BE131" s="107"/>
      <c r="BF131" s="107"/>
      <c r="BG131" s="107"/>
      <c r="BH131" s="107"/>
      <c r="BI131" s="107"/>
      <c r="BJ131" s="107"/>
      <c r="BK131" s="107"/>
      <c r="BL131" s="107"/>
    </row>
    <row r="132" spans="1:64" s="112" customFormat="1" x14ac:dyDescent="0.25">
      <c r="A132" s="173"/>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10"/>
      <c r="AY132" s="111"/>
      <c r="AZ132" s="107"/>
      <c r="BA132" s="107"/>
      <c r="BB132" s="107"/>
      <c r="BC132" s="107"/>
      <c r="BD132" s="107"/>
      <c r="BE132" s="107"/>
      <c r="BF132" s="107"/>
      <c r="BG132" s="107"/>
      <c r="BH132" s="107"/>
      <c r="BI132" s="107"/>
      <c r="BJ132" s="107"/>
      <c r="BK132" s="107"/>
      <c r="BL132" s="107"/>
    </row>
    <row r="133" spans="1:64" s="112" customFormat="1" x14ac:dyDescent="0.25">
      <c r="A133" s="173"/>
      <c r="B133" s="173"/>
      <c r="C133" s="173"/>
      <c r="D133" s="173"/>
      <c r="E133" s="173"/>
      <c r="F133" s="173"/>
      <c r="G133" s="173"/>
      <c r="H133" s="173"/>
      <c r="I133" s="173"/>
      <c r="J133" s="173"/>
      <c r="K133" s="173"/>
      <c r="L133" s="173"/>
      <c r="M133" s="173"/>
      <c r="N133" s="173"/>
      <c r="O133" s="173"/>
      <c r="P133" s="173"/>
      <c r="Q133" s="173"/>
      <c r="R133" s="173"/>
      <c r="S133" s="173"/>
      <c r="T133" s="173"/>
      <c r="U133" s="173"/>
      <c r="V133" s="173"/>
      <c r="W133" s="173"/>
      <c r="X133" s="173"/>
      <c r="Y133" s="173"/>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1"/>
      <c r="AY133" s="172"/>
      <c r="AZ133" s="170"/>
      <c r="BA133" s="170"/>
      <c r="BB133" s="170"/>
      <c r="BC133" s="170"/>
      <c r="BD133" s="170"/>
      <c r="BE133" s="170"/>
      <c r="BF133" s="170"/>
      <c r="BG133" s="170"/>
      <c r="BH133" s="170"/>
      <c r="BI133" s="170"/>
      <c r="BJ133" s="170"/>
      <c r="BK133" s="170"/>
      <c r="BL133" s="170"/>
    </row>
    <row r="134" spans="1:64" s="112" customFormat="1" x14ac:dyDescent="0.25">
      <c r="Z134" s="107"/>
      <c r="AA134" s="107"/>
      <c r="AB134" s="107"/>
      <c r="AC134" s="107"/>
      <c r="AD134" s="107"/>
      <c r="AE134" s="107"/>
      <c r="AF134" s="107"/>
      <c r="AG134" s="107"/>
      <c r="AH134" s="107"/>
      <c r="AI134" s="107"/>
      <c r="AJ134" s="107"/>
      <c r="AK134" s="107"/>
      <c r="AL134" s="107"/>
      <c r="AM134" s="107"/>
      <c r="AN134" s="107"/>
      <c r="AO134" s="107"/>
      <c r="AV134" s="107"/>
      <c r="AW134" s="107"/>
      <c r="AX134" s="110"/>
      <c r="AY134" s="111"/>
      <c r="AZ134" s="107"/>
      <c r="BA134" s="107"/>
      <c r="BB134" s="107"/>
      <c r="BC134" s="107"/>
    </row>
    <row r="135" spans="1:64" s="112" customFormat="1" ht="21" customHeight="1" x14ac:dyDescent="0.25">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10"/>
      <c r="AY135" s="111"/>
      <c r="AZ135" s="107"/>
      <c r="BA135" s="107"/>
      <c r="BB135" s="107"/>
      <c r="BC135" s="107"/>
      <c r="BD135" s="107"/>
      <c r="BE135" s="107"/>
      <c r="BF135" s="107"/>
      <c r="BG135" s="107"/>
      <c r="BH135" s="107"/>
      <c r="BI135" s="107"/>
      <c r="BJ135" s="107"/>
      <c r="BK135" s="107"/>
      <c r="BL135" s="107"/>
    </row>
    <row r="136" spans="1:64" s="112" customFormat="1" x14ac:dyDescent="0.25">
      <c r="Z136" s="107"/>
      <c r="AA136" s="107"/>
      <c r="AB136" s="107"/>
      <c r="AC136" s="107"/>
      <c r="AD136" s="107"/>
      <c r="AE136" s="107"/>
      <c r="AF136" s="107"/>
      <c r="AG136" s="107"/>
      <c r="AH136" s="107"/>
      <c r="AI136" s="107"/>
      <c r="AJ136" s="107"/>
      <c r="AK136" s="107"/>
      <c r="AL136" s="107"/>
      <c r="AM136" s="107"/>
      <c r="AN136" s="107"/>
      <c r="AO136" s="107"/>
      <c r="AP136" s="107"/>
      <c r="AQ136" s="107"/>
      <c r="AR136" s="107"/>
      <c r="AS136" s="107"/>
      <c r="AT136" s="107"/>
      <c r="AU136" s="107"/>
      <c r="AV136" s="107"/>
      <c r="AW136" s="107"/>
      <c r="AX136" s="110"/>
      <c r="AY136" s="111"/>
      <c r="AZ136" s="107"/>
      <c r="BA136" s="107"/>
      <c r="BB136" s="107"/>
      <c r="BC136" s="107"/>
      <c r="BD136" s="107"/>
      <c r="BE136" s="107"/>
      <c r="BF136" s="107"/>
      <c r="BG136" s="107"/>
      <c r="BH136" s="107"/>
      <c r="BI136" s="107"/>
      <c r="BJ136" s="107"/>
      <c r="BK136" s="107"/>
      <c r="BL136" s="107"/>
    </row>
    <row r="137" spans="1:64" s="112" customFormat="1" x14ac:dyDescent="0.25">
      <c r="Z137" s="107"/>
      <c r="AA137" s="107"/>
      <c r="AB137" s="107"/>
      <c r="AC137" s="107"/>
      <c r="AD137" s="107"/>
      <c r="AE137" s="107"/>
      <c r="AF137" s="107"/>
      <c r="AG137" s="107"/>
      <c r="AH137" s="107"/>
      <c r="AI137" s="107"/>
      <c r="AJ137" s="107"/>
      <c r="AK137" s="107"/>
      <c r="AL137" s="107"/>
      <c r="AM137" s="107"/>
      <c r="AN137" s="107"/>
      <c r="AO137" s="107"/>
      <c r="AV137" s="107"/>
      <c r="AW137" s="107"/>
      <c r="AX137" s="110"/>
      <c r="AY137" s="111"/>
      <c r="AZ137" s="107"/>
      <c r="BA137" s="107"/>
      <c r="BB137" s="107"/>
      <c r="BC137" s="107"/>
    </row>
    <row r="138" spans="1:64" x14ac:dyDescent="0.25">
      <c r="BD138" s="184"/>
      <c r="BE138" s="184"/>
      <c r="BF138" s="184"/>
    </row>
    <row r="139" spans="1:64" x14ac:dyDescent="0.25">
      <c r="BD139" s="184"/>
      <c r="BE139" s="184"/>
      <c r="BF139" s="184"/>
    </row>
    <row r="140" spans="1:64" x14ac:dyDescent="0.25">
      <c r="BD140" s="184"/>
      <c r="BE140" s="184"/>
      <c r="BF140" s="184"/>
    </row>
    <row r="141" spans="1:64" x14ac:dyDescent="0.25">
      <c r="BD141" s="184"/>
      <c r="BE141" s="184"/>
      <c r="BF141" s="184"/>
    </row>
    <row r="142" spans="1:64" x14ac:dyDescent="0.25">
      <c r="BD142" s="184"/>
      <c r="BE142" s="184"/>
      <c r="BF142" s="184"/>
    </row>
    <row r="143" spans="1:64" x14ac:dyDescent="0.25">
      <c r="BD143" s="184"/>
      <c r="BE143" s="184"/>
      <c r="BF143" s="184"/>
    </row>
    <row r="144" spans="1:64" x14ac:dyDescent="0.25">
      <c r="BD144" s="184"/>
      <c r="BE144" s="184"/>
      <c r="BF144" s="184"/>
    </row>
    <row r="145" spans="56:58" x14ac:dyDescent="0.25">
      <c r="BD145" s="184"/>
      <c r="BE145" s="184"/>
      <c r="BF145" s="184"/>
    </row>
    <row r="146" spans="56:58" x14ac:dyDescent="0.25">
      <c r="BD146" s="184"/>
      <c r="BE146" s="184"/>
      <c r="BF146" s="184"/>
    </row>
    <row r="147" spans="56:58" x14ac:dyDescent="0.25">
      <c r="BD147" s="184"/>
      <c r="BE147" s="184"/>
      <c r="BF147" s="184"/>
    </row>
    <row r="148" spans="56:58" x14ac:dyDescent="0.25">
      <c r="BD148" s="184"/>
      <c r="BE148" s="184"/>
      <c r="BF148" s="184"/>
    </row>
    <row r="149" spans="56:58" x14ac:dyDescent="0.25">
      <c r="BD149" s="184"/>
      <c r="BE149" s="184"/>
      <c r="BF149" s="184"/>
    </row>
    <row r="150" spans="56:58" x14ac:dyDescent="0.25">
      <c r="BD150" s="184"/>
      <c r="BE150" s="184"/>
      <c r="BF150" s="184"/>
    </row>
    <row r="151" spans="56:58" x14ac:dyDescent="0.25">
      <c r="BD151" s="184"/>
      <c r="BE151" s="184"/>
      <c r="BF151" s="184"/>
    </row>
    <row r="152" spans="56:58" x14ac:dyDescent="0.25">
      <c r="BD152" s="184"/>
      <c r="BE152" s="184"/>
      <c r="BF152" s="184"/>
    </row>
    <row r="153" spans="56:58" x14ac:dyDescent="0.25">
      <c r="BD153" s="184"/>
      <c r="BE153" s="184"/>
      <c r="BF153" s="184"/>
    </row>
    <row r="154" spans="56:58" x14ac:dyDescent="0.25">
      <c r="BD154" s="184"/>
      <c r="BE154" s="184"/>
      <c r="BF154" s="184"/>
    </row>
    <row r="155" spans="56:58" x14ac:dyDescent="0.25">
      <c r="BD155" s="184"/>
      <c r="BE155" s="184"/>
      <c r="BF155" s="184"/>
    </row>
    <row r="156" spans="56:58" x14ac:dyDescent="0.25">
      <c r="BD156" s="184"/>
      <c r="BE156" s="184"/>
      <c r="BF156" s="184"/>
    </row>
    <row r="157" spans="56:58" x14ac:dyDescent="0.25">
      <c r="BD157" s="184"/>
      <c r="BE157" s="184"/>
      <c r="BF157" s="184"/>
    </row>
    <row r="158" spans="56:58" x14ac:dyDescent="0.25">
      <c r="BD158" s="184"/>
      <c r="BE158" s="184"/>
      <c r="BF158" s="184"/>
    </row>
    <row r="159" spans="56:58" x14ac:dyDescent="0.25">
      <c r="BD159" s="184"/>
      <c r="BE159" s="184"/>
      <c r="BF159" s="184"/>
    </row>
    <row r="160" spans="56:58" x14ac:dyDescent="0.25">
      <c r="BD160" s="184"/>
      <c r="BE160" s="184"/>
      <c r="BF160" s="184"/>
    </row>
    <row r="161" spans="56:58" x14ac:dyDescent="0.25">
      <c r="BD161" s="184"/>
      <c r="BE161" s="184"/>
      <c r="BF161" s="184"/>
    </row>
    <row r="162" spans="56:58" x14ac:dyDescent="0.25">
      <c r="BD162" s="184"/>
      <c r="BE162" s="184"/>
      <c r="BF162" s="184"/>
    </row>
    <row r="163" spans="56:58" x14ac:dyDescent="0.25">
      <c r="BD163" s="184"/>
      <c r="BE163" s="184"/>
      <c r="BF163" s="184"/>
    </row>
    <row r="164" spans="56:58" x14ac:dyDescent="0.25">
      <c r="BD164" s="184"/>
      <c r="BE164" s="184"/>
      <c r="BF164" s="184"/>
    </row>
    <row r="165" spans="56:58" x14ac:dyDescent="0.25">
      <c r="BD165" s="184"/>
      <c r="BE165" s="184"/>
      <c r="BF165" s="184"/>
    </row>
    <row r="166" spans="56:58" x14ac:dyDescent="0.25">
      <c r="BD166" s="184"/>
      <c r="BE166" s="184"/>
      <c r="BF166" s="184"/>
    </row>
    <row r="167" spans="56:58" x14ac:dyDescent="0.25">
      <c r="BD167" s="184"/>
      <c r="BE167" s="184"/>
      <c r="BF167" s="184"/>
    </row>
    <row r="168" spans="56:58" x14ac:dyDescent="0.25">
      <c r="BD168" s="184"/>
      <c r="BE168" s="184"/>
      <c r="BF168" s="184"/>
    </row>
    <row r="169" spans="56:58" x14ac:dyDescent="0.25">
      <c r="BD169" s="184"/>
      <c r="BE169" s="184"/>
      <c r="BF169" s="184"/>
    </row>
    <row r="170" spans="56:58" x14ac:dyDescent="0.25">
      <c r="BD170" s="184"/>
      <c r="BE170" s="184"/>
      <c r="BF170" s="184"/>
    </row>
    <row r="171" spans="56:58" x14ac:dyDescent="0.25">
      <c r="BD171" s="184"/>
      <c r="BE171" s="184"/>
      <c r="BF171" s="184"/>
    </row>
    <row r="172" spans="56:58" x14ac:dyDescent="0.25">
      <c r="BD172" s="184"/>
      <c r="BE172" s="184"/>
      <c r="BF172" s="184"/>
    </row>
    <row r="173" spans="56:58" x14ac:dyDescent="0.25">
      <c r="BD173" s="184"/>
      <c r="BE173" s="184"/>
      <c r="BF173" s="184"/>
    </row>
    <row r="174" spans="56:58" x14ac:dyDescent="0.25">
      <c r="BD174" s="184"/>
      <c r="BE174" s="184"/>
      <c r="BF174" s="184"/>
    </row>
    <row r="175" spans="56:58" x14ac:dyDescent="0.25">
      <c r="BD175" s="184"/>
      <c r="BE175" s="184"/>
      <c r="BF175" s="184"/>
    </row>
    <row r="176" spans="56:58" x14ac:dyDescent="0.25">
      <c r="BD176" s="184"/>
      <c r="BE176" s="184"/>
      <c r="BF176" s="184"/>
    </row>
    <row r="177" spans="56:58" x14ac:dyDescent="0.25">
      <c r="BD177" s="184"/>
      <c r="BE177" s="184"/>
      <c r="BF177" s="184"/>
    </row>
    <row r="178" spans="56:58" x14ac:dyDescent="0.25">
      <c r="BD178" s="184"/>
      <c r="BE178" s="184"/>
      <c r="BF178" s="184"/>
    </row>
    <row r="179" spans="56:58" x14ac:dyDescent="0.25">
      <c r="BD179" s="184"/>
      <c r="BE179" s="184"/>
      <c r="BF179" s="184"/>
    </row>
    <row r="180" spans="56:58" x14ac:dyDescent="0.25">
      <c r="BD180" s="184"/>
      <c r="BE180" s="184"/>
      <c r="BF180" s="184"/>
    </row>
    <row r="181" spans="56:58" x14ac:dyDescent="0.25">
      <c r="BD181" s="184"/>
      <c r="BE181" s="184"/>
      <c r="BF181" s="184"/>
    </row>
    <row r="182" spans="56:58" x14ac:dyDescent="0.25">
      <c r="BD182" s="184"/>
      <c r="BE182" s="184"/>
      <c r="BF182" s="184"/>
    </row>
    <row r="183" spans="56:58" x14ac:dyDescent="0.25">
      <c r="BD183" s="184"/>
      <c r="BE183" s="184"/>
      <c r="BF183" s="184"/>
    </row>
    <row r="184" spans="56:58" x14ac:dyDescent="0.25">
      <c r="BD184" s="184"/>
      <c r="BE184" s="184"/>
      <c r="BF184" s="184"/>
    </row>
    <row r="185" spans="56:58" x14ac:dyDescent="0.25">
      <c r="BD185" s="184"/>
      <c r="BE185" s="184"/>
      <c r="BF185" s="184"/>
    </row>
    <row r="186" spans="56:58" x14ac:dyDescent="0.25">
      <c r="BD186" s="184"/>
      <c r="BE186" s="184"/>
      <c r="BF186" s="184"/>
    </row>
    <row r="187" spans="56:58" x14ac:dyDescent="0.25">
      <c r="BD187" s="184"/>
      <c r="BE187" s="184"/>
      <c r="BF187" s="184"/>
    </row>
    <row r="188" spans="56:58" x14ac:dyDescent="0.25">
      <c r="BD188" s="184"/>
      <c r="BE188" s="184"/>
      <c r="BF188" s="184"/>
    </row>
    <row r="189" spans="56:58" x14ac:dyDescent="0.25">
      <c r="BD189" s="184"/>
      <c r="BE189" s="184"/>
      <c r="BF189" s="184"/>
    </row>
    <row r="190" spans="56:58" x14ac:dyDescent="0.25">
      <c r="BD190" s="184"/>
      <c r="BE190" s="184"/>
      <c r="BF190" s="184"/>
    </row>
    <row r="191" spans="56:58" x14ac:dyDescent="0.25">
      <c r="BD191" s="184"/>
      <c r="BE191" s="184"/>
      <c r="BF191" s="184"/>
    </row>
    <row r="192" spans="56:58" x14ac:dyDescent="0.25">
      <c r="BD192" s="184"/>
      <c r="BE192" s="184"/>
      <c r="BF192" s="184"/>
    </row>
    <row r="193" spans="56:58" x14ac:dyDescent="0.25">
      <c r="BD193" s="184"/>
      <c r="BE193" s="184"/>
      <c r="BF193" s="184"/>
    </row>
    <row r="194" spans="56:58" x14ac:dyDescent="0.25">
      <c r="BD194" s="184"/>
      <c r="BE194" s="184"/>
      <c r="BF194" s="184"/>
    </row>
    <row r="195" spans="56:58" x14ac:dyDescent="0.25">
      <c r="BD195" s="184"/>
      <c r="BE195" s="184"/>
      <c r="BF195" s="184"/>
    </row>
    <row r="196" spans="56:58" x14ac:dyDescent="0.25">
      <c r="BD196" s="184"/>
      <c r="BE196" s="184"/>
      <c r="BF196" s="184"/>
    </row>
    <row r="197" spans="56:58" x14ac:dyDescent="0.25">
      <c r="BD197" s="184"/>
      <c r="BE197" s="184"/>
      <c r="BF197" s="184"/>
    </row>
    <row r="198" spans="56:58" x14ac:dyDescent="0.25">
      <c r="BD198" s="184"/>
      <c r="BE198" s="184"/>
      <c r="BF198" s="184"/>
    </row>
    <row r="199" spans="56:58" x14ac:dyDescent="0.25">
      <c r="BD199" s="184"/>
      <c r="BE199" s="184"/>
      <c r="BF199" s="184"/>
    </row>
    <row r="200" spans="56:58" x14ac:dyDescent="0.25">
      <c r="BD200" s="184"/>
      <c r="BE200" s="184"/>
      <c r="BF200" s="184"/>
    </row>
    <row r="201" spans="56:58" x14ac:dyDescent="0.25">
      <c r="BD201" s="184"/>
      <c r="BE201" s="184"/>
      <c r="BF201" s="184"/>
    </row>
    <row r="202" spans="56:58" x14ac:dyDescent="0.25">
      <c r="BD202" s="184"/>
      <c r="BE202" s="184"/>
      <c r="BF202" s="184"/>
    </row>
    <row r="203" spans="56:58" x14ac:dyDescent="0.25">
      <c r="BD203" s="184"/>
      <c r="BE203" s="184"/>
      <c r="BF203" s="184"/>
    </row>
    <row r="204" spans="56:58" x14ac:dyDescent="0.25">
      <c r="BD204" s="184"/>
      <c r="BE204" s="184"/>
      <c r="BF204" s="184"/>
    </row>
    <row r="205" spans="56:58" x14ac:dyDescent="0.25">
      <c r="BD205" s="184"/>
      <c r="BE205" s="184"/>
      <c r="BF205" s="184"/>
    </row>
    <row r="206" spans="56:58" x14ac:dyDescent="0.25">
      <c r="BD206" s="184"/>
      <c r="BE206" s="184"/>
      <c r="BF206" s="184"/>
    </row>
    <row r="207" spans="56:58" x14ac:dyDescent="0.25">
      <c r="BD207" s="184"/>
      <c r="BE207" s="184"/>
      <c r="BF207" s="184"/>
    </row>
    <row r="208" spans="56:58" x14ac:dyDescent="0.25">
      <c r="BD208" s="184"/>
      <c r="BE208" s="184"/>
      <c r="BF208" s="184"/>
    </row>
    <row r="209" spans="56:58" x14ac:dyDescent="0.25">
      <c r="BD209" s="184"/>
      <c r="BE209" s="184"/>
      <c r="BF209" s="184"/>
    </row>
    <row r="210" spans="56:58" x14ac:dyDescent="0.25">
      <c r="BD210" s="184"/>
      <c r="BE210" s="184"/>
      <c r="BF210" s="184"/>
    </row>
    <row r="211" spans="56:58" x14ac:dyDescent="0.25">
      <c r="BD211" s="184"/>
      <c r="BE211" s="184"/>
      <c r="BF211" s="184"/>
    </row>
    <row r="212" spans="56:58" x14ac:dyDescent="0.25">
      <c r="BD212" s="184"/>
      <c r="BE212" s="184"/>
      <c r="BF212" s="184"/>
    </row>
    <row r="213" spans="56:58" x14ac:dyDescent="0.25">
      <c r="BD213" s="184"/>
      <c r="BE213" s="184"/>
      <c r="BF213" s="184"/>
    </row>
    <row r="214" spans="56:58" x14ac:dyDescent="0.25">
      <c r="BD214" s="184"/>
      <c r="BE214" s="184"/>
      <c r="BF214" s="184"/>
    </row>
    <row r="215" spans="56:58" x14ac:dyDescent="0.25">
      <c r="BD215" s="184"/>
      <c r="BE215" s="184"/>
      <c r="BF215" s="184"/>
    </row>
    <row r="216" spans="56:58" x14ac:dyDescent="0.25">
      <c r="BD216" s="184"/>
      <c r="BE216" s="184"/>
      <c r="BF216" s="184"/>
    </row>
    <row r="217" spans="56:58" x14ac:dyDescent="0.25">
      <c r="BD217" s="184"/>
      <c r="BE217" s="184"/>
      <c r="BF217" s="184"/>
    </row>
    <row r="218" spans="56:58" x14ac:dyDescent="0.25">
      <c r="BD218" s="184"/>
      <c r="BE218" s="184"/>
      <c r="BF218" s="184"/>
    </row>
    <row r="219" spans="56:58" x14ac:dyDescent="0.25">
      <c r="BD219" s="184"/>
      <c r="BE219" s="184"/>
      <c r="BF219" s="184"/>
    </row>
    <row r="220" spans="56:58" x14ac:dyDescent="0.25">
      <c r="BD220" s="184"/>
      <c r="BE220" s="184"/>
      <c r="BF220" s="184"/>
    </row>
    <row r="221" spans="56:58" x14ac:dyDescent="0.25">
      <c r="BD221" s="184"/>
      <c r="BE221" s="184"/>
      <c r="BF221" s="184"/>
    </row>
    <row r="222" spans="56:58" x14ac:dyDescent="0.25">
      <c r="BD222" s="184"/>
      <c r="BE222" s="184"/>
      <c r="BF222" s="184"/>
    </row>
    <row r="223" spans="56:58" x14ac:dyDescent="0.25">
      <c r="BD223" s="184"/>
      <c r="BE223" s="184"/>
      <c r="BF223" s="184"/>
    </row>
    <row r="224" spans="56:58" x14ac:dyDescent="0.25">
      <c r="BD224" s="184"/>
      <c r="BE224" s="184"/>
      <c r="BF224" s="184"/>
    </row>
    <row r="225" spans="56:58" x14ac:dyDescent="0.25">
      <c r="BD225" s="184"/>
      <c r="BE225" s="184"/>
      <c r="BF225" s="184"/>
    </row>
    <row r="226" spans="56:58" x14ac:dyDescent="0.25">
      <c r="BD226" s="184"/>
      <c r="BE226" s="184"/>
      <c r="BF226" s="184"/>
    </row>
    <row r="227" spans="56:58" x14ac:dyDescent="0.25">
      <c r="BD227" s="184"/>
      <c r="BE227" s="184"/>
      <c r="BF227" s="184"/>
    </row>
    <row r="228" spans="56:58" x14ac:dyDescent="0.25">
      <c r="BD228" s="184"/>
      <c r="BE228" s="184"/>
      <c r="BF228" s="184"/>
    </row>
    <row r="229" spans="56:58" x14ac:dyDescent="0.25">
      <c r="BD229" s="184"/>
      <c r="BE229" s="184"/>
      <c r="BF229" s="184"/>
    </row>
    <row r="230" spans="56:58" x14ac:dyDescent="0.25">
      <c r="BD230" s="184"/>
      <c r="BE230" s="184"/>
      <c r="BF230" s="184"/>
    </row>
    <row r="231" spans="56:58" x14ac:dyDescent="0.25">
      <c r="BD231" s="184"/>
      <c r="BE231" s="184"/>
      <c r="BF231" s="184"/>
    </row>
    <row r="232" spans="56:58" x14ac:dyDescent="0.25">
      <c r="BD232" s="184"/>
      <c r="BE232" s="184"/>
      <c r="BF232" s="184"/>
    </row>
    <row r="233" spans="56:58" x14ac:dyDescent="0.25">
      <c r="BD233" s="184"/>
      <c r="BE233" s="184"/>
      <c r="BF233" s="184"/>
    </row>
    <row r="234" spans="56:58" x14ac:dyDescent="0.25">
      <c r="BD234" s="184"/>
      <c r="BE234" s="184"/>
      <c r="BF234" s="184"/>
    </row>
    <row r="235" spans="56:58" x14ac:dyDescent="0.25">
      <c r="BD235" s="184"/>
      <c r="BE235" s="184"/>
      <c r="BF235" s="184"/>
    </row>
    <row r="236" spans="56:58" x14ac:dyDescent="0.25">
      <c r="BD236" s="184"/>
      <c r="BE236" s="184"/>
      <c r="BF236" s="184"/>
    </row>
    <row r="237" spans="56:58" x14ac:dyDescent="0.25">
      <c r="BD237" s="184"/>
      <c r="BE237" s="184"/>
      <c r="BF237" s="184"/>
    </row>
    <row r="238" spans="56:58" x14ac:dyDescent="0.25">
      <c r="BD238" s="184"/>
      <c r="BE238" s="184"/>
      <c r="BF238" s="184"/>
    </row>
    <row r="239" spans="56:58" x14ac:dyDescent="0.25">
      <c r="BD239" s="184"/>
      <c r="BE239" s="184"/>
      <c r="BF239" s="184"/>
    </row>
    <row r="240" spans="56:58" x14ac:dyDescent="0.25">
      <c r="BD240" s="184"/>
      <c r="BE240" s="184"/>
      <c r="BF240" s="184"/>
    </row>
    <row r="241" spans="56:58" x14ac:dyDescent="0.25">
      <c r="BD241" s="184"/>
      <c r="BE241" s="184"/>
      <c r="BF241" s="184"/>
    </row>
    <row r="242" spans="56:58" x14ac:dyDescent="0.25">
      <c r="BD242" s="184"/>
      <c r="BE242" s="184"/>
      <c r="BF242" s="184"/>
    </row>
    <row r="243" spans="56:58" x14ac:dyDescent="0.25">
      <c r="BD243" s="184"/>
      <c r="BE243" s="184"/>
      <c r="BF243" s="184"/>
    </row>
    <row r="244" spans="56:58" x14ac:dyDescent="0.25">
      <c r="BD244" s="184"/>
      <c r="BE244" s="184"/>
      <c r="BF244" s="184"/>
    </row>
    <row r="245" spans="56:58" x14ac:dyDescent="0.25">
      <c r="BD245" s="184"/>
      <c r="BE245" s="184"/>
      <c r="BF245" s="184"/>
    </row>
    <row r="246" spans="56:58" x14ac:dyDescent="0.25">
      <c r="BD246" s="184"/>
      <c r="BE246" s="184"/>
      <c r="BF246" s="184"/>
    </row>
    <row r="247" spans="56:58" x14ac:dyDescent="0.25">
      <c r="BD247" s="184"/>
      <c r="BE247" s="184"/>
      <c r="BF247" s="184"/>
    </row>
    <row r="248" spans="56:58" x14ac:dyDescent="0.25">
      <c r="BD248" s="184"/>
      <c r="BE248" s="184"/>
      <c r="BF248" s="184"/>
    </row>
    <row r="249" spans="56:58" x14ac:dyDescent="0.25">
      <c r="BD249" s="184"/>
      <c r="BE249" s="184"/>
      <c r="BF249" s="184"/>
    </row>
    <row r="250" spans="56:58" x14ac:dyDescent="0.25">
      <c r="BD250" s="184"/>
      <c r="BE250" s="184"/>
      <c r="BF250" s="184"/>
    </row>
    <row r="251" spans="56:58" x14ac:dyDescent="0.25">
      <c r="BD251" s="184"/>
      <c r="BE251" s="184"/>
      <c r="BF251" s="184"/>
    </row>
    <row r="252" spans="56:58" x14ac:dyDescent="0.25">
      <c r="BD252" s="184"/>
      <c r="BE252" s="184"/>
      <c r="BF252" s="184"/>
    </row>
    <row r="253" spans="56:58" x14ac:dyDescent="0.25">
      <c r="BD253" s="184"/>
      <c r="BE253" s="184"/>
      <c r="BF253" s="184"/>
    </row>
    <row r="254" spans="56:58" x14ac:dyDescent="0.25">
      <c r="BD254" s="184"/>
      <c r="BE254" s="184"/>
      <c r="BF254" s="184"/>
    </row>
    <row r="255" spans="56:58" x14ac:dyDescent="0.25">
      <c r="BD255" s="184"/>
      <c r="BE255" s="184"/>
      <c r="BF255" s="184"/>
    </row>
    <row r="256" spans="56:58" x14ac:dyDescent="0.25">
      <c r="BD256" s="184"/>
      <c r="BE256" s="184"/>
      <c r="BF256" s="184"/>
    </row>
    <row r="257" spans="56:58" x14ac:dyDescent="0.25">
      <c r="BD257" s="184"/>
      <c r="BE257" s="184"/>
      <c r="BF257" s="184"/>
    </row>
    <row r="258" spans="56:58" x14ac:dyDescent="0.25">
      <c r="BD258" s="184"/>
      <c r="BE258" s="184"/>
      <c r="BF258" s="184"/>
    </row>
    <row r="259" spans="56:58" x14ac:dyDescent="0.25">
      <c r="BD259" s="184"/>
      <c r="BE259" s="184"/>
      <c r="BF259" s="184"/>
    </row>
    <row r="260" spans="56:58" x14ac:dyDescent="0.25">
      <c r="BD260" s="184"/>
      <c r="BE260" s="184"/>
      <c r="BF260" s="184"/>
    </row>
    <row r="261" spans="56:58" x14ac:dyDescent="0.25">
      <c r="BD261" s="184"/>
      <c r="BE261" s="184"/>
      <c r="BF261" s="184"/>
    </row>
    <row r="262" spans="56:58" x14ac:dyDescent="0.25">
      <c r="BD262" s="184"/>
      <c r="BE262" s="184"/>
      <c r="BF262" s="184"/>
    </row>
    <row r="263" spans="56:58" x14ac:dyDescent="0.25">
      <c r="BD263" s="184"/>
      <c r="BE263" s="184"/>
      <c r="BF263" s="184"/>
    </row>
    <row r="264" spans="56:58" x14ac:dyDescent="0.25">
      <c r="BD264" s="184"/>
      <c r="BE264" s="184"/>
      <c r="BF264" s="184"/>
    </row>
    <row r="265" spans="56:58" x14ac:dyDescent="0.25">
      <c r="BD265" s="184"/>
      <c r="BE265" s="184"/>
      <c r="BF265" s="184"/>
    </row>
    <row r="266" spans="56:58" x14ac:dyDescent="0.25">
      <c r="BD266" s="184"/>
      <c r="BE266" s="184"/>
      <c r="BF266" s="184"/>
    </row>
    <row r="267" spans="56:58" x14ac:dyDescent="0.25">
      <c r="BD267" s="184"/>
      <c r="BE267" s="184"/>
      <c r="BF267" s="184"/>
    </row>
    <row r="268" spans="56:58" x14ac:dyDescent="0.25">
      <c r="BD268" s="184"/>
      <c r="BE268" s="184"/>
      <c r="BF268" s="184"/>
    </row>
    <row r="269" spans="56:58" x14ac:dyDescent="0.25">
      <c r="BD269" s="184"/>
      <c r="BE269" s="184"/>
      <c r="BF269" s="184"/>
    </row>
    <row r="270" spans="56:58" x14ac:dyDescent="0.25">
      <c r="BD270" s="184"/>
      <c r="BE270" s="184"/>
      <c r="BF270" s="184"/>
    </row>
    <row r="271" spans="56:58" x14ac:dyDescent="0.25">
      <c r="BD271" s="184"/>
      <c r="BE271" s="184"/>
      <c r="BF271" s="184"/>
    </row>
    <row r="272" spans="56:58" x14ac:dyDescent="0.25">
      <c r="BD272" s="184"/>
      <c r="BE272" s="184"/>
      <c r="BF272" s="184"/>
    </row>
    <row r="273" spans="56:58" x14ac:dyDescent="0.25">
      <c r="BD273" s="184"/>
      <c r="BE273" s="184"/>
      <c r="BF273" s="184"/>
    </row>
    <row r="274" spans="56:58" x14ac:dyDescent="0.25">
      <c r="BD274" s="184"/>
      <c r="BE274" s="184"/>
      <c r="BF274" s="184"/>
    </row>
    <row r="275" spans="56:58" x14ac:dyDescent="0.25">
      <c r="BD275" s="184"/>
      <c r="BE275" s="184"/>
      <c r="BF275" s="184"/>
    </row>
    <row r="276" spans="56:58" x14ac:dyDescent="0.25">
      <c r="BD276" s="184"/>
      <c r="BE276" s="184"/>
      <c r="BF276" s="184"/>
    </row>
    <row r="277" spans="56:58" x14ac:dyDescent="0.25">
      <c r="BD277" s="184"/>
      <c r="BE277" s="184"/>
      <c r="BF277" s="184"/>
    </row>
    <row r="278" spans="56:58" x14ac:dyDescent="0.25">
      <c r="BD278" s="184"/>
      <c r="BE278" s="184"/>
      <c r="BF278" s="184"/>
    </row>
    <row r="279" spans="56:58" x14ac:dyDescent="0.25">
      <c r="BD279" s="184"/>
      <c r="BE279" s="184"/>
      <c r="BF279" s="184"/>
    </row>
    <row r="280" spans="56:58" x14ac:dyDescent="0.25">
      <c r="BD280" s="184"/>
      <c r="BE280" s="184"/>
      <c r="BF280" s="184"/>
    </row>
    <row r="281" spans="56:58" x14ac:dyDescent="0.25">
      <c r="BD281" s="184"/>
      <c r="BE281" s="184"/>
      <c r="BF281" s="184"/>
    </row>
    <row r="282" spans="56:58" x14ac:dyDescent="0.25">
      <c r="BD282" s="184"/>
      <c r="BE282" s="184"/>
      <c r="BF282" s="184"/>
    </row>
    <row r="283" spans="56:58" x14ac:dyDescent="0.25">
      <c r="BD283" s="184"/>
      <c r="BE283" s="184"/>
      <c r="BF283" s="184"/>
    </row>
    <row r="284" spans="56:58" x14ac:dyDescent="0.25">
      <c r="BD284" s="184"/>
      <c r="BE284" s="184"/>
      <c r="BF284" s="184"/>
    </row>
    <row r="285" spans="56:58" x14ac:dyDescent="0.25">
      <c r="BD285" s="184"/>
      <c r="BE285" s="184"/>
      <c r="BF285" s="184"/>
    </row>
    <row r="286" spans="56:58" x14ac:dyDescent="0.25">
      <c r="BD286" s="184"/>
      <c r="BE286" s="184"/>
      <c r="BF286" s="184"/>
    </row>
    <row r="287" spans="56:58" x14ac:dyDescent="0.25">
      <c r="BD287" s="184"/>
      <c r="BE287" s="184"/>
      <c r="BF287" s="184"/>
    </row>
    <row r="288" spans="56:58" x14ac:dyDescent="0.25">
      <c r="BD288" s="184"/>
      <c r="BE288" s="184"/>
      <c r="BF288" s="184"/>
    </row>
    <row r="289" spans="56:58" x14ac:dyDescent="0.25">
      <c r="BD289" s="184"/>
      <c r="BE289" s="184"/>
      <c r="BF289" s="184"/>
    </row>
    <row r="290" spans="56:58" x14ac:dyDescent="0.25">
      <c r="BD290" s="184"/>
      <c r="BE290" s="184"/>
      <c r="BF290" s="184"/>
    </row>
    <row r="291" spans="56:58" x14ac:dyDescent="0.25">
      <c r="BD291" s="184"/>
      <c r="BE291" s="184"/>
      <c r="BF291" s="184"/>
    </row>
    <row r="292" spans="56:58" x14ac:dyDescent="0.25">
      <c r="BD292" s="184"/>
      <c r="BE292" s="184"/>
      <c r="BF292" s="184"/>
    </row>
    <row r="293" spans="56:58" x14ac:dyDescent="0.25">
      <c r="BD293" s="184"/>
      <c r="BE293" s="184"/>
      <c r="BF293" s="184"/>
    </row>
    <row r="294" spans="56:58" x14ac:dyDescent="0.25">
      <c r="BD294" s="184"/>
      <c r="BE294" s="184"/>
      <c r="BF294" s="184"/>
    </row>
    <row r="295" spans="56:58" x14ac:dyDescent="0.25">
      <c r="BD295" s="184"/>
      <c r="BE295" s="184"/>
      <c r="BF295" s="184"/>
    </row>
    <row r="296" spans="56:58" x14ac:dyDescent="0.25">
      <c r="BD296" s="184"/>
      <c r="BE296" s="184"/>
      <c r="BF296" s="184"/>
    </row>
    <row r="297" spans="56:58" x14ac:dyDescent="0.25">
      <c r="BD297" s="184"/>
      <c r="BE297" s="184"/>
      <c r="BF297" s="184"/>
    </row>
    <row r="298" spans="56:58" x14ac:dyDescent="0.25">
      <c r="BD298" s="184"/>
      <c r="BE298" s="184"/>
      <c r="BF298" s="184"/>
    </row>
    <row r="299" spans="56:58" x14ac:dyDescent="0.25">
      <c r="BD299" s="184"/>
      <c r="BE299" s="184"/>
      <c r="BF299" s="184"/>
    </row>
    <row r="300" spans="56:58" x14ac:dyDescent="0.25">
      <c r="BD300" s="184"/>
      <c r="BE300" s="184"/>
      <c r="BF300" s="184"/>
    </row>
    <row r="301" spans="56:58" x14ac:dyDescent="0.25">
      <c r="BD301" s="184"/>
      <c r="BE301" s="184"/>
      <c r="BF301" s="184"/>
    </row>
    <row r="302" spans="56:58" x14ac:dyDescent="0.25">
      <c r="BD302" s="184"/>
      <c r="BE302" s="184"/>
      <c r="BF302" s="184"/>
    </row>
    <row r="303" spans="56:58" x14ac:dyDescent="0.25">
      <c r="BD303" s="184"/>
      <c r="BE303" s="184"/>
      <c r="BF303" s="184"/>
    </row>
    <row r="304" spans="56:58" x14ac:dyDescent="0.25">
      <c r="BD304" s="184"/>
      <c r="BE304" s="184"/>
      <c r="BF304" s="184"/>
    </row>
    <row r="305" spans="56:58" x14ac:dyDescent="0.25">
      <c r="BD305" s="184"/>
      <c r="BE305" s="184"/>
      <c r="BF305" s="184"/>
    </row>
    <row r="306" spans="56:58" x14ac:dyDescent="0.25">
      <c r="BD306" s="184"/>
      <c r="BE306" s="184"/>
      <c r="BF306" s="184"/>
    </row>
    <row r="307" spans="56:58" x14ac:dyDescent="0.25">
      <c r="BD307" s="184"/>
      <c r="BE307" s="184"/>
      <c r="BF307" s="184"/>
    </row>
    <row r="308" spans="56:58" x14ac:dyDescent="0.25">
      <c r="BD308" s="184"/>
      <c r="BE308" s="184"/>
      <c r="BF308" s="184"/>
    </row>
    <row r="309" spans="56:58" x14ac:dyDescent="0.25">
      <c r="BD309" s="184"/>
      <c r="BE309" s="184"/>
      <c r="BF309" s="184"/>
    </row>
    <row r="310" spans="56:58" x14ac:dyDescent="0.25">
      <c r="BD310" s="184"/>
      <c r="BE310" s="184"/>
      <c r="BF310" s="184"/>
    </row>
    <row r="311" spans="56:58" x14ac:dyDescent="0.25">
      <c r="BD311" s="184"/>
      <c r="BE311" s="184"/>
      <c r="BF311" s="184"/>
    </row>
    <row r="312" spans="56:58" x14ac:dyDescent="0.25">
      <c r="BD312" s="184"/>
      <c r="BE312" s="184"/>
      <c r="BF312" s="184"/>
    </row>
    <row r="313" spans="56:58" x14ac:dyDescent="0.25">
      <c r="BD313" s="184"/>
      <c r="BE313" s="184"/>
      <c r="BF313" s="184"/>
    </row>
    <row r="314" spans="56:58" x14ac:dyDescent="0.25">
      <c r="BD314" s="184"/>
      <c r="BE314" s="184"/>
      <c r="BF314" s="184"/>
    </row>
    <row r="315" spans="56:58" x14ac:dyDescent="0.25">
      <c r="BD315" s="184"/>
      <c r="BE315" s="184"/>
      <c r="BF315" s="184"/>
    </row>
    <row r="316" spans="56:58" x14ac:dyDescent="0.25">
      <c r="BD316" s="184"/>
      <c r="BE316" s="184"/>
      <c r="BF316" s="184"/>
    </row>
    <row r="317" spans="56:58" x14ac:dyDescent="0.25">
      <c r="BD317" s="184"/>
      <c r="BE317" s="184"/>
      <c r="BF317" s="184"/>
    </row>
    <row r="318" spans="56:58" x14ac:dyDescent="0.25">
      <c r="BD318" s="184"/>
      <c r="BE318" s="184"/>
      <c r="BF318" s="184"/>
    </row>
    <row r="319" spans="56:58" x14ac:dyDescent="0.25">
      <c r="BD319" s="184"/>
      <c r="BE319" s="184"/>
      <c r="BF319" s="184"/>
    </row>
    <row r="320" spans="56:58" x14ac:dyDescent="0.25">
      <c r="BD320" s="184"/>
      <c r="BE320" s="184"/>
      <c r="BF320" s="184"/>
    </row>
    <row r="321" spans="56:58" x14ac:dyDescent="0.25">
      <c r="BD321" s="184"/>
      <c r="BE321" s="184"/>
      <c r="BF321" s="184"/>
    </row>
    <row r="322" spans="56:58" x14ac:dyDescent="0.25">
      <c r="BD322" s="184"/>
      <c r="BE322" s="184"/>
      <c r="BF322" s="184"/>
    </row>
    <row r="323" spans="56:58" x14ac:dyDescent="0.25">
      <c r="BD323" s="184"/>
      <c r="BE323" s="184"/>
      <c r="BF323" s="184"/>
    </row>
    <row r="324" spans="56:58" x14ac:dyDescent="0.25">
      <c r="BD324" s="184"/>
      <c r="BE324" s="184"/>
      <c r="BF324" s="184"/>
    </row>
    <row r="325" spans="56:58" x14ac:dyDescent="0.25">
      <c r="BD325" s="184"/>
      <c r="BE325" s="184"/>
      <c r="BF325" s="184"/>
    </row>
    <row r="326" spans="56:58" x14ac:dyDescent="0.25">
      <c r="BD326" s="184"/>
      <c r="BE326" s="184"/>
      <c r="BF326" s="184"/>
    </row>
    <row r="327" spans="56:58" x14ac:dyDescent="0.25">
      <c r="BD327" s="184"/>
      <c r="BE327" s="184"/>
      <c r="BF327" s="184"/>
    </row>
    <row r="328" spans="56:58" x14ac:dyDescent="0.25">
      <c r="BD328" s="184"/>
      <c r="BE328" s="184"/>
      <c r="BF328" s="184"/>
    </row>
    <row r="329" spans="56:58" x14ac:dyDescent="0.25">
      <c r="BD329" s="184"/>
      <c r="BE329" s="184"/>
      <c r="BF329" s="184"/>
    </row>
    <row r="330" spans="56:58" x14ac:dyDescent="0.25">
      <c r="BD330" s="184"/>
      <c r="BE330" s="184"/>
      <c r="BF330" s="184"/>
    </row>
    <row r="331" spans="56:58" x14ac:dyDescent="0.25">
      <c r="BD331" s="184"/>
      <c r="BE331" s="184"/>
      <c r="BF331" s="184"/>
    </row>
    <row r="332" spans="56:58" x14ac:dyDescent="0.25">
      <c r="BD332" s="184"/>
      <c r="BE332" s="184"/>
      <c r="BF332" s="184"/>
    </row>
    <row r="333" spans="56:58" x14ac:dyDescent="0.25">
      <c r="BD333" s="184"/>
      <c r="BE333" s="184"/>
      <c r="BF333" s="184"/>
    </row>
    <row r="334" spans="56:58" x14ac:dyDescent="0.25">
      <c r="BD334" s="184"/>
      <c r="BE334" s="184"/>
      <c r="BF334" s="184"/>
    </row>
    <row r="335" spans="56:58" x14ac:dyDescent="0.25">
      <c r="BD335" s="184"/>
      <c r="BE335" s="184"/>
      <c r="BF335" s="184"/>
    </row>
    <row r="336" spans="56:58" x14ac:dyDescent="0.25">
      <c r="BD336" s="184"/>
      <c r="BE336" s="184"/>
      <c r="BF336" s="184"/>
    </row>
    <row r="337" spans="56:58" x14ac:dyDescent="0.25">
      <c r="BD337" s="184"/>
      <c r="BE337" s="184"/>
      <c r="BF337" s="184"/>
    </row>
    <row r="338" spans="56:58" x14ac:dyDescent="0.25">
      <c r="BD338" s="184"/>
      <c r="BE338" s="184"/>
      <c r="BF338" s="184"/>
    </row>
    <row r="339" spans="56:58" x14ac:dyDescent="0.25">
      <c r="BD339" s="184"/>
      <c r="BE339" s="184"/>
      <c r="BF339" s="184"/>
    </row>
    <row r="340" spans="56:58" x14ac:dyDescent="0.25">
      <c r="BD340" s="184"/>
      <c r="BE340" s="184"/>
      <c r="BF340" s="184"/>
    </row>
    <row r="341" spans="56:58" x14ac:dyDescent="0.25">
      <c r="BD341" s="184"/>
      <c r="BE341" s="184"/>
      <c r="BF341" s="184"/>
    </row>
    <row r="342" spans="56:58" x14ac:dyDescent="0.25">
      <c r="BD342" s="184"/>
      <c r="BE342" s="184"/>
      <c r="BF342" s="184"/>
    </row>
    <row r="343" spans="56:58" x14ac:dyDescent="0.25">
      <c r="BD343" s="184"/>
      <c r="BE343" s="184"/>
      <c r="BF343" s="184"/>
    </row>
    <row r="344" spans="56:58" x14ac:dyDescent="0.25">
      <c r="BD344" s="184"/>
      <c r="BE344" s="184"/>
      <c r="BF344" s="184"/>
    </row>
    <row r="345" spans="56:58" x14ac:dyDescent="0.25">
      <c r="BD345" s="184"/>
      <c r="BE345" s="184"/>
      <c r="BF345" s="184"/>
    </row>
    <row r="346" spans="56:58" x14ac:dyDescent="0.25">
      <c r="BD346" s="184"/>
      <c r="BE346" s="184"/>
      <c r="BF346" s="184"/>
    </row>
    <row r="347" spans="56:58" x14ac:dyDescent="0.25">
      <c r="BD347" s="184"/>
      <c r="BE347" s="184"/>
      <c r="BF347" s="184"/>
    </row>
    <row r="348" spans="56:58" x14ac:dyDescent="0.25">
      <c r="BD348" s="184"/>
      <c r="BE348" s="184"/>
      <c r="BF348" s="184"/>
    </row>
    <row r="349" spans="56:58" x14ac:dyDescent="0.25">
      <c r="BD349" s="184"/>
      <c r="BE349" s="184"/>
      <c r="BF349" s="184"/>
    </row>
    <row r="350" spans="56:58" x14ac:dyDescent="0.25">
      <c r="BD350" s="184"/>
      <c r="BE350" s="184"/>
      <c r="BF350" s="184"/>
    </row>
    <row r="351" spans="56:58" x14ac:dyDescent="0.25">
      <c r="BD351" s="184"/>
      <c r="BE351" s="184"/>
      <c r="BF351" s="184"/>
    </row>
    <row r="352" spans="56:58" x14ac:dyDescent="0.25">
      <c r="BD352" s="184"/>
      <c r="BE352" s="184"/>
      <c r="BF352" s="184"/>
    </row>
    <row r="353" spans="56:58" x14ac:dyDescent="0.25">
      <c r="BD353" s="184"/>
      <c r="BE353" s="184"/>
      <c r="BF353" s="184"/>
    </row>
    <row r="354" spans="56:58" x14ac:dyDescent="0.25">
      <c r="BD354" s="184"/>
      <c r="BE354" s="184"/>
      <c r="BF354" s="184"/>
    </row>
    <row r="355" spans="56:58" x14ac:dyDescent="0.25">
      <c r="BD355" s="184"/>
      <c r="BE355" s="184"/>
      <c r="BF355" s="184"/>
    </row>
    <row r="356" spans="56:58" x14ac:dyDescent="0.25">
      <c r="BD356" s="184"/>
      <c r="BE356" s="184"/>
      <c r="BF356" s="184"/>
    </row>
    <row r="357" spans="56:58" x14ac:dyDescent="0.25">
      <c r="BD357" s="184"/>
      <c r="BE357" s="184"/>
      <c r="BF357" s="184"/>
    </row>
    <row r="358" spans="56:58" x14ac:dyDescent="0.25">
      <c r="BD358" s="184"/>
      <c r="BE358" s="184"/>
      <c r="BF358" s="184"/>
    </row>
    <row r="359" spans="56:58" x14ac:dyDescent="0.25">
      <c r="BD359" s="184"/>
      <c r="BE359" s="184"/>
      <c r="BF359" s="184"/>
    </row>
    <row r="360" spans="56:58" x14ac:dyDescent="0.25">
      <c r="BD360" s="184"/>
      <c r="BE360" s="184"/>
      <c r="BF360" s="184"/>
    </row>
    <row r="361" spans="56:58" x14ac:dyDescent="0.25">
      <c r="BD361" s="184"/>
      <c r="BE361" s="184"/>
      <c r="BF361" s="184"/>
    </row>
    <row r="362" spans="56:58" x14ac:dyDescent="0.25">
      <c r="BD362" s="184"/>
      <c r="BE362" s="184"/>
      <c r="BF362" s="184"/>
    </row>
    <row r="363" spans="56:58" x14ac:dyDescent="0.25">
      <c r="BD363" s="184"/>
      <c r="BE363" s="184"/>
      <c r="BF363" s="184"/>
    </row>
    <row r="364" spans="56:58" x14ac:dyDescent="0.25">
      <c r="BD364" s="184"/>
      <c r="BE364" s="184"/>
      <c r="BF364" s="184"/>
    </row>
    <row r="365" spans="56:58" x14ac:dyDescent="0.25">
      <c r="BD365" s="184"/>
      <c r="BE365" s="184"/>
      <c r="BF365" s="184"/>
    </row>
    <row r="366" spans="56:58" x14ac:dyDescent="0.25">
      <c r="BD366" s="184"/>
      <c r="BE366" s="184"/>
      <c r="BF366" s="184"/>
    </row>
    <row r="367" spans="56:58" x14ac:dyDescent="0.25">
      <c r="BD367" s="184"/>
      <c r="BE367" s="184"/>
      <c r="BF367" s="184"/>
    </row>
    <row r="368" spans="56:58" x14ac:dyDescent="0.25">
      <c r="BD368" s="184"/>
      <c r="BE368" s="184"/>
      <c r="BF368" s="184"/>
    </row>
    <row r="369" spans="56:58" x14ac:dyDescent="0.25">
      <c r="BD369" s="184"/>
      <c r="BE369" s="184"/>
      <c r="BF369" s="184"/>
    </row>
    <row r="370" spans="56:58" x14ac:dyDescent="0.25">
      <c r="BD370" s="184"/>
      <c r="BE370" s="184"/>
      <c r="BF370" s="184"/>
    </row>
    <row r="371" spans="56:58" x14ac:dyDescent="0.25">
      <c r="BD371" s="184"/>
      <c r="BE371" s="184"/>
      <c r="BF371" s="184"/>
    </row>
    <row r="372" spans="56:58" x14ac:dyDescent="0.25">
      <c r="BD372" s="184"/>
      <c r="BE372" s="184"/>
      <c r="BF372" s="184"/>
    </row>
    <row r="373" spans="56:58" x14ac:dyDescent="0.25">
      <c r="BD373" s="184"/>
      <c r="BE373" s="184"/>
      <c r="BF373" s="184"/>
    </row>
    <row r="374" spans="56:58" x14ac:dyDescent="0.25">
      <c r="BD374" s="184"/>
      <c r="BE374" s="184"/>
      <c r="BF374" s="184"/>
    </row>
    <row r="375" spans="56:58" x14ac:dyDescent="0.25">
      <c r="BD375" s="184"/>
      <c r="BE375" s="184"/>
      <c r="BF375" s="184"/>
    </row>
    <row r="376" spans="56:58" x14ac:dyDescent="0.25">
      <c r="BD376" s="184"/>
      <c r="BE376" s="184"/>
      <c r="BF376" s="184"/>
    </row>
    <row r="377" spans="56:58" x14ac:dyDescent="0.25">
      <c r="BD377" s="184"/>
      <c r="BE377" s="184"/>
      <c r="BF377" s="184"/>
    </row>
    <row r="378" spans="56:58" x14ac:dyDescent="0.25">
      <c r="BD378" s="184"/>
      <c r="BE378" s="184"/>
      <c r="BF378" s="184"/>
    </row>
    <row r="379" spans="56:58" x14ac:dyDescent="0.25">
      <c r="BD379" s="184"/>
      <c r="BE379" s="184"/>
      <c r="BF379" s="184"/>
    </row>
    <row r="380" spans="56:58" x14ac:dyDescent="0.25">
      <c r="BD380" s="184"/>
      <c r="BE380" s="184"/>
      <c r="BF380" s="184"/>
    </row>
    <row r="381" spans="56:58" x14ac:dyDescent="0.25">
      <c r="BD381" s="184"/>
      <c r="BE381" s="184"/>
      <c r="BF381" s="184"/>
    </row>
    <row r="382" spans="56:58" x14ac:dyDescent="0.25">
      <c r="BD382" s="184"/>
      <c r="BE382" s="184"/>
      <c r="BF382" s="184"/>
    </row>
    <row r="383" spans="56:58" x14ac:dyDescent="0.25">
      <c r="BD383" s="184"/>
      <c r="BE383" s="184"/>
      <c r="BF383" s="184"/>
    </row>
    <row r="384" spans="56:58" x14ac:dyDescent="0.25">
      <c r="BD384" s="184"/>
      <c r="BE384" s="184"/>
      <c r="BF384" s="184"/>
    </row>
    <row r="385" spans="56:58" x14ac:dyDescent="0.25">
      <c r="BD385" s="184"/>
      <c r="BE385" s="184"/>
      <c r="BF385" s="184"/>
    </row>
    <row r="386" spans="56:58" x14ac:dyDescent="0.25">
      <c r="BD386" s="184"/>
      <c r="BE386" s="184"/>
      <c r="BF386" s="184"/>
    </row>
    <row r="387" spans="56:58" x14ac:dyDescent="0.25">
      <c r="BD387" s="184"/>
      <c r="BE387" s="184"/>
      <c r="BF387" s="184"/>
    </row>
    <row r="388" spans="56:58" x14ac:dyDescent="0.25">
      <c r="BD388" s="184"/>
      <c r="BE388" s="184"/>
      <c r="BF388" s="184"/>
    </row>
    <row r="389" spans="56:58" x14ac:dyDescent="0.25">
      <c r="BD389" s="184"/>
      <c r="BE389" s="184"/>
      <c r="BF389" s="184"/>
    </row>
    <row r="390" spans="56:58" x14ac:dyDescent="0.25">
      <c r="BD390" s="184"/>
      <c r="BE390" s="184"/>
      <c r="BF390" s="184"/>
    </row>
    <row r="391" spans="56:58" x14ac:dyDescent="0.25">
      <c r="BD391" s="184"/>
      <c r="BE391" s="184"/>
      <c r="BF391" s="184"/>
    </row>
    <row r="392" spans="56:58" x14ac:dyDescent="0.25">
      <c r="BD392" s="184"/>
      <c r="BE392" s="184"/>
      <c r="BF392" s="184"/>
    </row>
    <row r="393" spans="56:58" x14ac:dyDescent="0.25">
      <c r="BD393" s="184"/>
      <c r="BE393" s="184"/>
      <c r="BF393" s="184"/>
    </row>
    <row r="394" spans="56:58" x14ac:dyDescent="0.25">
      <c r="BD394" s="184"/>
      <c r="BE394" s="184"/>
      <c r="BF394" s="184"/>
    </row>
    <row r="395" spans="56:58" x14ac:dyDescent="0.25">
      <c r="BD395" s="184"/>
      <c r="BE395" s="184"/>
      <c r="BF395" s="184"/>
    </row>
    <row r="396" spans="56:58" x14ac:dyDescent="0.25">
      <c r="BD396" s="184"/>
      <c r="BE396" s="184"/>
      <c r="BF396" s="184"/>
    </row>
    <row r="397" spans="56:58" x14ac:dyDescent="0.25">
      <c r="BD397" s="184"/>
      <c r="BE397" s="184"/>
      <c r="BF397" s="184"/>
    </row>
    <row r="398" spans="56:58" x14ac:dyDescent="0.25">
      <c r="BD398" s="184"/>
      <c r="BE398" s="184"/>
      <c r="BF398" s="184"/>
    </row>
    <row r="399" spans="56:58" x14ac:dyDescent="0.25">
      <c r="BD399" s="184"/>
      <c r="BE399" s="184"/>
      <c r="BF399" s="184"/>
    </row>
    <row r="400" spans="56:58" x14ac:dyDescent="0.25">
      <c r="BD400" s="184"/>
      <c r="BE400" s="184"/>
      <c r="BF400" s="184"/>
    </row>
    <row r="401" spans="56:58" x14ac:dyDescent="0.25">
      <c r="BD401" s="184"/>
      <c r="BE401" s="184"/>
      <c r="BF401" s="184"/>
    </row>
    <row r="402" spans="56:58" x14ac:dyDescent="0.25">
      <c r="BD402" s="184"/>
      <c r="BE402" s="184"/>
      <c r="BF402" s="184"/>
    </row>
    <row r="403" spans="56:58" x14ac:dyDescent="0.25">
      <c r="BD403" s="184"/>
      <c r="BE403" s="184"/>
      <c r="BF403" s="184"/>
    </row>
    <row r="404" spans="56:58" x14ac:dyDescent="0.25">
      <c r="BD404" s="184"/>
      <c r="BE404" s="184"/>
      <c r="BF404" s="184"/>
    </row>
    <row r="405" spans="56:58" x14ac:dyDescent="0.25">
      <c r="BD405" s="184"/>
      <c r="BE405" s="184"/>
      <c r="BF405" s="184"/>
    </row>
    <row r="406" spans="56:58" x14ac:dyDescent="0.25">
      <c r="BD406" s="184"/>
      <c r="BE406" s="184"/>
      <c r="BF406" s="184"/>
    </row>
    <row r="407" spans="56:58" x14ac:dyDescent="0.25">
      <c r="BD407" s="184"/>
      <c r="BE407" s="184"/>
      <c r="BF407" s="184"/>
    </row>
    <row r="408" spans="56:58" x14ac:dyDescent="0.25">
      <c r="BD408" s="184"/>
      <c r="BE408" s="184"/>
      <c r="BF408" s="184"/>
    </row>
    <row r="409" spans="56:58" x14ac:dyDescent="0.25">
      <c r="BD409" s="184"/>
      <c r="BE409" s="184"/>
      <c r="BF409" s="184"/>
    </row>
    <row r="410" spans="56:58" x14ac:dyDescent="0.25">
      <c r="BD410" s="184"/>
      <c r="BE410" s="184"/>
      <c r="BF410" s="184"/>
    </row>
    <row r="411" spans="56:58" x14ac:dyDescent="0.25">
      <c r="BD411" s="184"/>
      <c r="BE411" s="184"/>
      <c r="BF411" s="184"/>
    </row>
    <row r="412" spans="56:58" x14ac:dyDescent="0.25">
      <c r="BD412" s="184"/>
      <c r="BE412" s="184"/>
      <c r="BF412" s="184"/>
    </row>
    <row r="413" spans="56:58" x14ac:dyDescent="0.25">
      <c r="BD413" s="184"/>
      <c r="BE413" s="184"/>
      <c r="BF413" s="184"/>
    </row>
    <row r="414" spans="56:58" x14ac:dyDescent="0.25">
      <c r="BD414" s="184"/>
      <c r="BE414" s="184"/>
      <c r="BF414" s="184"/>
    </row>
    <row r="415" spans="56:58" x14ac:dyDescent="0.25">
      <c r="BD415" s="184"/>
      <c r="BE415" s="184"/>
      <c r="BF415" s="184"/>
    </row>
    <row r="416" spans="56:58" x14ac:dyDescent="0.25">
      <c r="BD416" s="184"/>
      <c r="BE416" s="184"/>
      <c r="BF416" s="184"/>
    </row>
    <row r="417" spans="56:58" x14ac:dyDescent="0.25">
      <c r="BD417" s="184"/>
      <c r="BE417" s="184"/>
      <c r="BF417" s="184"/>
    </row>
    <row r="418" spans="56:58" x14ac:dyDescent="0.25">
      <c r="BD418" s="184"/>
      <c r="BE418" s="184"/>
      <c r="BF418" s="184"/>
    </row>
    <row r="419" spans="56:58" x14ac:dyDescent="0.25">
      <c r="BD419" s="184"/>
      <c r="BE419" s="184"/>
      <c r="BF419" s="184"/>
    </row>
    <row r="420" spans="56:58" x14ac:dyDescent="0.25">
      <c r="BD420" s="184"/>
      <c r="BE420" s="184"/>
      <c r="BF420" s="184"/>
    </row>
    <row r="421" spans="56:58" x14ac:dyDescent="0.25">
      <c r="BD421" s="184"/>
      <c r="BE421" s="184"/>
      <c r="BF421" s="184"/>
    </row>
    <row r="422" spans="56:58" x14ac:dyDescent="0.25">
      <c r="BD422" s="184"/>
      <c r="BE422" s="184"/>
      <c r="BF422" s="184"/>
    </row>
    <row r="423" spans="56:58" x14ac:dyDescent="0.25">
      <c r="BD423" s="184"/>
      <c r="BE423" s="184"/>
      <c r="BF423" s="184"/>
    </row>
    <row r="424" spans="56:58" x14ac:dyDescent="0.25">
      <c r="BD424" s="184"/>
      <c r="BE424" s="184"/>
      <c r="BF424" s="184"/>
    </row>
    <row r="425" spans="56:58" x14ac:dyDescent="0.25">
      <c r="BD425" s="184"/>
      <c r="BE425" s="184"/>
      <c r="BF425" s="184"/>
    </row>
    <row r="426" spans="56:58" x14ac:dyDescent="0.25">
      <c r="BD426" s="184"/>
      <c r="BE426" s="184"/>
      <c r="BF426" s="184"/>
    </row>
    <row r="427" spans="56:58" x14ac:dyDescent="0.25">
      <c r="BD427" s="184"/>
      <c r="BE427" s="184"/>
      <c r="BF427" s="184"/>
    </row>
    <row r="428" spans="56:58" x14ac:dyDescent="0.25">
      <c r="BD428" s="184"/>
      <c r="BE428" s="184"/>
      <c r="BF428" s="184"/>
    </row>
    <row r="429" spans="56:58" x14ac:dyDescent="0.25">
      <c r="BD429" s="184"/>
      <c r="BE429" s="184"/>
      <c r="BF429" s="184"/>
    </row>
    <row r="430" spans="56:58" x14ac:dyDescent="0.25">
      <c r="BD430" s="184"/>
      <c r="BE430" s="184"/>
      <c r="BF430" s="184"/>
    </row>
    <row r="431" spans="56:58" x14ac:dyDescent="0.25">
      <c r="BD431" s="184"/>
      <c r="BE431" s="184"/>
      <c r="BF431" s="184"/>
    </row>
    <row r="432" spans="56:58" x14ac:dyDescent="0.25">
      <c r="BD432" s="184"/>
      <c r="BE432" s="184"/>
      <c r="BF432" s="184"/>
    </row>
    <row r="433" spans="56:58" x14ac:dyDescent="0.25">
      <c r="BD433" s="184"/>
      <c r="BE433" s="184"/>
      <c r="BF433" s="184"/>
    </row>
    <row r="434" spans="56:58" x14ac:dyDescent="0.25">
      <c r="BD434" s="184"/>
      <c r="BE434" s="184"/>
      <c r="BF434" s="184"/>
    </row>
    <row r="435" spans="56:58" x14ac:dyDescent="0.25">
      <c r="BD435" s="184"/>
      <c r="BE435" s="184"/>
      <c r="BF435" s="184"/>
    </row>
    <row r="436" spans="56:58" x14ac:dyDescent="0.25">
      <c r="BD436" s="184"/>
      <c r="BE436" s="184"/>
      <c r="BF436" s="184"/>
    </row>
    <row r="437" spans="56:58" x14ac:dyDescent="0.25">
      <c r="BD437" s="184"/>
      <c r="BE437" s="184"/>
      <c r="BF437" s="184"/>
    </row>
    <row r="438" spans="56:58" x14ac:dyDescent="0.25">
      <c r="BD438" s="184"/>
      <c r="BE438" s="184"/>
      <c r="BF438" s="184"/>
    </row>
    <row r="439" spans="56:58" x14ac:dyDescent="0.25">
      <c r="BD439" s="184"/>
      <c r="BE439" s="184"/>
      <c r="BF439" s="184"/>
    </row>
    <row r="440" spans="56:58" x14ac:dyDescent="0.25">
      <c r="BD440" s="184"/>
      <c r="BE440" s="184"/>
      <c r="BF440" s="184"/>
    </row>
    <row r="441" spans="56:58" x14ac:dyDescent="0.25">
      <c r="BD441" s="184"/>
      <c r="BE441" s="184"/>
      <c r="BF441" s="184"/>
    </row>
    <row r="442" spans="56:58" x14ac:dyDescent="0.25">
      <c r="BD442" s="184"/>
      <c r="BE442" s="184"/>
      <c r="BF442" s="184"/>
    </row>
    <row r="443" spans="56:58" x14ac:dyDescent="0.25">
      <c r="BD443" s="184"/>
      <c r="BE443" s="184"/>
      <c r="BF443" s="184"/>
    </row>
    <row r="444" spans="56:58" x14ac:dyDescent="0.25">
      <c r="BD444" s="184"/>
      <c r="BE444" s="184"/>
      <c r="BF444" s="184"/>
    </row>
    <row r="445" spans="56:58" x14ac:dyDescent="0.25">
      <c r="BD445" s="184"/>
      <c r="BE445" s="184"/>
      <c r="BF445" s="184"/>
    </row>
    <row r="446" spans="56:58" x14ac:dyDescent="0.25">
      <c r="BD446" s="184"/>
      <c r="BE446" s="184"/>
      <c r="BF446" s="184"/>
    </row>
    <row r="447" spans="56:58" x14ac:dyDescent="0.25">
      <c r="BD447" s="184"/>
      <c r="BE447" s="184"/>
      <c r="BF447" s="184"/>
    </row>
    <row r="448" spans="56:58" x14ac:dyDescent="0.25">
      <c r="BD448" s="184"/>
      <c r="BE448" s="184"/>
      <c r="BF448" s="184"/>
    </row>
    <row r="449" spans="56:58" x14ac:dyDescent="0.25">
      <c r="BD449" s="184"/>
      <c r="BE449" s="184"/>
      <c r="BF449" s="184"/>
    </row>
    <row r="450" spans="56:58" x14ac:dyDescent="0.25">
      <c r="BD450" s="184"/>
      <c r="BE450" s="184"/>
      <c r="BF450" s="184"/>
    </row>
    <row r="451" spans="56:58" x14ac:dyDescent="0.25">
      <c r="BD451" s="184"/>
      <c r="BE451" s="184"/>
      <c r="BF451" s="184"/>
    </row>
    <row r="452" spans="56:58" x14ac:dyDescent="0.25">
      <c r="BD452" s="184"/>
      <c r="BE452" s="184"/>
      <c r="BF452" s="184"/>
    </row>
    <row r="453" spans="56:58" x14ac:dyDescent="0.25">
      <c r="BD453" s="184"/>
      <c r="BE453" s="184"/>
      <c r="BF453" s="184"/>
    </row>
    <row r="454" spans="56:58" x14ac:dyDescent="0.25">
      <c r="BD454" s="184"/>
      <c r="BE454" s="184"/>
      <c r="BF454" s="184"/>
    </row>
    <row r="455" spans="56:58" x14ac:dyDescent="0.25">
      <c r="BD455" s="184"/>
      <c r="BE455" s="184"/>
      <c r="BF455" s="184"/>
    </row>
    <row r="456" spans="56:58" x14ac:dyDescent="0.25">
      <c r="BD456" s="184"/>
      <c r="BE456" s="184"/>
      <c r="BF456" s="184"/>
    </row>
    <row r="457" spans="56:58" x14ac:dyDescent="0.25">
      <c r="BD457" s="184"/>
      <c r="BE457" s="184"/>
      <c r="BF457" s="184"/>
    </row>
    <row r="458" spans="56:58" x14ac:dyDescent="0.25">
      <c r="BD458" s="184"/>
      <c r="BE458" s="184"/>
      <c r="BF458" s="184"/>
    </row>
    <row r="459" spans="56:58" x14ac:dyDescent="0.25">
      <c r="BD459" s="184"/>
      <c r="BE459" s="184"/>
      <c r="BF459" s="184"/>
    </row>
    <row r="460" spans="56:58" x14ac:dyDescent="0.25">
      <c r="BD460" s="184"/>
      <c r="BE460" s="184"/>
      <c r="BF460" s="184"/>
    </row>
    <row r="461" spans="56:58" x14ac:dyDescent="0.25">
      <c r="BD461" s="184"/>
      <c r="BE461" s="184"/>
      <c r="BF461" s="184"/>
    </row>
    <row r="462" spans="56:58" x14ac:dyDescent="0.25">
      <c r="BD462" s="184"/>
      <c r="BE462" s="184"/>
      <c r="BF462" s="184"/>
    </row>
    <row r="463" spans="56:58" x14ac:dyDescent="0.25">
      <c r="BD463" s="184"/>
      <c r="BE463" s="184"/>
      <c r="BF463" s="184"/>
    </row>
    <row r="464" spans="56:58" x14ac:dyDescent="0.25">
      <c r="BD464" s="184"/>
      <c r="BE464" s="184"/>
      <c r="BF464" s="184"/>
    </row>
    <row r="465" spans="56:58" x14ac:dyDescent="0.25">
      <c r="BD465" s="184"/>
      <c r="BE465" s="184"/>
      <c r="BF465" s="184"/>
    </row>
    <row r="466" spans="56:58" x14ac:dyDescent="0.25">
      <c r="BD466" s="184"/>
      <c r="BE466" s="184"/>
      <c r="BF466" s="184"/>
    </row>
    <row r="467" spans="56:58" x14ac:dyDescent="0.25">
      <c r="BD467" s="184"/>
      <c r="BE467" s="184"/>
      <c r="BF467" s="184"/>
    </row>
    <row r="468" spans="56:58" x14ac:dyDescent="0.25">
      <c r="BD468" s="184"/>
      <c r="BE468" s="184"/>
      <c r="BF468" s="184"/>
    </row>
    <row r="469" spans="56:58" x14ac:dyDescent="0.25">
      <c r="BD469" s="184"/>
      <c r="BE469" s="184"/>
      <c r="BF469" s="184"/>
    </row>
    <row r="470" spans="56:58" x14ac:dyDescent="0.25">
      <c r="BD470" s="184"/>
      <c r="BE470" s="184"/>
      <c r="BF470" s="184"/>
    </row>
    <row r="471" spans="56:58" x14ac:dyDescent="0.25">
      <c r="BD471" s="184"/>
      <c r="BE471" s="184"/>
      <c r="BF471" s="184"/>
    </row>
    <row r="472" spans="56:58" x14ac:dyDescent="0.25">
      <c r="BD472" s="184"/>
      <c r="BE472" s="184"/>
      <c r="BF472" s="184"/>
    </row>
    <row r="473" spans="56:58" x14ac:dyDescent="0.25">
      <c r="BD473" s="184"/>
      <c r="BE473" s="184"/>
      <c r="BF473" s="184"/>
    </row>
    <row r="474" spans="56:58" x14ac:dyDescent="0.25">
      <c r="BD474" s="184"/>
      <c r="BE474" s="184"/>
      <c r="BF474" s="184"/>
    </row>
    <row r="475" spans="56:58" x14ac:dyDescent="0.25">
      <c r="BD475" s="184"/>
      <c r="BE475" s="184"/>
      <c r="BF475" s="184"/>
    </row>
    <row r="476" spans="56:58" x14ac:dyDescent="0.25">
      <c r="BD476" s="184"/>
      <c r="BE476" s="184"/>
      <c r="BF476" s="184"/>
    </row>
    <row r="477" spans="56:58" x14ac:dyDescent="0.25">
      <c r="BD477" s="184"/>
      <c r="BE477" s="184"/>
      <c r="BF477" s="184"/>
    </row>
    <row r="478" spans="56:58" x14ac:dyDescent="0.25">
      <c r="BD478" s="184"/>
      <c r="BE478" s="184"/>
      <c r="BF478" s="184"/>
    </row>
    <row r="479" spans="56:58" x14ac:dyDescent="0.25">
      <c r="BD479" s="184"/>
      <c r="BE479" s="184"/>
      <c r="BF479" s="184"/>
    </row>
    <row r="480" spans="56:58" x14ac:dyDescent="0.25">
      <c r="BD480" s="184"/>
      <c r="BE480" s="184"/>
      <c r="BF480" s="184"/>
    </row>
    <row r="481" spans="56:58" x14ac:dyDescent="0.25">
      <c r="BD481" s="184"/>
      <c r="BE481" s="184"/>
      <c r="BF481" s="184"/>
    </row>
    <row r="482" spans="56:58" x14ac:dyDescent="0.25">
      <c r="BD482" s="184"/>
      <c r="BE482" s="184"/>
      <c r="BF482" s="184"/>
    </row>
    <row r="483" spans="56:58" x14ac:dyDescent="0.25">
      <c r="BD483" s="184"/>
      <c r="BE483" s="184"/>
      <c r="BF483" s="184"/>
    </row>
    <row r="484" spans="56:58" x14ac:dyDescent="0.25">
      <c r="BD484" s="184"/>
      <c r="BE484" s="184"/>
      <c r="BF484" s="184"/>
    </row>
    <row r="485" spans="56:58" x14ac:dyDescent="0.25">
      <c r="BD485" s="184"/>
      <c r="BE485" s="184"/>
      <c r="BF485" s="184"/>
    </row>
    <row r="486" spans="56:58" x14ac:dyDescent="0.25">
      <c r="BD486" s="184"/>
      <c r="BE486" s="184"/>
      <c r="BF486" s="184"/>
    </row>
    <row r="487" spans="56:58" x14ac:dyDescent="0.25">
      <c r="BD487" s="184"/>
      <c r="BE487" s="184"/>
      <c r="BF487" s="184"/>
    </row>
    <row r="488" spans="56:58" x14ac:dyDescent="0.25">
      <c r="BD488" s="184"/>
      <c r="BE488" s="184"/>
      <c r="BF488" s="184"/>
    </row>
    <row r="489" spans="56:58" x14ac:dyDescent="0.25">
      <c r="BD489" s="184"/>
      <c r="BE489" s="184"/>
      <c r="BF489" s="184"/>
    </row>
    <row r="490" spans="56:58" x14ac:dyDescent="0.25">
      <c r="BD490" s="184"/>
      <c r="BE490" s="184"/>
      <c r="BF490" s="184"/>
    </row>
    <row r="491" spans="56:58" x14ac:dyDescent="0.25">
      <c r="BD491" s="184"/>
      <c r="BE491" s="184"/>
      <c r="BF491" s="184"/>
    </row>
    <row r="492" spans="56:58" x14ac:dyDescent="0.25">
      <c r="BD492" s="184"/>
      <c r="BE492" s="184"/>
      <c r="BF492" s="184"/>
    </row>
    <row r="493" spans="56:58" x14ac:dyDescent="0.25">
      <c r="BD493" s="184"/>
      <c r="BE493" s="184"/>
      <c r="BF493" s="184"/>
    </row>
    <row r="494" spans="56:58" x14ac:dyDescent="0.25">
      <c r="BD494" s="184"/>
      <c r="BE494" s="184"/>
      <c r="BF494" s="184"/>
    </row>
    <row r="495" spans="56:58" x14ac:dyDescent="0.25">
      <c r="BD495" s="184"/>
      <c r="BE495" s="184"/>
      <c r="BF495" s="184"/>
    </row>
    <row r="496" spans="56:58" x14ac:dyDescent="0.25">
      <c r="BD496" s="184"/>
      <c r="BE496" s="184"/>
      <c r="BF496" s="184"/>
    </row>
    <row r="497" spans="56:58" x14ac:dyDescent="0.25">
      <c r="BD497" s="184"/>
      <c r="BE497" s="184"/>
      <c r="BF497" s="184"/>
    </row>
    <row r="498" spans="56:58" x14ac:dyDescent="0.25">
      <c r="BD498" s="184"/>
      <c r="BE498" s="184"/>
      <c r="BF498" s="184"/>
    </row>
    <row r="499" spans="56:58" x14ac:dyDescent="0.25">
      <c r="BD499" s="184"/>
      <c r="BE499" s="184"/>
      <c r="BF499" s="184"/>
    </row>
    <row r="500" spans="56:58" x14ac:dyDescent="0.25">
      <c r="BD500" s="184"/>
      <c r="BE500" s="184"/>
      <c r="BF500" s="184"/>
    </row>
    <row r="501" spans="56:58" x14ac:dyDescent="0.25">
      <c r="BD501" s="184"/>
      <c r="BE501" s="184"/>
      <c r="BF501" s="184"/>
    </row>
    <row r="502" spans="56:58" x14ac:dyDescent="0.25">
      <c r="BD502" s="184"/>
      <c r="BE502" s="184"/>
      <c r="BF502" s="184"/>
    </row>
    <row r="503" spans="56:58" x14ac:dyDescent="0.25">
      <c r="BD503" s="184"/>
      <c r="BE503" s="184"/>
      <c r="BF503" s="184"/>
    </row>
    <row r="504" spans="56:58" x14ac:dyDescent="0.25">
      <c r="BD504" s="184"/>
      <c r="BE504" s="184"/>
      <c r="BF504" s="184"/>
    </row>
    <row r="505" spans="56:58" x14ac:dyDescent="0.25">
      <c r="BD505" s="184"/>
      <c r="BE505" s="184"/>
      <c r="BF505" s="184"/>
    </row>
    <row r="506" spans="56:58" x14ac:dyDescent="0.25">
      <c r="BD506" s="184"/>
      <c r="BE506" s="184"/>
      <c r="BF506" s="184"/>
    </row>
    <row r="507" spans="56:58" x14ac:dyDescent="0.25">
      <c r="BD507" s="184"/>
      <c r="BE507" s="184"/>
      <c r="BF507" s="184"/>
    </row>
    <row r="508" spans="56:58" x14ac:dyDescent="0.25">
      <c r="BD508" s="184"/>
      <c r="BE508" s="184"/>
      <c r="BF508" s="184"/>
    </row>
    <row r="509" spans="56:58" x14ac:dyDescent="0.25">
      <c r="BD509" s="184"/>
      <c r="BE509" s="184"/>
      <c r="BF509" s="184"/>
    </row>
    <row r="510" spans="56:58" x14ac:dyDescent="0.25">
      <c r="BD510" s="184"/>
      <c r="BE510" s="184"/>
      <c r="BF510" s="184"/>
    </row>
    <row r="511" spans="56:58" x14ac:dyDescent="0.25">
      <c r="BD511" s="184"/>
      <c r="BE511" s="184"/>
      <c r="BF511" s="184"/>
    </row>
    <row r="512" spans="56:58" x14ac:dyDescent="0.25">
      <c r="BD512" s="184"/>
      <c r="BE512" s="184"/>
      <c r="BF512" s="184"/>
    </row>
    <row r="513" spans="56:58" x14ac:dyDescent="0.25">
      <c r="BD513" s="184"/>
      <c r="BE513" s="184"/>
      <c r="BF513" s="184"/>
    </row>
    <row r="514" spans="56:58" x14ac:dyDescent="0.25">
      <c r="BD514" s="184"/>
      <c r="BE514" s="184"/>
      <c r="BF514" s="184"/>
    </row>
    <row r="515" spans="56:58" x14ac:dyDescent="0.25">
      <c r="BD515" s="184"/>
      <c r="BE515" s="184"/>
      <c r="BF515" s="184"/>
    </row>
    <row r="516" spans="56:58" x14ac:dyDescent="0.25">
      <c r="BD516" s="184"/>
      <c r="BE516" s="184"/>
      <c r="BF516" s="184"/>
    </row>
    <row r="517" spans="56:58" x14ac:dyDescent="0.25">
      <c r="BD517" s="184"/>
      <c r="BE517" s="184"/>
      <c r="BF517" s="184"/>
    </row>
    <row r="518" spans="56:58" x14ac:dyDescent="0.25">
      <c r="BD518" s="184"/>
      <c r="BE518" s="184"/>
      <c r="BF518" s="184"/>
    </row>
    <row r="519" spans="56:58" x14ac:dyDescent="0.25">
      <c r="BD519" s="184"/>
      <c r="BE519" s="184"/>
      <c r="BF519" s="184"/>
    </row>
    <row r="520" spans="56:58" x14ac:dyDescent="0.25">
      <c r="BD520" s="184"/>
      <c r="BE520" s="184"/>
      <c r="BF520" s="184"/>
    </row>
    <row r="521" spans="56:58" x14ac:dyDescent="0.25">
      <c r="BD521" s="184"/>
      <c r="BE521" s="184"/>
      <c r="BF521" s="184"/>
    </row>
    <row r="522" spans="56:58" x14ac:dyDescent="0.25">
      <c r="BD522" s="184"/>
      <c r="BE522" s="184"/>
      <c r="BF522" s="184"/>
    </row>
    <row r="523" spans="56:58" x14ac:dyDescent="0.25">
      <c r="BD523" s="184"/>
      <c r="BE523" s="184"/>
      <c r="BF523" s="184"/>
    </row>
    <row r="524" spans="56:58" x14ac:dyDescent="0.25">
      <c r="BD524" s="184"/>
      <c r="BE524" s="184"/>
      <c r="BF524" s="184"/>
    </row>
    <row r="525" spans="56:58" x14ac:dyDescent="0.25">
      <c r="BD525" s="184"/>
      <c r="BE525" s="184"/>
      <c r="BF525" s="184"/>
    </row>
    <row r="526" spans="56:58" x14ac:dyDescent="0.25">
      <c r="BD526" s="184"/>
      <c r="BE526" s="184"/>
      <c r="BF526" s="184"/>
    </row>
    <row r="527" spans="56:58" x14ac:dyDescent="0.25">
      <c r="BD527" s="184"/>
      <c r="BE527" s="184"/>
      <c r="BF527" s="184"/>
    </row>
    <row r="528" spans="56:58" x14ac:dyDescent="0.25">
      <c r="BD528" s="184"/>
      <c r="BE528" s="184"/>
      <c r="BF528" s="184"/>
    </row>
    <row r="529" spans="56:58" x14ac:dyDescent="0.25">
      <c r="BD529" s="184"/>
      <c r="BE529" s="184"/>
      <c r="BF529" s="184"/>
    </row>
    <row r="530" spans="56:58" x14ac:dyDescent="0.25">
      <c r="BD530" s="184"/>
      <c r="BE530" s="184"/>
      <c r="BF530" s="184"/>
    </row>
    <row r="531" spans="56:58" x14ac:dyDescent="0.25">
      <c r="BD531" s="184"/>
      <c r="BE531" s="184"/>
      <c r="BF531" s="184"/>
    </row>
    <row r="532" spans="56:58" x14ac:dyDescent="0.25">
      <c r="BD532" s="184"/>
      <c r="BE532" s="184"/>
      <c r="BF532" s="184"/>
    </row>
    <row r="533" spans="56:58" x14ac:dyDescent="0.25">
      <c r="BD533" s="184"/>
      <c r="BE533" s="184"/>
      <c r="BF533" s="184"/>
    </row>
    <row r="534" spans="56:58" x14ac:dyDescent="0.25">
      <c r="BD534" s="184"/>
      <c r="BE534" s="184"/>
      <c r="BF534" s="184"/>
    </row>
    <row r="535" spans="56:58" x14ac:dyDescent="0.25">
      <c r="BD535" s="184"/>
      <c r="BE535" s="184"/>
      <c r="BF535" s="184"/>
    </row>
    <row r="536" spans="56:58" x14ac:dyDescent="0.25">
      <c r="BD536" s="184"/>
      <c r="BE536" s="184"/>
      <c r="BF536" s="184"/>
    </row>
    <row r="537" spans="56:58" x14ac:dyDescent="0.25">
      <c r="BD537" s="184"/>
      <c r="BE537" s="184"/>
      <c r="BF537" s="184"/>
    </row>
    <row r="538" spans="56:58" x14ac:dyDescent="0.25">
      <c r="BD538" s="184"/>
      <c r="BE538" s="184"/>
      <c r="BF538" s="184"/>
    </row>
    <row r="539" spans="56:58" x14ac:dyDescent="0.25">
      <c r="BD539" s="184"/>
      <c r="BE539" s="184"/>
      <c r="BF539" s="184"/>
    </row>
    <row r="540" spans="56:58" x14ac:dyDescent="0.25">
      <c r="BD540" s="184"/>
      <c r="BE540" s="184"/>
      <c r="BF540" s="184"/>
    </row>
    <row r="541" spans="56:58" x14ac:dyDescent="0.25">
      <c r="BD541" s="184"/>
      <c r="BE541" s="184"/>
      <c r="BF541" s="184"/>
    </row>
    <row r="542" spans="56:58" x14ac:dyDescent="0.25">
      <c r="BD542" s="184"/>
      <c r="BE542" s="184"/>
      <c r="BF542" s="184"/>
    </row>
    <row r="543" spans="56:58" x14ac:dyDescent="0.25">
      <c r="BD543" s="184"/>
      <c r="BE543" s="184"/>
      <c r="BF543" s="184"/>
    </row>
    <row r="544" spans="56:58" x14ac:dyDescent="0.25">
      <c r="BD544" s="184"/>
      <c r="BE544" s="184"/>
      <c r="BF544" s="184"/>
    </row>
    <row r="545" spans="56:58" x14ac:dyDescent="0.25">
      <c r="BD545" s="184"/>
      <c r="BE545" s="184"/>
      <c r="BF545" s="184"/>
    </row>
    <row r="546" spans="56:58" x14ac:dyDescent="0.25">
      <c r="BD546" s="184"/>
      <c r="BE546" s="184"/>
      <c r="BF546" s="184"/>
    </row>
    <row r="547" spans="56:58" x14ac:dyDescent="0.25">
      <c r="BD547" s="184"/>
      <c r="BE547" s="184"/>
      <c r="BF547" s="184"/>
    </row>
    <row r="548" spans="56:58" x14ac:dyDescent="0.25">
      <c r="BD548" s="184"/>
      <c r="BE548" s="184"/>
      <c r="BF548" s="184"/>
    </row>
    <row r="549" spans="56:58" x14ac:dyDescent="0.25">
      <c r="BD549" s="184"/>
      <c r="BE549" s="184"/>
      <c r="BF549" s="184"/>
    </row>
    <row r="550" spans="56:58" x14ac:dyDescent="0.25">
      <c r="BD550" s="184"/>
      <c r="BE550" s="184"/>
      <c r="BF550" s="184"/>
    </row>
    <row r="551" spans="56:58" x14ac:dyDescent="0.25">
      <c r="BD551" s="184"/>
      <c r="BE551" s="184"/>
      <c r="BF551" s="184"/>
    </row>
    <row r="552" spans="56:58" x14ac:dyDescent="0.25">
      <c r="BD552" s="184"/>
      <c r="BE552" s="184"/>
      <c r="BF552" s="184"/>
    </row>
    <row r="553" spans="56:58" x14ac:dyDescent="0.25">
      <c r="BD553" s="184"/>
      <c r="BE553" s="184"/>
      <c r="BF553" s="184"/>
    </row>
    <row r="554" spans="56:58" x14ac:dyDescent="0.25">
      <c r="BD554" s="184"/>
      <c r="BE554" s="184"/>
      <c r="BF554" s="184"/>
    </row>
    <row r="555" spans="56:58" x14ac:dyDescent="0.25">
      <c r="BD555" s="184"/>
      <c r="BE555" s="184"/>
      <c r="BF555" s="184"/>
    </row>
    <row r="556" spans="56:58" x14ac:dyDescent="0.25">
      <c r="BD556" s="184"/>
      <c r="BE556" s="184"/>
      <c r="BF556" s="184"/>
    </row>
    <row r="557" spans="56:58" x14ac:dyDescent="0.25">
      <c r="BD557" s="184"/>
      <c r="BE557" s="184"/>
      <c r="BF557" s="184"/>
    </row>
    <row r="558" spans="56:58" x14ac:dyDescent="0.25">
      <c r="BD558" s="184"/>
      <c r="BE558" s="184"/>
      <c r="BF558" s="184"/>
    </row>
    <row r="559" spans="56:58" x14ac:dyDescent="0.25">
      <c r="BD559" s="184"/>
      <c r="BE559" s="184"/>
      <c r="BF559" s="184"/>
    </row>
    <row r="560" spans="56:58" x14ac:dyDescent="0.25">
      <c r="BD560" s="184"/>
      <c r="BE560" s="184"/>
      <c r="BF560" s="184"/>
    </row>
    <row r="561" spans="56:58" x14ac:dyDescent="0.25">
      <c r="BD561" s="184"/>
      <c r="BE561" s="184"/>
      <c r="BF561" s="184"/>
    </row>
    <row r="562" spans="56:58" x14ac:dyDescent="0.25">
      <c r="BD562" s="184"/>
      <c r="BE562" s="184"/>
      <c r="BF562" s="184"/>
    </row>
    <row r="563" spans="56:58" x14ac:dyDescent="0.25">
      <c r="BD563" s="184"/>
      <c r="BE563" s="184"/>
      <c r="BF563" s="184"/>
    </row>
    <row r="564" spans="56:58" x14ac:dyDescent="0.25">
      <c r="BD564" s="184"/>
      <c r="BE564" s="184"/>
      <c r="BF564" s="184"/>
    </row>
    <row r="565" spans="56:58" x14ac:dyDescent="0.25">
      <c r="BD565" s="184"/>
      <c r="BE565" s="184"/>
      <c r="BF565" s="184"/>
    </row>
    <row r="566" spans="56:58" x14ac:dyDescent="0.25">
      <c r="BD566" s="184"/>
      <c r="BE566" s="184"/>
      <c r="BF566" s="184"/>
    </row>
    <row r="567" spans="56:58" x14ac:dyDescent="0.25">
      <c r="BD567" s="184"/>
      <c r="BE567" s="184"/>
      <c r="BF567" s="184"/>
    </row>
    <row r="568" spans="56:58" x14ac:dyDescent="0.25">
      <c r="BD568" s="184"/>
      <c r="BE568" s="184"/>
      <c r="BF568" s="184"/>
    </row>
    <row r="569" spans="56:58" x14ac:dyDescent="0.25">
      <c r="BD569" s="184"/>
      <c r="BE569" s="184"/>
      <c r="BF569" s="184"/>
    </row>
    <row r="570" spans="56:58" x14ac:dyDescent="0.25">
      <c r="BD570" s="184"/>
      <c r="BE570" s="184"/>
      <c r="BF570" s="184"/>
    </row>
    <row r="571" spans="56:58" x14ac:dyDescent="0.25">
      <c r="BD571" s="184"/>
      <c r="BE571" s="184"/>
      <c r="BF571" s="184"/>
    </row>
    <row r="572" spans="56:58" x14ac:dyDescent="0.25">
      <c r="BD572" s="184"/>
      <c r="BE572" s="184"/>
      <c r="BF572" s="184"/>
    </row>
    <row r="573" spans="56:58" x14ac:dyDescent="0.25">
      <c r="BD573" s="184"/>
      <c r="BE573" s="184"/>
      <c r="BF573" s="184"/>
    </row>
    <row r="574" spans="56:58" x14ac:dyDescent="0.25">
      <c r="BD574" s="184"/>
      <c r="BE574" s="184"/>
      <c r="BF574" s="184"/>
    </row>
    <row r="575" spans="56:58" x14ac:dyDescent="0.25">
      <c r="BD575" s="184"/>
      <c r="BE575" s="184"/>
      <c r="BF575" s="184"/>
    </row>
    <row r="576" spans="56:58" x14ac:dyDescent="0.25">
      <c r="BD576" s="184"/>
      <c r="BE576" s="184"/>
      <c r="BF576" s="184"/>
    </row>
    <row r="577" spans="56:58" x14ac:dyDescent="0.25">
      <c r="BD577" s="184"/>
      <c r="BE577" s="184"/>
      <c r="BF577" s="184"/>
    </row>
    <row r="578" spans="56:58" x14ac:dyDescent="0.25">
      <c r="BD578" s="184"/>
      <c r="BE578" s="184"/>
      <c r="BF578" s="184"/>
    </row>
    <row r="579" spans="56:58" x14ac:dyDescent="0.25">
      <c r="BD579" s="184"/>
      <c r="BE579" s="184"/>
      <c r="BF579" s="184"/>
    </row>
    <row r="580" spans="56:58" x14ac:dyDescent="0.25">
      <c r="BD580" s="184"/>
      <c r="BE580" s="184"/>
      <c r="BF580" s="184"/>
    </row>
    <row r="581" spans="56:58" x14ac:dyDescent="0.25">
      <c r="BD581" s="184"/>
      <c r="BE581" s="184"/>
      <c r="BF581" s="184"/>
    </row>
    <row r="582" spans="56:58" x14ac:dyDescent="0.25">
      <c r="BD582" s="184"/>
      <c r="BE582" s="184"/>
      <c r="BF582" s="184"/>
    </row>
    <row r="583" spans="56:58" x14ac:dyDescent="0.25">
      <c r="BD583" s="184"/>
      <c r="BE583" s="184"/>
      <c r="BF583" s="184"/>
    </row>
    <row r="584" spans="56:58" x14ac:dyDescent="0.25">
      <c r="BD584" s="184"/>
      <c r="BE584" s="184"/>
      <c r="BF584" s="184"/>
    </row>
    <row r="585" spans="56:58" x14ac:dyDescent="0.25">
      <c r="BD585" s="184"/>
      <c r="BE585" s="184"/>
      <c r="BF585" s="184"/>
    </row>
    <row r="586" spans="56:58" x14ac:dyDescent="0.25">
      <c r="BD586" s="184"/>
      <c r="BE586" s="184"/>
      <c r="BF586" s="184"/>
    </row>
    <row r="587" spans="56:58" x14ac:dyDescent="0.25">
      <c r="BD587" s="184"/>
      <c r="BE587" s="184"/>
      <c r="BF587" s="184"/>
    </row>
    <row r="588" spans="56:58" x14ac:dyDescent="0.25">
      <c r="BD588" s="184"/>
      <c r="BE588" s="184"/>
      <c r="BF588" s="184"/>
    </row>
    <row r="589" spans="56:58" x14ac:dyDescent="0.25">
      <c r="BD589" s="184"/>
      <c r="BE589" s="184"/>
      <c r="BF589" s="184"/>
    </row>
    <row r="590" spans="56:58" x14ac:dyDescent="0.25">
      <c r="BD590" s="184"/>
      <c r="BE590" s="184"/>
      <c r="BF590" s="184"/>
    </row>
    <row r="591" spans="56:58" x14ac:dyDescent="0.25">
      <c r="BD591" s="184"/>
      <c r="BE591" s="184"/>
      <c r="BF591" s="184"/>
    </row>
    <row r="592" spans="56:58" x14ac:dyDescent="0.25">
      <c r="BD592" s="184"/>
      <c r="BE592" s="184"/>
      <c r="BF592" s="184"/>
    </row>
    <row r="593" spans="56:58" x14ac:dyDescent="0.25">
      <c r="BD593" s="184"/>
      <c r="BE593" s="184"/>
      <c r="BF593" s="184"/>
    </row>
    <row r="594" spans="56:58" x14ac:dyDescent="0.25">
      <c r="BD594" s="184"/>
      <c r="BE594" s="184"/>
      <c r="BF594" s="184"/>
    </row>
    <row r="595" spans="56:58" x14ac:dyDescent="0.25">
      <c r="BD595" s="184"/>
      <c r="BE595" s="184"/>
      <c r="BF595" s="184"/>
    </row>
    <row r="596" spans="56:58" x14ac:dyDescent="0.25">
      <c r="BD596" s="184"/>
      <c r="BE596" s="184"/>
      <c r="BF596" s="184"/>
    </row>
    <row r="597" spans="56:58" x14ac:dyDescent="0.25">
      <c r="BD597" s="184"/>
      <c r="BE597" s="184"/>
      <c r="BF597" s="184"/>
    </row>
    <row r="598" spans="56:58" x14ac:dyDescent="0.25">
      <c r="BD598" s="184"/>
      <c r="BE598" s="184"/>
      <c r="BF598" s="184"/>
    </row>
    <row r="599" spans="56:58" x14ac:dyDescent="0.25">
      <c r="BD599" s="184"/>
      <c r="BE599" s="184"/>
      <c r="BF599" s="184"/>
    </row>
    <row r="600" spans="56:58" x14ac:dyDescent="0.25">
      <c r="BD600" s="184"/>
      <c r="BE600" s="184"/>
      <c r="BF600" s="184"/>
    </row>
    <row r="601" spans="56:58" x14ac:dyDescent="0.25">
      <c r="BD601" s="184"/>
      <c r="BE601" s="184"/>
      <c r="BF601" s="184"/>
    </row>
    <row r="602" spans="56:58" x14ac:dyDescent="0.25">
      <c r="BD602" s="184"/>
      <c r="BE602" s="184"/>
      <c r="BF602" s="184"/>
    </row>
    <row r="603" spans="56:58" x14ac:dyDescent="0.25">
      <c r="BD603" s="184"/>
      <c r="BE603" s="184"/>
      <c r="BF603" s="184"/>
    </row>
    <row r="604" spans="56:58" x14ac:dyDescent="0.25">
      <c r="BD604" s="184"/>
      <c r="BE604" s="184"/>
      <c r="BF604" s="184"/>
    </row>
    <row r="605" spans="56:58" x14ac:dyDescent="0.25">
      <c r="BD605" s="184"/>
      <c r="BE605" s="184"/>
      <c r="BF605" s="184"/>
    </row>
    <row r="606" spans="56:58" x14ac:dyDescent="0.25">
      <c r="BD606" s="184"/>
      <c r="BE606" s="184"/>
      <c r="BF606" s="184"/>
    </row>
    <row r="607" spans="56:58" x14ac:dyDescent="0.25">
      <c r="BD607" s="184"/>
      <c r="BE607" s="184"/>
      <c r="BF607" s="184"/>
    </row>
    <row r="608" spans="56:58" x14ac:dyDescent="0.25">
      <c r="BD608" s="184"/>
      <c r="BE608" s="184"/>
      <c r="BF608" s="184"/>
    </row>
    <row r="609" spans="56:58" x14ac:dyDescent="0.25">
      <c r="BD609" s="184"/>
      <c r="BE609" s="184"/>
      <c r="BF609" s="184"/>
    </row>
    <row r="610" spans="56:58" x14ac:dyDescent="0.25">
      <c r="BD610" s="184"/>
      <c r="BE610" s="184"/>
      <c r="BF610" s="184"/>
    </row>
    <row r="611" spans="56:58" x14ac:dyDescent="0.25">
      <c r="BD611" s="184"/>
      <c r="BE611" s="184"/>
      <c r="BF611" s="184"/>
    </row>
    <row r="612" spans="56:58" x14ac:dyDescent="0.25">
      <c r="BD612" s="184"/>
      <c r="BE612" s="184"/>
      <c r="BF612" s="184"/>
    </row>
    <row r="613" spans="56:58" x14ac:dyDescent="0.25">
      <c r="BD613" s="184"/>
      <c r="BE613" s="184"/>
      <c r="BF613" s="184"/>
    </row>
    <row r="614" spans="56:58" x14ac:dyDescent="0.25">
      <c r="BD614" s="184"/>
      <c r="BE614" s="184"/>
      <c r="BF614" s="184"/>
    </row>
    <row r="615" spans="56:58" x14ac:dyDescent="0.25">
      <c r="BD615" s="184"/>
      <c r="BE615" s="184"/>
      <c r="BF615" s="184"/>
    </row>
    <row r="616" spans="56:58" x14ac:dyDescent="0.25">
      <c r="BD616" s="184"/>
      <c r="BE616" s="184"/>
      <c r="BF616" s="184"/>
    </row>
    <row r="617" spans="56:58" x14ac:dyDescent="0.25">
      <c r="BD617" s="184"/>
      <c r="BE617" s="184"/>
      <c r="BF617" s="184"/>
    </row>
    <row r="618" spans="56:58" x14ac:dyDescent="0.25">
      <c r="BD618" s="184"/>
      <c r="BE618" s="184"/>
      <c r="BF618" s="184"/>
    </row>
    <row r="619" spans="56:58" x14ac:dyDescent="0.25">
      <c r="BD619" s="184"/>
      <c r="BE619" s="184"/>
      <c r="BF619" s="184"/>
    </row>
    <row r="620" spans="56:58" x14ac:dyDescent="0.25">
      <c r="BD620" s="184"/>
      <c r="BE620" s="184"/>
      <c r="BF620" s="184"/>
    </row>
    <row r="621" spans="56:58" x14ac:dyDescent="0.25">
      <c r="BD621" s="184"/>
      <c r="BE621" s="184"/>
      <c r="BF621" s="184"/>
    </row>
    <row r="622" spans="56:58" x14ac:dyDescent="0.25">
      <c r="BD622" s="184"/>
      <c r="BE622" s="184"/>
      <c r="BF622" s="184"/>
    </row>
    <row r="623" spans="56:58" x14ac:dyDescent="0.25">
      <c r="BD623" s="184"/>
      <c r="BE623" s="184"/>
      <c r="BF623" s="184"/>
    </row>
    <row r="624" spans="56:58" x14ac:dyDescent="0.25">
      <c r="BD624" s="184"/>
      <c r="BE624" s="184"/>
      <c r="BF624" s="184"/>
    </row>
    <row r="625" spans="56:58" x14ac:dyDescent="0.25">
      <c r="BD625" s="184"/>
      <c r="BE625" s="184"/>
      <c r="BF625" s="184"/>
    </row>
    <row r="626" spans="56:58" x14ac:dyDescent="0.25">
      <c r="BD626" s="184"/>
      <c r="BE626" s="184"/>
      <c r="BF626" s="184"/>
    </row>
    <row r="627" spans="56:58" x14ac:dyDescent="0.25">
      <c r="BD627" s="184"/>
      <c r="BE627" s="184"/>
      <c r="BF627" s="184"/>
    </row>
    <row r="628" spans="56:58" x14ac:dyDescent="0.25">
      <c r="BD628" s="184"/>
      <c r="BE628" s="184"/>
      <c r="BF628" s="184"/>
    </row>
    <row r="629" spans="56:58" x14ac:dyDescent="0.25">
      <c r="BD629" s="184"/>
      <c r="BE629" s="184"/>
      <c r="BF629" s="184"/>
    </row>
    <row r="630" spans="56:58" x14ac:dyDescent="0.25">
      <c r="BD630" s="184"/>
      <c r="BE630" s="184"/>
      <c r="BF630" s="184"/>
    </row>
    <row r="631" spans="56:58" x14ac:dyDescent="0.25">
      <c r="BD631" s="184"/>
      <c r="BE631" s="184"/>
      <c r="BF631" s="184"/>
    </row>
    <row r="632" spans="56:58" x14ac:dyDescent="0.25">
      <c r="BD632" s="184"/>
      <c r="BE632" s="184"/>
      <c r="BF632" s="184"/>
    </row>
    <row r="633" spans="56:58" x14ac:dyDescent="0.25">
      <c r="BD633" s="184"/>
      <c r="BE633" s="184"/>
      <c r="BF633" s="184"/>
    </row>
    <row r="634" spans="56:58" x14ac:dyDescent="0.25">
      <c r="BD634" s="184"/>
      <c r="BE634" s="184"/>
      <c r="BF634" s="184"/>
    </row>
    <row r="635" spans="56:58" x14ac:dyDescent="0.25">
      <c r="BD635" s="184"/>
      <c r="BE635" s="184"/>
      <c r="BF635" s="184"/>
    </row>
    <row r="636" spans="56:58" x14ac:dyDescent="0.25">
      <c r="BD636" s="184"/>
      <c r="BE636" s="184"/>
      <c r="BF636" s="184"/>
    </row>
    <row r="637" spans="56:58" x14ac:dyDescent="0.25">
      <c r="BD637" s="184"/>
      <c r="BE637" s="184"/>
      <c r="BF637" s="184"/>
    </row>
    <row r="638" spans="56:58" x14ac:dyDescent="0.25">
      <c r="BD638" s="184"/>
      <c r="BE638" s="184"/>
      <c r="BF638" s="184"/>
    </row>
    <row r="639" spans="56:58" x14ac:dyDescent="0.25">
      <c r="BD639" s="184"/>
      <c r="BE639" s="184"/>
      <c r="BF639" s="184"/>
    </row>
    <row r="640" spans="56:58" x14ac:dyDescent="0.25">
      <c r="BD640" s="184"/>
      <c r="BE640" s="184"/>
      <c r="BF640" s="184"/>
    </row>
    <row r="641" spans="56:58" x14ac:dyDescent="0.25">
      <c r="BD641" s="184"/>
      <c r="BE641" s="184"/>
      <c r="BF641" s="184"/>
    </row>
    <row r="642" spans="56:58" x14ac:dyDescent="0.25">
      <c r="BD642" s="184"/>
      <c r="BE642" s="184"/>
      <c r="BF642" s="184"/>
    </row>
    <row r="643" spans="56:58" x14ac:dyDescent="0.25">
      <c r="BD643" s="184"/>
      <c r="BE643" s="184"/>
      <c r="BF643" s="184"/>
    </row>
    <row r="644" spans="56:58" x14ac:dyDescent="0.25">
      <c r="BD644" s="184"/>
      <c r="BE644" s="184"/>
      <c r="BF644" s="184"/>
    </row>
    <row r="645" spans="56:58" x14ac:dyDescent="0.25">
      <c r="BD645" s="184"/>
      <c r="BE645" s="184"/>
      <c r="BF645" s="184"/>
    </row>
    <row r="646" spans="56:58" x14ac:dyDescent="0.25">
      <c r="BD646" s="184"/>
      <c r="BE646" s="184"/>
      <c r="BF646" s="184"/>
    </row>
    <row r="647" spans="56:58" x14ac:dyDescent="0.25">
      <c r="BD647" s="184"/>
      <c r="BE647" s="184"/>
      <c r="BF647" s="184"/>
    </row>
    <row r="648" spans="56:58" x14ac:dyDescent="0.25">
      <c r="BD648" s="184"/>
      <c r="BE648" s="184"/>
      <c r="BF648" s="184"/>
    </row>
  </sheetData>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As filed Original </vt:lpstr>
      <vt:lpstr>As filed Revised</vt:lpstr>
      <vt:lpstr>Calculation Revised</vt:lpstr>
      <vt:lpstr>Date Customer Activated</vt:lpstr>
      <vt:lpstr>pivot of activation</vt:lpstr>
      <vt:lpstr>2019 Volume Budget Using 5+7 FC</vt:lpstr>
      <vt:lpstr>2019 Cust Budget Using 5 + 7</vt:lpstr>
      <vt:lpstr>kw summary</vt:lpstr>
      <vt:lpstr>Margin Input_Forecast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