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24226"/>
  <xr:revisionPtr revIDLastSave="0" documentId="13_ncr:1_{F50B7966-4A69-49E7-8C71-DE7768344F13}" xr6:coauthVersionLast="45" xr6:coauthVersionMax="45" xr10:uidLastSave="{00000000-0000-0000-0000-000000000000}"/>
  <bookViews>
    <workbookView xWindow="-120" yWindow="-120" windowWidth="29040" windowHeight="15840" tabRatio="917" xr2:uid="{00000000-000D-0000-FFFF-FFFF00000000}"/>
  </bookViews>
  <sheets>
    <sheet name="2 Proxy Sum" sheetId="3" r:id="rId1"/>
    <sheet name="3 Stock Price" sheetId="4" r:id="rId2"/>
    <sheet name="4 Div Yields" sheetId="29" r:id="rId3"/>
    <sheet name="5 Growth Determinants" sheetId="52" r:id="rId4"/>
    <sheet name="6 DCF Result" sheetId="53" r:id="rId5"/>
    <sheet name="7 Risk Free Rate" sheetId="10" r:id="rId6"/>
    <sheet name="8 Beta" sheetId="15" r:id="rId7"/>
    <sheet name="9 Implied ERP" sheetId="21" r:id="rId8"/>
    <sheet name="10 ERP Result" sheetId="61" r:id="rId9"/>
    <sheet name="11 CAPM Result" sheetId="7" r:id="rId10"/>
    <sheet name="12 COE Summary" sheetId="17" r:id="rId11"/>
    <sheet name="13 Market COE" sheetId="59" r:id="rId12"/>
    <sheet name="14 Historic Trends" sheetId="78" r:id="rId13"/>
    <sheet name="Fig Industry Betas" sheetId="79" r:id="rId14"/>
    <sheet name="Fig CAPM Graph" sheetId="67" r:id="rId15"/>
    <sheet name="Fig Bus Cycle" sheetId="68" r:id="rId16"/>
    <sheet name="Fig Diversify" sheetId="70" r:id="rId17"/>
  </sheets>
  <definedNames>
    <definedName name="_xlnm.Print_Area" localSheetId="8">'10 ERP Result'!$A$1:$E$24</definedName>
    <definedName name="_xlnm.Print_Area" localSheetId="12">'14 Historic Trends'!$A$1:$U$45</definedName>
    <definedName name="_xlnm.Print_Area" localSheetId="15">'Fig Bus Cycle'!$A$3:$M$6</definedName>
    <definedName name="solver_adj" localSheetId="7" hidden="1">'9 Implied ERP'!$C$32</definedName>
    <definedName name="solver_cvg" localSheetId="7" hidden="1">0.0001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2</definedName>
    <definedName name="solver_nod" localSheetId="7" hidden="1">2147483647</definedName>
    <definedName name="solver_num" localSheetId="7" hidden="1">0</definedName>
    <definedName name="solver_nwt" localSheetId="7" hidden="1">1</definedName>
    <definedName name="solver_opt" localSheetId="7" hidden="1">'9 Implied ERP'!$C$28</definedName>
    <definedName name="solver_pre" localSheetId="7" hidden="1">0.000001</definedName>
    <definedName name="solver_rbv" localSheetId="7" hidden="1">1</definedName>
    <definedName name="solver_rlx" localSheetId="7" hidden="1">1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3137</definedName>
    <definedName name="solver_ver" localSheetId="7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9" l="1"/>
  <c r="G22" i="61"/>
  <c r="U37" i="78" l="1"/>
  <c r="M37" i="78"/>
  <c r="K37" i="78" s="1"/>
  <c r="U36" i="78"/>
  <c r="M36" i="78"/>
  <c r="K36" i="78"/>
  <c r="U35" i="78"/>
  <c r="M35" i="78"/>
  <c r="K35" i="78" s="1"/>
  <c r="U34" i="78"/>
  <c r="M34" i="78"/>
  <c r="K34" i="78"/>
  <c r="U33" i="78"/>
  <c r="M33" i="78"/>
  <c r="K33" i="78" s="1"/>
  <c r="U32" i="78"/>
  <c r="M32" i="78"/>
  <c r="K32" i="78" s="1"/>
  <c r="U31" i="78"/>
  <c r="M31" i="78"/>
  <c r="K31" i="78" s="1"/>
  <c r="U30" i="78"/>
  <c r="M30" i="78"/>
  <c r="K30" i="78" s="1"/>
  <c r="U29" i="78"/>
  <c r="M29" i="78"/>
  <c r="K29" i="78"/>
  <c r="U28" i="78"/>
  <c r="M28" i="78"/>
  <c r="K28" i="78" s="1"/>
  <c r="U27" i="78"/>
  <c r="M27" i="78"/>
  <c r="K27" i="78" s="1"/>
  <c r="U26" i="78"/>
  <c r="M26" i="78"/>
  <c r="K26" i="78" s="1"/>
  <c r="U25" i="78"/>
  <c r="M25" i="78"/>
  <c r="K25" i="78"/>
  <c r="U24" i="78"/>
  <c r="M24" i="78"/>
  <c r="K24" i="78"/>
  <c r="U23" i="78"/>
  <c r="M23" i="78"/>
  <c r="K23" i="78"/>
  <c r="U22" i="78"/>
  <c r="M22" i="78"/>
  <c r="K22" i="78" s="1"/>
  <c r="U21" i="78"/>
  <c r="M21" i="78"/>
  <c r="K21" i="78"/>
  <c r="U20" i="78"/>
  <c r="M20" i="78"/>
  <c r="K20" i="78" s="1"/>
  <c r="U19" i="78"/>
  <c r="M19" i="78"/>
  <c r="K19" i="78" s="1"/>
  <c r="U18" i="78"/>
  <c r="M18" i="78"/>
  <c r="K18" i="78" s="1"/>
  <c r="U17" i="78"/>
  <c r="M17" i="78"/>
  <c r="K17" i="78"/>
  <c r="U16" i="78"/>
  <c r="M16" i="78"/>
  <c r="K16" i="78"/>
  <c r="U15" i="78"/>
  <c r="M15" i="78"/>
  <c r="K15" i="78"/>
  <c r="U14" i="78"/>
  <c r="M14" i="78"/>
  <c r="K14" i="78" s="1"/>
  <c r="U13" i="78"/>
  <c r="M13" i="78"/>
  <c r="K13" i="78"/>
  <c r="U12" i="78"/>
  <c r="M12" i="78"/>
  <c r="K12" i="78" s="1"/>
  <c r="U11" i="78"/>
  <c r="M11" i="78"/>
  <c r="K11" i="78" s="1"/>
  <c r="U10" i="78"/>
  <c r="M10" i="78"/>
  <c r="K10" i="78" s="1"/>
  <c r="U9" i="78"/>
  <c r="M9" i="78"/>
  <c r="K9" i="78"/>
  <c r="U8" i="78"/>
  <c r="M8" i="78"/>
  <c r="K8" i="78"/>
  <c r="C12" i="61" l="1"/>
  <c r="G8" i="7" l="1"/>
  <c r="G9" i="7"/>
  <c r="G10" i="7"/>
  <c r="G11" i="7"/>
  <c r="G12" i="7"/>
  <c r="G13" i="7"/>
  <c r="G14" i="7"/>
  <c r="G16" i="7" l="1"/>
  <c r="G7" i="3" l="1"/>
  <c r="G8" i="3"/>
  <c r="G9" i="3"/>
  <c r="G10" i="3"/>
  <c r="G11" i="3"/>
  <c r="G12" i="3"/>
  <c r="C15" i="21" l="1"/>
  <c r="O10" i="21"/>
  <c r="M10" i="21"/>
  <c r="Q10" i="21" s="1"/>
  <c r="K10" i="21"/>
  <c r="A9" i="7" l="1"/>
  <c r="C9" i="7"/>
  <c r="A10" i="7"/>
  <c r="C10" i="7"/>
  <c r="A11" i="7"/>
  <c r="C11" i="7"/>
  <c r="A12" i="7"/>
  <c r="C12" i="7"/>
  <c r="A13" i="7"/>
  <c r="C13" i="7"/>
  <c r="A14" i="7"/>
  <c r="C14" i="7"/>
  <c r="A6" i="15"/>
  <c r="C6" i="15"/>
  <c r="A7" i="15"/>
  <c r="C7" i="15"/>
  <c r="A8" i="15"/>
  <c r="C8" i="15"/>
  <c r="A9" i="15"/>
  <c r="C9" i="15"/>
  <c r="A10" i="15"/>
  <c r="C10" i="15"/>
  <c r="A11" i="15"/>
  <c r="C11" i="15"/>
  <c r="A9" i="29"/>
  <c r="C9" i="29"/>
  <c r="A10" i="29"/>
  <c r="C10" i="29"/>
  <c r="A11" i="29"/>
  <c r="C11" i="29"/>
  <c r="A12" i="29"/>
  <c r="C12" i="29"/>
  <c r="A13" i="29"/>
  <c r="C13" i="29"/>
  <c r="A14" i="29"/>
  <c r="C14" i="29"/>
  <c r="D6" i="4"/>
  <c r="E6" i="4"/>
  <c r="F6" i="4"/>
  <c r="G6" i="4"/>
  <c r="H6" i="4"/>
  <c r="I6" i="4"/>
  <c r="D5" i="4"/>
  <c r="G9" i="29" s="1"/>
  <c r="E5" i="4"/>
  <c r="G10" i="29" s="1"/>
  <c r="I10" i="29" s="1"/>
  <c r="F5" i="4"/>
  <c r="G11" i="29" s="1"/>
  <c r="I11" i="29" s="1"/>
  <c r="G5" i="4"/>
  <c r="G12" i="29" s="1"/>
  <c r="I12" i="29" s="1"/>
  <c r="H5" i="4"/>
  <c r="G13" i="29" s="1"/>
  <c r="I13" i="29" s="1"/>
  <c r="I5" i="4"/>
  <c r="G14" i="29" s="1"/>
  <c r="I14" i="29" s="1"/>
  <c r="H3" i="4"/>
  <c r="G3" i="4"/>
  <c r="F3" i="4"/>
  <c r="E3" i="4"/>
  <c r="D3" i="4"/>
  <c r="I3" i="4"/>
  <c r="E8" i="53" l="1"/>
  <c r="K11" i="21" l="1"/>
  <c r="M11" i="21"/>
  <c r="O11" i="21"/>
  <c r="Q11" i="21" l="1"/>
  <c r="D119" i="68" l="1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J5" i="68" s="1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K9" i="21" l="1"/>
  <c r="M9" i="21"/>
  <c r="O9" i="21"/>
  <c r="Q9" i="21" l="1"/>
  <c r="E35" i="10" l="1"/>
  <c r="C9" i="52" s="1"/>
  <c r="C11" i="52" s="1"/>
  <c r="E11" i="7" l="1"/>
  <c r="E9" i="7"/>
  <c r="E13" i="7"/>
  <c r="E10" i="7"/>
  <c r="E14" i="7"/>
  <c r="E12" i="7"/>
  <c r="C4" i="67"/>
  <c r="C16" i="61" l="1"/>
  <c r="C14" i="61"/>
  <c r="C5" i="67" l="1"/>
  <c r="B11" i="67" s="1"/>
  <c r="I9" i="7"/>
  <c r="L9" i="7" s="1"/>
  <c r="I11" i="7"/>
  <c r="L11" i="7" s="1"/>
  <c r="I12" i="7"/>
  <c r="L12" i="7" s="1"/>
  <c r="I13" i="7"/>
  <c r="L13" i="7" s="1"/>
  <c r="I14" i="7"/>
  <c r="L14" i="7" s="1"/>
  <c r="I10" i="7"/>
  <c r="L10" i="7" s="1"/>
  <c r="I8" i="7"/>
  <c r="B10" i="67"/>
  <c r="B13" i="67"/>
  <c r="O8" i="21" l="1"/>
  <c r="M8" i="21"/>
  <c r="K8" i="21"/>
  <c r="Q8" i="21" l="1"/>
  <c r="E16" i="29" l="1"/>
  <c r="A8" i="53" s="1"/>
  <c r="G6" i="3" l="1"/>
  <c r="I9" i="29" l="1"/>
  <c r="C5" i="4"/>
  <c r="C8" i="29" l="1"/>
  <c r="A8" i="29"/>
  <c r="C3" i="4"/>
  <c r="C6" i="4"/>
  <c r="B6" i="4"/>
  <c r="G8" i="29"/>
  <c r="I8" i="29" s="1"/>
  <c r="B5" i="4"/>
  <c r="C17" i="21" s="1"/>
  <c r="M6" i="21"/>
  <c r="O6" i="21"/>
  <c r="M7" i="21"/>
  <c r="O7" i="21"/>
  <c r="K7" i="21"/>
  <c r="K6" i="21"/>
  <c r="C5" i="15"/>
  <c r="A5" i="15"/>
  <c r="C8" i="7"/>
  <c r="A8" i="7"/>
  <c r="C5" i="59" l="1"/>
  <c r="C15" i="59" s="1"/>
  <c r="C7" i="59"/>
  <c r="C11" i="59"/>
  <c r="E8" i="7"/>
  <c r="I16" i="29"/>
  <c r="G16" i="29"/>
  <c r="C8" i="53" s="1"/>
  <c r="H8" i="53" s="1"/>
  <c r="C5" i="17" s="1"/>
  <c r="Q6" i="21"/>
  <c r="C16" i="21"/>
  <c r="C30" i="21" s="1"/>
  <c r="C13" i="59" s="1"/>
  <c r="E13" i="15"/>
  <c r="C6" i="67" s="1"/>
  <c r="A12" i="67" s="1"/>
  <c r="Q7" i="21"/>
  <c r="D10" i="67" l="1"/>
  <c r="D11" i="67"/>
  <c r="B12" i="67"/>
  <c r="C14" i="21"/>
  <c r="K24" i="21" s="1"/>
  <c r="L8" i="7"/>
  <c r="C10" i="67" l="1"/>
  <c r="E11" i="67" s="1"/>
  <c r="C12" i="67"/>
  <c r="C11" i="67"/>
  <c r="G24" i="21"/>
  <c r="G26" i="21" s="1"/>
  <c r="E24" i="21"/>
  <c r="E26" i="21" s="1"/>
  <c r="C24" i="21"/>
  <c r="C26" i="21" s="1"/>
  <c r="I24" i="21"/>
  <c r="I26" i="21" s="1"/>
  <c r="K25" i="21"/>
  <c r="K26" i="21" s="1"/>
  <c r="C28" i="21" l="1"/>
  <c r="L16" i="7"/>
  <c r="C7" i="17" l="1"/>
  <c r="C9" i="17" s="1"/>
  <c r="AH30" i="78" s="1"/>
  <c r="C7" i="67"/>
</calcChain>
</file>

<file path=xl/sharedStrings.xml><?xml version="1.0" encoding="utf-8"?>
<sst xmlns="http://schemas.openxmlformats.org/spreadsheetml/2006/main" count="267" uniqueCount="187">
  <si>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</si>
  <si>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</si>
  <si>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</si>
  <si>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</si>
  <si>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</si>
  <si>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</si>
  <si>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</si>
  <si>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</si>
  <si>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</si>
  <si>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</si>
  <si>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</si>
  <si>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</si>
  <si>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</si>
  <si>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Capital Asset Pricing Model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</si>
  <si>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</si>
  <si>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</si>
  <si>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</si>
  <si>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</si>
  <si>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</si>
  <si>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</si>
  <si>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</si>
  <si>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</si>
  <si>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</si>
  <si>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</si>
  <si>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</si>
  <si>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</si>
  <si>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</si>
  <si>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</si>
  <si>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</si>
  <si>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</si>
  <si>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</si>
  <si>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</si>
  <si>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</si>
  <si>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</si>
  <si>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</si>
  <si>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</si>
  <si>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</si>
  <si>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</si>
  <si>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</si>
  <si>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</si>
  <si>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</si>
  <si>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</si>
  <si>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</si>
  <si>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</si>
  <si>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</si>
  <si>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</si>
  <si>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</si>
  <si>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</si>
  <si>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</si>
  <si>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</si>
  <si>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</si>
  <si>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</si>
  <si>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</si>
  <si>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ROE</t>
  </si>
  <si>
    <t>Value Line Safety Rank</t>
  </si>
  <si>
    <t>Market Category</t>
  </si>
  <si>
    <t>Market Cap. ($ millions)</t>
  </si>
  <si>
    <t>Dividend</t>
  </si>
  <si>
    <t>Stock Price</t>
  </si>
  <si>
    <r>
      <t>(d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</si>
  <si>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r>
      <t>(P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</si>
  <si>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(g)</t>
  </si>
  <si>
    <t>Results</t>
  </si>
  <si>
    <t>Required Return on Market</t>
  </si>
  <si>
    <t>[20]</t>
  </si>
  <si>
    <t>Average</t>
  </si>
  <si>
    <t>Industry</t>
  </si>
  <si>
    <t>[19] = [20] + [11]</t>
  </si>
  <si>
    <t>[1] Market value of S&amp;P 500</t>
  </si>
  <si>
    <t>Cost of Equity</t>
  </si>
  <si>
    <t>Risk Free Rate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</si>
  <si>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</si>
  <si>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</si>
  <si>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</si>
  <si>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</si>
  <si>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Damodaran</t>
  </si>
  <si>
    <t>Risk-Free</t>
  </si>
  <si>
    <t>Value Line</t>
  </si>
  <si>
    <t>Risk</t>
  </si>
  <si>
    <t>CAPM</t>
  </si>
  <si>
    <t xml:space="preserve">Rate </t>
  </si>
  <si>
    <t>Premium</t>
  </si>
  <si>
    <t>Company ERP</t>
  </si>
  <si>
    <t>Result</t>
  </si>
  <si>
    <t>Discounted Cash Flow Model</t>
  </si>
  <si>
    <t>Model</t>
  </si>
  <si>
    <t>DCF</t>
  </si>
  <si>
    <t>A</t>
  </si>
  <si>
    <t>B++</t>
  </si>
  <si>
    <t>[2] Large Cap &gt; $10 billion; Mid Cap &gt; $2 billion; Small Cap &gt; $200 million</t>
  </si>
  <si>
    <t xml:space="preserve">All prices are adjusted closing prices reported by Yahoo! Finance, http://finance.yahoo.com </t>
  </si>
  <si>
    <r>
      <t>[10] = Compund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1/4</t>
    </r>
    <r>
      <rPr>
        <sz val="9"/>
        <color theme="1"/>
        <rFont val="Calibri"/>
        <family val="2"/>
        <scheme val="minor"/>
      </rPr>
      <t>-1</t>
    </r>
  </si>
  <si>
    <t>Nominal GDP</t>
  </si>
  <si>
    <t>Yield</t>
  </si>
  <si>
    <t>Stock</t>
  </si>
  <si>
    <t>Inflation</t>
  </si>
  <si>
    <t>Garrett</t>
  </si>
  <si>
    <t>[6] = [1] + [2] * [3]</t>
  </si>
  <si>
    <t>*Daily Treasury Yield Curve Rates on 30-year T-bonds, http://www.treasury.gov/resources-center/data-chart-center/interest-rates/.</t>
  </si>
  <si>
    <t>Estimate</t>
  </si>
  <si>
    <t>Graham Harvey Survey</t>
  </si>
  <si>
    <t>IESE Survey</t>
  </si>
  <si>
    <t>IESE Business School Survey</t>
  </si>
  <si>
    <t>Graham &amp; Harvey Survey</t>
  </si>
  <si>
    <t>Duff &amp; Phelps Report</t>
  </si>
  <si>
    <t>[3] Recent highest reported ERP + risk-free rate</t>
  </si>
  <si>
    <t>[2] Average reported ERP + risk-free rate</t>
  </si>
  <si>
    <t>[1] Average reported ERP + riskfree rate</t>
  </si>
  <si>
    <t>[2] Average stock price from DJG stock price exhibit.</t>
  </si>
  <si>
    <t>[1] Average proxy dividend from DJG dividend exhibit</t>
  </si>
  <si>
    <t>[2] Average proxy stock price from DJG dividend exhibit</t>
  </si>
  <si>
    <t>[3] Highest growth rate from DJG growth determinant exhibit</t>
  </si>
  <si>
    <r>
      <t>[4] Quarterly DCF Approximation = [d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>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/P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]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- 1</t>
    </r>
  </si>
  <si>
    <t>[11] Risk-free rate from DJG risk-free rate exhibit</t>
  </si>
  <si>
    <t>[12] 30-day average of closing index prices from DJG stock price exhibit</t>
  </si>
  <si>
    <t>[1] From DJG risk-free rate exhibit</t>
  </si>
  <si>
    <t>[2] From DJG beta exhibit</t>
  </si>
  <si>
    <t>[3] From DJG equity risk premium exhibit</t>
  </si>
  <si>
    <t>[1-4] S&amp;P Quarterly Press Releases, data found at https://us.spindices.com/indices/equity/sp-500 (additional info tab) (all dollar figures are in $ billions)</t>
  </si>
  <si>
    <t>Highest</t>
  </si>
  <si>
    <t xml:space="preserve">Beta 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</si>
  <si>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</si>
  <si>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</si>
  <si>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</si>
  <si>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</si>
  <si>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</si>
  <si>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</si>
  <si>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</si>
  <si>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</si>
  <si>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</si>
  <si>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</si>
  <si>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</si>
  <si>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</si>
  <si>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</si>
  <si>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A+</t>
  </si>
  <si>
    <t>Electric Utilities</t>
  </si>
  <si>
    <t>Gas Utilities</t>
  </si>
  <si>
    <t>Total Utilities</t>
  </si>
  <si>
    <t>S&amp;P 500</t>
  </si>
  <si>
    <t>T-Bond</t>
  </si>
  <si>
    <t>Market</t>
  </si>
  <si>
    <t>#</t>
  </si>
  <si>
    <t>Returns</t>
  </si>
  <si>
    <t>COE</t>
  </si>
  <si>
    <t>[4], [5], [6] Annual S&amp;P 500 return, 10-year T-bond Rate, and equity risk premium published by NYU Stern School of Business</t>
  </si>
  <si>
    <t xml:space="preserve">[7] = [5] + [6] ; Market cost of equity represents the required return for investing in all stocks in the market for a given year </t>
  </si>
  <si>
    <t>[4] From Implied ERP exhibit</t>
  </si>
  <si>
    <t>[1] Most recent reported quarterly dividends per share.  Nasdaq.com</t>
  </si>
  <si>
    <t>[3] = [1] / [2] (quarterly)</t>
  </si>
  <si>
    <t>Terminal Growth Determinants</t>
  </si>
  <si>
    <t>Market Value</t>
  </si>
  <si>
    <t>[2] Graham and Harvey Survey 2018</t>
  </si>
  <si>
    <t>Betas from Value Line Investment Survey</t>
  </si>
  <si>
    <t>[1], [2], [3] Average annual authorized ROE for electric and gas utilities, RRA Regulatory Focus:  Major Rate Case Decisions</t>
  </si>
  <si>
    <t>[3] = [1] + [2]</t>
  </si>
  <si>
    <t>Utilities</t>
  </si>
  <si>
    <t>[1], [3], [4] Value Line Investment Survey</t>
  </si>
  <si>
    <t>NR - not reported</t>
  </si>
  <si>
    <t>Atmos Energy Corporation</t>
  </si>
  <si>
    <t>ATO</t>
  </si>
  <si>
    <t>New Jersey Resources Corporation</t>
  </si>
  <si>
    <t>Northwest Natural Holding Company</t>
  </si>
  <si>
    <t>ONE Gas, Inc.</t>
  </si>
  <si>
    <t>South Jersey Industries, Inc.</t>
  </si>
  <si>
    <t>Southwest Gas Holdings, Inc.</t>
  </si>
  <si>
    <t>Spire Inc.</t>
  </si>
  <si>
    <t>NJR</t>
  </si>
  <si>
    <t>NWN</t>
  </si>
  <si>
    <t>OGS</t>
  </si>
  <si>
    <t>SJI</t>
  </si>
  <si>
    <t>SWX</t>
  </si>
  <si>
    <t>SR</t>
  </si>
  <si>
    <t>[1], [2] CBO, The 2019 Long-Term Budget Outlook, p. 54, June 2019</t>
  </si>
  <si>
    <t>[3] From DJG risk-free rate exhibit</t>
  </si>
  <si>
    <t>[1] IESE Business School Survey 2020</t>
  </si>
  <si>
    <t xml:space="preserve">[3] Duff &amp; Phelps, 3-5-2020 </t>
  </si>
  <si>
    <t>Company Cost of Equity</t>
  </si>
  <si>
    <t>Company Proposed ROE</t>
  </si>
  <si>
    <t>*2018, year to date through Sept. 30, 2018</t>
  </si>
  <si>
    <t>Restaurants</t>
  </si>
  <si>
    <t>Hotels</t>
  </si>
  <si>
    <t>Coal</t>
  </si>
  <si>
    <t>Construction</t>
  </si>
  <si>
    <t>Duff &amp; Phelps</t>
  </si>
  <si>
    <t>My Gradual ROE Proposal</t>
  </si>
  <si>
    <t>[4] http://pages.stern.nyu.edu/~adamodar/ , 7-1-20</t>
  </si>
  <si>
    <t>[5] From DJG implied ERP exhibit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</si>
</sst>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0.000_);[Red]\(0.000\)"/>
    <numFmt numFmtId="169" formatCode="#,##0.0000_);[Red]\(#,##0.0000\)"/>
    <numFmt numFmtId="170" formatCode="mm/dd/yy;@"/>
    <numFmt numFmtId="171" formatCode="0.0"/>
    <numFmt numFmtId="172" formatCode="0.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wrapText="1"/>
    </xf>
    <xf numFmtId="10" fontId="3" fillId="0" borderId="0" xfId="1" applyNumberFormat="1" applyFont="1" applyAlignment="1">
      <alignment horizontal="center"/>
    </xf>
    <xf numFmtId="10" fontId="0" fillId="0" borderId="0" xfId="1" applyNumberFormat="1" applyFont="1"/>
    <xf numFmtId="10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0" fontId="3" fillId="0" borderId="0" xfId="0" applyNumberFormat="1" applyFont="1"/>
    <xf numFmtId="0" fontId="3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center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3" fillId="0" borderId="1" xfId="0" applyNumberFormat="1" applyFont="1" applyBorder="1"/>
    <xf numFmtId="10" fontId="0" fillId="0" borderId="0" xfId="1" applyNumberFormat="1" applyFont="1" applyAlignment="1">
      <alignment horizontal="right" indent="2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3" xfId="0" applyBorder="1" applyAlignment="1">
      <alignment horizontal="center"/>
    </xf>
    <xf numFmtId="17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8" fontId="0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8" fontId="3" fillId="0" borderId="0" xfId="0" applyNumberFormat="1" applyFont="1" applyAlignment="1">
      <alignment horizontal="right" indent="3"/>
    </xf>
    <xf numFmtId="10" fontId="0" fillId="0" borderId="2" xfId="1" applyNumberFormat="1" applyFont="1" applyBorder="1" applyAlignment="1">
      <alignment horizontal="right" indent="2"/>
    </xf>
    <xf numFmtId="40" fontId="0" fillId="0" borderId="1" xfId="1" applyNumberFormat="1" applyFont="1" applyBorder="1" applyAlignment="1">
      <alignment horizontal="right" indent="2"/>
    </xf>
    <xf numFmtId="8" fontId="3" fillId="0" borderId="0" xfId="0" applyNumberFormat="1" applyFont="1" applyAlignment="1">
      <alignment horizontal="right" indent="2"/>
    </xf>
    <xf numFmtId="0" fontId="3" fillId="0" borderId="1" xfId="0" applyFont="1" applyBorder="1" applyAlignment="1">
      <alignment horizontal="center" wrapText="1"/>
    </xf>
    <xf numFmtId="8" fontId="0" fillId="0" borderId="0" xfId="0" applyNumberFormat="1" applyAlignment="1">
      <alignment horizontal="center"/>
    </xf>
    <xf numFmtId="167" fontId="1" fillId="0" borderId="0" xfId="1" applyNumberFormat="1" applyAlignment="1">
      <alignment horizontal="center"/>
    </xf>
    <xf numFmtId="40" fontId="0" fillId="0" borderId="1" xfId="2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 indent="2"/>
    </xf>
    <xf numFmtId="166" fontId="0" fillId="0" borderId="1" xfId="0" applyNumberFormat="1" applyBorder="1" applyAlignment="1">
      <alignment horizontal="right" indent="2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0" fontId="12" fillId="0" borderId="0" xfId="1" applyNumberFormat="1" applyFont="1"/>
    <xf numFmtId="164" fontId="12" fillId="0" borderId="0" xfId="1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0" fontId="12" fillId="0" borderId="0" xfId="0" applyFont="1" applyAlignment="1">
      <alignment horizontal="left" indent="1"/>
    </xf>
    <xf numFmtId="164" fontId="12" fillId="0" borderId="0" xfId="0" applyNumberFormat="1" applyFont="1"/>
    <xf numFmtId="10" fontId="12" fillId="0" borderId="0" xfId="0" applyNumberFormat="1" applyFont="1" applyAlignment="1">
      <alignment horizontal="left"/>
    </xf>
    <xf numFmtId="164" fontId="12" fillId="0" borderId="1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13" fillId="0" borderId="1" xfId="0" applyFont="1" applyBorder="1"/>
    <xf numFmtId="10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indent="1"/>
    </xf>
    <xf numFmtId="38" fontId="16" fillId="0" borderId="0" xfId="0" applyNumberFormat="1" applyFont="1" applyAlignment="1">
      <alignment horizontal="right" indent="1"/>
    </xf>
    <xf numFmtId="38" fontId="16" fillId="0" borderId="0" xfId="0" applyNumberFormat="1" applyFont="1" applyAlignment="1">
      <alignment horizontal="right" indent="3"/>
    </xf>
    <xf numFmtId="38" fontId="16" fillId="0" borderId="0" xfId="0" applyNumberFormat="1" applyFont="1" applyAlignment="1">
      <alignment horizontal="left" indent="1"/>
    </xf>
    <xf numFmtId="38" fontId="16" fillId="0" borderId="0" xfId="0" applyNumberFormat="1" applyFont="1" applyAlignment="1">
      <alignment horizontal="left" indent="2"/>
    </xf>
    <xf numFmtId="0" fontId="16" fillId="0" borderId="0" xfId="0" applyFont="1" applyAlignment="1">
      <alignment horizontal="left" indent="3"/>
    </xf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38" fontId="16" fillId="0" borderId="1" xfId="0" applyNumberFormat="1" applyFont="1" applyBorder="1" applyAlignment="1">
      <alignment horizontal="right" indent="2"/>
    </xf>
    <xf numFmtId="38" fontId="16" fillId="0" borderId="1" xfId="0" applyNumberFormat="1" applyFont="1" applyBorder="1" applyAlignment="1">
      <alignment horizontal="right" indent="3"/>
    </xf>
    <xf numFmtId="38" fontId="16" fillId="0" borderId="1" xfId="0" applyNumberFormat="1" applyFont="1" applyBorder="1" applyAlignment="1">
      <alignment horizontal="left" indent="1"/>
    </xf>
    <xf numFmtId="38" fontId="16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left" indent="3"/>
    </xf>
    <xf numFmtId="0" fontId="17" fillId="0" borderId="0" xfId="0" applyFont="1" applyAlignment="1">
      <alignment horizontal="center"/>
    </xf>
    <xf numFmtId="38" fontId="16" fillId="0" borderId="0" xfId="0" applyNumberFormat="1" applyFont="1" applyAlignment="1">
      <alignment horizontal="right" indent="2"/>
    </xf>
    <xf numFmtId="0" fontId="18" fillId="0" borderId="0" xfId="0" applyFont="1"/>
    <xf numFmtId="10" fontId="12" fillId="2" borderId="0" xfId="1" applyNumberFormat="1" applyFont="1" applyFill="1"/>
    <xf numFmtId="0" fontId="19" fillId="0" borderId="0" xfId="0" applyFont="1" applyAlignment="1">
      <alignment wrapText="1"/>
    </xf>
    <xf numFmtId="2" fontId="19" fillId="0" borderId="0" xfId="0" applyNumberFormat="1" applyFont="1" applyAlignment="1">
      <alignment horizontal="center" wrapText="1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172" fontId="0" fillId="0" borderId="0" xfId="0" applyNumberFormat="1"/>
    <xf numFmtId="2" fontId="0" fillId="3" borderId="0" xfId="0" applyNumberFormat="1" applyFill="1"/>
    <xf numFmtId="172" fontId="0" fillId="3" borderId="0" xfId="0" applyNumberFormat="1" applyFill="1"/>
    <xf numFmtId="0" fontId="5" fillId="0" borderId="1" xfId="4" applyBorder="1"/>
    <xf numFmtId="0" fontId="5" fillId="0" borderId="0" xfId="4"/>
    <xf numFmtId="0" fontId="5" fillId="0" borderId="1" xfId="4" applyBorder="1" applyAlignment="1">
      <alignment horizontal="center"/>
    </xf>
    <xf numFmtId="0" fontId="5" fillId="0" borderId="0" xfId="4" applyAlignment="1">
      <alignment horizontal="center"/>
    </xf>
    <xf numFmtId="1" fontId="5" fillId="0" borderId="0" xfId="4" applyNumberFormat="1"/>
    <xf numFmtId="0" fontId="0" fillId="0" borderId="0" xfId="0" applyAlignment="1">
      <alignment horizontal="left" indent="3"/>
    </xf>
    <xf numFmtId="0" fontId="21" fillId="4" borderId="0" xfId="0" applyFont="1" applyFill="1" applyAlignment="1">
      <alignment horizontal="right"/>
    </xf>
    <xf numFmtId="0" fontId="0" fillId="0" borderId="0" xfId="0" applyFont="1" applyAlignment="1">
      <alignment horizontal="left" indent="3"/>
    </xf>
    <xf numFmtId="0" fontId="0" fillId="0" borderId="1" xfId="0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0" fontId="0" fillId="0" borderId="0" xfId="1" applyNumberFormat="1" applyFon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0" fillId="0" borderId="0" xfId="0" applyBorder="1"/>
    <xf numFmtId="164" fontId="14" fillId="0" borderId="0" xfId="1" applyNumberFormat="1" applyFont="1" applyAlignment="1">
      <alignment vertical="top"/>
    </xf>
    <xf numFmtId="164" fontId="3" fillId="0" borderId="4" xfId="1" applyNumberFormat="1" applyFont="1" applyFill="1" applyBorder="1" applyAlignment="1">
      <alignment horizontal="center"/>
    </xf>
    <xf numFmtId="0" fontId="0" fillId="0" borderId="0" xfId="0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37" fontId="0" fillId="0" borderId="0" xfId="2" applyNumberFormat="1" applyFont="1" applyFill="1" applyAlignment="1">
      <alignment horizontal="right" indent="1"/>
    </xf>
    <xf numFmtId="37" fontId="0" fillId="0" borderId="0" xfId="2" applyNumberFormat="1" applyFont="1" applyFill="1" applyAlignment="1">
      <alignment horizontal="right" indent="2"/>
    </xf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10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64" fontId="13" fillId="5" borderId="0" xfId="0" applyNumberFormat="1" applyFont="1" applyFill="1" applyAlignment="1">
      <alignment horizontal="center"/>
    </xf>
    <xf numFmtId="0" fontId="6" fillId="0" borderId="0" xfId="0" applyFont="1"/>
    <xf numFmtId="0" fontId="18" fillId="0" borderId="0" xfId="0" applyFont="1"/>
    <xf numFmtId="14" fontId="6" fillId="0" borderId="0" xfId="0" applyNumberFormat="1" applyFont="1"/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3">
    <cellStyle name="_x000a_bidires=100_x000d_" xfId="3" xr:uid="{00000000-0005-0000-0000-000000000000}"/>
    <cellStyle name="Comma" xfId="2" builtinId="3"/>
    <cellStyle name="Comma 2" xfId="6" xr:uid="{00000000-0005-0000-0000-000002000000}"/>
    <cellStyle name="Currency 15" xfId="9" xr:uid="{00000000-0005-0000-0000-000003000000}"/>
    <cellStyle name="Normal" xfId="0" builtinId="0"/>
    <cellStyle name="Normal 2" xfId="4" xr:uid="{00000000-0005-0000-0000-000005000000}"/>
    <cellStyle name="Normal 3" xfId="11" xr:uid="{00000000-0005-0000-0000-000038000000}"/>
    <cellStyle name="Normal 4 2" xfId="8" xr:uid="{00000000-0005-0000-0000-000006000000}"/>
    <cellStyle name="Percent" xfId="1" builtinId="5"/>
    <cellStyle name="Percent 10" xfId="10" xr:uid="{00000000-0005-0000-0000-00000C000000}"/>
    <cellStyle name="Percent 2" xfId="5" xr:uid="{00000000-0005-0000-0000-00000D000000}"/>
    <cellStyle name="Percent 3" xfId="7" xr:uid="{00000000-0005-0000-0000-00000E000000}"/>
    <cellStyle name="Percent 4" xfId="12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'10 ERP Result'!$A$4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Result'!$C$4</c:f>
              <c:numCache>
                <c:formatCode>0.0%</c:formatCode>
                <c:ptCount val="1"/>
                <c:pt idx="0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1"/>
          <c:order val="1"/>
          <c:tx>
            <c:strRef>
              <c:f>'10 ERP Result'!$A$6</c:f>
              <c:strCache>
                <c:ptCount val="1"/>
                <c:pt idx="0">
                  <c:v>Graham &amp; Harvey Survey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1.6533477067208915E-3"/>
                  <c:y val="-9.37858523403898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Graham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Result'!$C$6</c:f>
              <c:numCache>
                <c:formatCode>0.0%</c:formatCode>
                <c:ptCount val="1"/>
                <c:pt idx="0">
                  <c:v>4.4200000000000003E-2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8-417D-8839-F59111CA5FA3}"/>
            </c:ext>
          </c:extLst>
        </c:ser>
        <c:ser>
          <c:idx val="5"/>
          <c:order val="2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Result'!$C$10</c:f>
              <c:numCache>
                <c:formatCode>0.0%</c:formatCode>
                <c:ptCount val="1"/>
                <c:pt idx="0">
                  <c:v>5.6800000000000003E-2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3"/>
          <c:tx>
            <c:strRef>
              <c:f>'10 ERP Result'!$H$4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'10 ERP Result'!$C$8</c:f>
              <c:numCache>
                <c:formatCode>0.0%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4"/>
          <c:tx>
            <c:strRef>
              <c:f>'10 ERP Result'!$A$12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Result'!$C$12</c:f>
              <c:numCache>
                <c:formatCode>0.0%</c:formatCode>
                <c:ptCount val="1"/>
                <c:pt idx="0">
                  <c:v>5.8001866674700607E-2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5"/>
          <c:tx>
            <c:strRef>
              <c:f>'10 ERP Result'!$H$3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6.4737548507571554E-4"/>
                  <c:y val="-2.2475518275098961E-2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Hevert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Result'!$I$3</c:f>
              <c:numCache>
                <c:formatCode>0.00%</c:formatCode>
                <c:ptCount val="1"/>
                <c:pt idx="0">
                  <c:v>0.1348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387372176"/>
        <c:axId val="387371056"/>
      </c:barChart>
      <c:catAx>
        <c:axId val="387372176"/>
        <c:scaling>
          <c:orientation val="minMax"/>
        </c:scaling>
        <c:delete val="1"/>
        <c:axPos val="b"/>
        <c:majorTickMark val="out"/>
        <c:minorTickMark val="none"/>
        <c:tickLblPos val="none"/>
        <c:crossAx val="387371056"/>
        <c:crosses val="autoZero"/>
        <c:auto val="1"/>
        <c:lblAlgn val="ctr"/>
        <c:lblOffset val="100"/>
        <c:noMultiLvlLbl val="0"/>
      </c:catAx>
      <c:valAx>
        <c:axId val="387371056"/>
        <c:scaling>
          <c:orientation val="minMax"/>
          <c:max val="0.16000000000000003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38737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Trends'!$C$8:$C$37</c:f>
              <c:numCache>
                <c:formatCode>0.00%</c:formatCode>
                <c:ptCount val="30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9.64E-2</c:v>
                </c:pt>
                <c:pt idx="29">
                  <c:v>9.64E-2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A04-4A60-97A6-5931EE03F36B}"/>
            </c:ext>
          </c:extLst>
        </c:ser>
        <c:ser>
          <c:idx val="3"/>
          <c:order val="3"/>
          <c:tx>
            <c:v>Risk-free Rate</c:v>
          </c:tx>
          <c:spPr>
            <a:ln w="25400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Trends'!$Q$8:$Q$37</c:f>
              <c:numCache>
                <c:formatCode>0.00%</c:formatCode>
                <c:ptCount val="30"/>
                <c:pt idx="0">
                  <c:v>8.0699999999999994E-2</c:v>
                </c:pt>
                <c:pt idx="1">
                  <c:v>6.7000000000000004E-2</c:v>
                </c:pt>
                <c:pt idx="2">
                  <c:v>6.6799999999999998E-2</c:v>
                </c:pt>
                <c:pt idx="3">
                  <c:v>5.79E-2</c:v>
                </c:pt>
                <c:pt idx="4">
                  <c:v>7.8200000000000006E-2</c:v>
                </c:pt>
                <c:pt idx="5">
                  <c:v>5.57E-2</c:v>
                </c:pt>
                <c:pt idx="6">
                  <c:v>6.4100000000000004E-2</c:v>
                </c:pt>
                <c:pt idx="7">
                  <c:v>5.74E-2</c:v>
                </c:pt>
                <c:pt idx="8">
                  <c:v>4.65E-2</c:v>
                </c:pt>
                <c:pt idx="9">
                  <c:v>6.4399999999999999E-2</c:v>
                </c:pt>
                <c:pt idx="10">
                  <c:v>5.11E-2</c:v>
                </c:pt>
                <c:pt idx="11">
                  <c:v>5.0500000000000003E-2</c:v>
                </c:pt>
                <c:pt idx="12">
                  <c:v>3.8100000000000002E-2</c:v>
                </c:pt>
                <c:pt idx="13">
                  <c:v>4.2500000000000003E-2</c:v>
                </c:pt>
                <c:pt idx="14">
                  <c:v>4.2200000000000001E-2</c:v>
                </c:pt>
                <c:pt idx="15">
                  <c:v>4.3900000000000002E-2</c:v>
                </c:pt>
                <c:pt idx="16">
                  <c:v>4.7E-2</c:v>
                </c:pt>
                <c:pt idx="17">
                  <c:v>4.02E-2</c:v>
                </c:pt>
                <c:pt idx="18">
                  <c:v>2.2100000000000002E-2</c:v>
                </c:pt>
                <c:pt idx="19">
                  <c:v>3.8399999999999997E-2</c:v>
                </c:pt>
                <c:pt idx="20">
                  <c:v>3.2899999999999999E-2</c:v>
                </c:pt>
                <c:pt idx="21">
                  <c:v>1.8800000000000001E-2</c:v>
                </c:pt>
                <c:pt idx="22">
                  <c:v>1.7600000000000001E-2</c:v>
                </c:pt>
                <c:pt idx="23">
                  <c:v>3.04E-2</c:v>
                </c:pt>
                <c:pt idx="24">
                  <c:v>2.1700000000000001E-2</c:v>
                </c:pt>
                <c:pt idx="25">
                  <c:v>2.2700000000000001E-2</c:v>
                </c:pt>
                <c:pt idx="26">
                  <c:v>2.4500000000000001E-2</c:v>
                </c:pt>
                <c:pt idx="27">
                  <c:v>2.41E-2</c:v>
                </c:pt>
                <c:pt idx="28">
                  <c:v>2.6800000000000001E-2</c:v>
                </c:pt>
                <c:pt idx="29">
                  <c:v>1.9199999999999998E-2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04-4A60-97A6-5931EE03F36B}"/>
            </c:ext>
          </c:extLst>
        </c:ser>
        <c:ser>
          <c:idx val="4"/>
          <c:order val="4"/>
          <c:tx>
            <c:v>Equity Risk Premium</c:v>
          </c:tx>
          <c:spPr>
            <a:ln w="254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Trends'!$S$8:$S$37</c:f>
              <c:numCache>
                <c:formatCode>0.00%</c:formatCode>
                <c:ptCount val="30"/>
                <c:pt idx="0">
                  <c:v>3.8899999999999997E-2</c:v>
                </c:pt>
                <c:pt idx="1">
                  <c:v>3.4799999999999998E-2</c:v>
                </c:pt>
                <c:pt idx="2">
                  <c:v>3.5499999999999997E-2</c:v>
                </c:pt>
                <c:pt idx="3">
                  <c:v>3.1699999999999999E-2</c:v>
                </c:pt>
                <c:pt idx="4">
                  <c:v>3.5499999999999997E-2</c:v>
                </c:pt>
                <c:pt idx="5">
                  <c:v>3.2899999999999999E-2</c:v>
                </c:pt>
                <c:pt idx="6">
                  <c:v>3.2000000000000001E-2</c:v>
                </c:pt>
                <c:pt idx="7">
                  <c:v>2.7300000000000001E-2</c:v>
                </c:pt>
                <c:pt idx="8">
                  <c:v>2.2599999999999999E-2</c:v>
                </c:pt>
                <c:pt idx="9">
                  <c:v>2.0500000000000001E-2</c:v>
                </c:pt>
                <c:pt idx="10">
                  <c:v>2.87E-2</c:v>
                </c:pt>
                <c:pt idx="11">
                  <c:v>3.6200000000000003E-2</c:v>
                </c:pt>
                <c:pt idx="12">
                  <c:v>4.1000000000000002E-2</c:v>
                </c:pt>
                <c:pt idx="13">
                  <c:v>3.6900000000000002E-2</c:v>
                </c:pt>
                <c:pt idx="14">
                  <c:v>3.6499999999999998E-2</c:v>
                </c:pt>
                <c:pt idx="15">
                  <c:v>4.0800000000000003E-2</c:v>
                </c:pt>
                <c:pt idx="16">
                  <c:v>4.1599999999999998E-2</c:v>
                </c:pt>
                <c:pt idx="17">
                  <c:v>4.3700000000000003E-2</c:v>
                </c:pt>
                <c:pt idx="18">
                  <c:v>6.4299999999999996E-2</c:v>
                </c:pt>
                <c:pt idx="19">
                  <c:v>4.36E-2</c:v>
                </c:pt>
                <c:pt idx="20">
                  <c:v>5.1999999999999998E-2</c:v>
                </c:pt>
                <c:pt idx="21">
                  <c:v>6.0100000000000001E-2</c:v>
                </c:pt>
                <c:pt idx="22">
                  <c:v>5.7799999999999997E-2</c:v>
                </c:pt>
                <c:pt idx="23">
                  <c:v>4.9599999999999998E-2</c:v>
                </c:pt>
                <c:pt idx="24">
                  <c:v>5.7799999999999997E-2</c:v>
                </c:pt>
                <c:pt idx="25">
                  <c:v>6.1199999999999997E-2</c:v>
                </c:pt>
                <c:pt idx="26">
                  <c:v>5.6899999999999999E-2</c:v>
                </c:pt>
                <c:pt idx="27">
                  <c:v>5.0799999999999998E-2</c:v>
                </c:pt>
                <c:pt idx="28">
                  <c:v>5.96E-2</c:v>
                </c:pt>
                <c:pt idx="29">
                  <c:v>5.1999999999999998E-2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04-4A60-97A6-5931EE03F36B}"/>
            </c:ext>
          </c:extLst>
        </c:ser>
        <c:ser>
          <c:idx val="5"/>
          <c:order val="5"/>
          <c:tx>
            <c:v>Market Cost of Equity</c:v>
          </c:tx>
          <c:spPr>
            <a:ln w="254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'14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'14 Historic Trends'!$U$8:$U$37</c:f>
              <c:numCache>
                <c:formatCode>0.00%</c:formatCode>
                <c:ptCount val="30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04-4A60-97A6-5931EE03F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Trends'!$A$8:$A$39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Trends'!$G$8:$G$37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  <c:pt idx="28">
                        <c:v>9.6199999999999994E-2</c:v>
                      </c:pt>
                      <c:pt idx="29">
                        <c:v>9.6699999999999994E-2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DA04-4A60-97A6-5931EE03F36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  <c:pt idx="28">
                        <c:v>-4.2299999999999997E-2</c:v>
                      </c:pt>
                      <c:pt idx="29">
                        <c:v>0.31219999999999998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A04-4A60-97A6-5931EE03F36B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  <c:pt idx="28">
                        <c:v>9.6317460317460329E-2</c:v>
                      </c:pt>
                      <c:pt idx="29">
                        <c:v>9.6486170212765954E-2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A04-4A60-97A6-5931EE03F36B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Avg. Awarded Gas ROE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xVal>
          <c:yVal>
            <c:numRef>
              <c:f>'14 Historic Trends'!$G$8:$G$37</c:f>
              <c:numCache>
                <c:formatCode>0.00%</c:formatCode>
                <c:ptCount val="30"/>
                <c:pt idx="0">
                  <c:v>0.1268</c:v>
                </c:pt>
                <c:pt idx="1">
                  <c:v>0.1245</c:v>
                </c:pt>
                <c:pt idx="2">
                  <c:v>0.1202</c:v>
                </c:pt>
                <c:pt idx="3">
                  <c:v>0.1137</c:v>
                </c:pt>
                <c:pt idx="4">
                  <c:v>0.1124</c:v>
                </c:pt>
                <c:pt idx="5">
                  <c:v>0.1144</c:v>
                </c:pt>
                <c:pt idx="6">
                  <c:v>0.11119999999999999</c:v>
                </c:pt>
                <c:pt idx="7">
                  <c:v>0.113</c:v>
                </c:pt>
                <c:pt idx="8">
                  <c:v>0.11509999999999999</c:v>
                </c:pt>
                <c:pt idx="9">
                  <c:v>0.1074</c:v>
                </c:pt>
                <c:pt idx="10">
                  <c:v>0.1134</c:v>
                </c:pt>
                <c:pt idx="11">
                  <c:v>0.1096</c:v>
                </c:pt>
                <c:pt idx="12">
                  <c:v>0.11169999999999999</c:v>
                </c:pt>
                <c:pt idx="13">
                  <c:v>0.1099</c:v>
                </c:pt>
                <c:pt idx="14">
                  <c:v>0.10630000000000001</c:v>
                </c:pt>
                <c:pt idx="15">
                  <c:v>0.1041</c:v>
                </c:pt>
                <c:pt idx="16">
                  <c:v>0.10400000000000001</c:v>
                </c:pt>
                <c:pt idx="17">
                  <c:v>0.10220000000000001</c:v>
                </c:pt>
                <c:pt idx="18">
                  <c:v>0.10390000000000001</c:v>
                </c:pt>
                <c:pt idx="19">
                  <c:v>0.10220000000000001</c:v>
                </c:pt>
                <c:pt idx="20">
                  <c:v>0.10150000000000001</c:v>
                </c:pt>
                <c:pt idx="21">
                  <c:v>9.9199999999999997E-2</c:v>
                </c:pt>
                <c:pt idx="22">
                  <c:v>9.9399999999999988E-2</c:v>
                </c:pt>
                <c:pt idx="23">
                  <c:v>9.6799999999999997E-2</c:v>
                </c:pt>
                <c:pt idx="24">
                  <c:v>9.7799999999999998E-2</c:v>
                </c:pt>
                <c:pt idx="25">
                  <c:v>9.6000000000000002E-2</c:v>
                </c:pt>
                <c:pt idx="26">
                  <c:v>9.5399999999999985E-2</c:v>
                </c:pt>
                <c:pt idx="27">
                  <c:v>9.7200000000000009E-2</c:v>
                </c:pt>
                <c:pt idx="28">
                  <c:v>9.6199999999999994E-2</c:v>
                </c:pt>
                <c:pt idx="29">
                  <c:v>9.6699999999999994E-2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9761-4E4E-9949-8CA7E9C1B388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'14 Historic Trends'!$A$8:$A$37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xVal>
          <c:yVal>
            <c:numRef>
              <c:f>'14 Historic Trends'!$U$8:$U$37</c:f>
              <c:numCache>
                <c:formatCode>0.00%</c:formatCode>
                <c:ptCount val="30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1-4E4E-9949-8CA7E9C1B388}"/>
            </c:ext>
          </c:extLst>
        </c:ser>
        <c:ser>
          <c:idx val="7"/>
          <c:order val="7"/>
          <c:tx>
            <c:strRef>
              <c:f>'14 Historic Trends'!$AH$29</c:f>
              <c:strCache>
                <c:ptCount val="1"/>
                <c:pt idx="0">
                  <c:v>Company Cost of Equity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3.5350186489846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61-4E4E-9949-8CA7E9C1B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Trends'!$A$38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'14 Historic Trends'!$AH$30</c:f>
              <c:numCache>
                <c:formatCode>0.0%</c:formatCode>
                <c:ptCount val="1"/>
                <c:pt idx="0">
                  <c:v>6.8944188432955744E-2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1-4E4E-9949-8CA7E9C1B388}"/>
            </c:ext>
          </c:extLst>
        </c:ser>
        <c:ser>
          <c:idx val="8"/>
          <c:order val="8"/>
          <c:tx>
            <c:strRef>
              <c:f>'14 Historic Trends'!$AH$32</c:f>
              <c:strCache>
                <c:ptCount val="1"/>
                <c:pt idx="0">
                  <c:v>Company Proposed ROE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square"/>
              <c:size val="8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9761-4E4E-9949-8CA7E9C1B388}"/>
              </c:ext>
            </c:extLst>
          </c:dPt>
          <c:dLbls>
            <c:dLbl>
              <c:idx val="0"/>
              <c:layout>
                <c:manualLayout>
                  <c:x val="-5.7135069553363544E-3"/>
                  <c:y val="-3.48252521066448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61-4E4E-9949-8CA7E9C1B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Trends'!$A$38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'14 Historic Trends'!$AH$33</c:f>
              <c:numCache>
                <c:formatCode>0.00%</c:formatCode>
                <c:ptCount val="1"/>
                <c:pt idx="0">
                  <c:v>0.1075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61-4E4E-9949-8CA7E9C1B388}"/>
            </c:ext>
          </c:extLst>
        </c:ser>
        <c:ser>
          <c:idx val="9"/>
          <c:order val="9"/>
          <c:tx>
            <c:strRef>
              <c:f>'14 Historic Trends'!$AH$35</c:f>
              <c:strCache>
                <c:ptCount val="1"/>
                <c:pt idx="0">
                  <c:v>My Gradual ROE Proposal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2.6246719160104988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61-4E4E-9949-8CA7E9C1B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'14 Historic Trends'!$A$38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'14 Historic Trends'!$AH$37</c:f>
              <c:numCache>
                <c:formatCode>0.00%</c:formatCode>
                <c:ptCount val="1"/>
                <c:pt idx="0">
                  <c:v>9.5000000000000001E-2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61-4E4E-9949-8CA7E9C1B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Avg. Awarded Electric ROE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Trends'!$A$8:$A$39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Trends'!$C$8:$C$37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0.127</c:v>
                      </c:pt>
                      <c:pt idx="1">
                        <c:v>0.12539999999999998</c:v>
                      </c:pt>
                      <c:pt idx="2">
                        <c:v>0.12089999999999999</c:v>
                      </c:pt>
                      <c:pt idx="3">
                        <c:v>0.11460000000000001</c:v>
                      </c:pt>
                      <c:pt idx="4">
                        <c:v>0.11210000000000001</c:v>
                      </c:pt>
                      <c:pt idx="5">
                        <c:v>0.1158</c:v>
                      </c:pt>
                      <c:pt idx="6">
                        <c:v>0.114</c:v>
                      </c:pt>
                      <c:pt idx="7">
                        <c:v>0.1133</c:v>
                      </c:pt>
                      <c:pt idx="8">
                        <c:v>0.1177</c:v>
                      </c:pt>
                      <c:pt idx="9">
                        <c:v>0.1072</c:v>
                      </c:pt>
                      <c:pt idx="10">
                        <c:v>0.1158</c:v>
                      </c:pt>
                      <c:pt idx="11">
                        <c:v>0.11070000000000001</c:v>
                      </c:pt>
                      <c:pt idx="12">
                        <c:v>0.11210000000000001</c:v>
                      </c:pt>
                      <c:pt idx="13">
                        <c:v>0.1096</c:v>
                      </c:pt>
                      <c:pt idx="14">
                        <c:v>0.1081</c:v>
                      </c:pt>
                      <c:pt idx="15">
                        <c:v>0.1051</c:v>
                      </c:pt>
                      <c:pt idx="16">
                        <c:v>0.1032</c:v>
                      </c:pt>
                      <c:pt idx="17">
                        <c:v>0.10300000000000001</c:v>
                      </c:pt>
                      <c:pt idx="18">
                        <c:v>0.1041</c:v>
                      </c:pt>
                      <c:pt idx="19">
                        <c:v>0.1052</c:v>
                      </c:pt>
                      <c:pt idx="20">
                        <c:v>0.10369999999999999</c:v>
                      </c:pt>
                      <c:pt idx="21">
                        <c:v>0.10289999999999999</c:v>
                      </c:pt>
                      <c:pt idx="22">
                        <c:v>0.1017</c:v>
                      </c:pt>
                      <c:pt idx="23">
                        <c:v>0.1003</c:v>
                      </c:pt>
                      <c:pt idx="24">
                        <c:v>9.9100000000000008E-2</c:v>
                      </c:pt>
                      <c:pt idx="25">
                        <c:v>9.849999999999999E-2</c:v>
                      </c:pt>
                      <c:pt idx="26">
                        <c:v>9.7699999999999995E-2</c:v>
                      </c:pt>
                      <c:pt idx="27">
                        <c:v>9.74E-2</c:v>
                      </c:pt>
                      <c:pt idx="28">
                        <c:v>9.64E-2</c:v>
                      </c:pt>
                      <c:pt idx="29">
                        <c:v>9.64E-2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9761-4E4E-9949-8CA7E9C1B38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761-4E4E-9949-8CA7E9C1B38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761-4E4E-9949-8CA7E9C1B388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761-4E4E-9949-8CA7E9C1B388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761-4E4E-9949-8CA7E9C1B388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5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Authorized Gas ROE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Trends'!$A$8:$A$38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2019</c:v>
                </c:pt>
              </c:numCache>
            </c:numRef>
          </c:xVal>
          <c:yVal>
            <c:numRef>
              <c:f>'14 Historic Trends'!$G$8:$G$37</c:f>
              <c:numCache>
                <c:formatCode>0.00%</c:formatCode>
                <c:ptCount val="30"/>
                <c:pt idx="0">
                  <c:v>0.1268</c:v>
                </c:pt>
                <c:pt idx="1">
                  <c:v>0.1245</c:v>
                </c:pt>
                <c:pt idx="2">
                  <c:v>0.1202</c:v>
                </c:pt>
                <c:pt idx="3">
                  <c:v>0.1137</c:v>
                </c:pt>
                <c:pt idx="4">
                  <c:v>0.1124</c:v>
                </c:pt>
                <c:pt idx="5">
                  <c:v>0.1144</c:v>
                </c:pt>
                <c:pt idx="6">
                  <c:v>0.11119999999999999</c:v>
                </c:pt>
                <c:pt idx="7">
                  <c:v>0.113</c:v>
                </c:pt>
                <c:pt idx="8">
                  <c:v>0.11509999999999999</c:v>
                </c:pt>
                <c:pt idx="9">
                  <c:v>0.1074</c:v>
                </c:pt>
                <c:pt idx="10">
                  <c:v>0.1134</c:v>
                </c:pt>
                <c:pt idx="11">
                  <c:v>0.1096</c:v>
                </c:pt>
                <c:pt idx="12">
                  <c:v>0.11169999999999999</c:v>
                </c:pt>
                <c:pt idx="13">
                  <c:v>0.1099</c:v>
                </c:pt>
                <c:pt idx="14">
                  <c:v>0.10630000000000001</c:v>
                </c:pt>
                <c:pt idx="15">
                  <c:v>0.1041</c:v>
                </c:pt>
                <c:pt idx="16">
                  <c:v>0.10400000000000001</c:v>
                </c:pt>
                <c:pt idx="17">
                  <c:v>0.10220000000000001</c:v>
                </c:pt>
                <c:pt idx="18">
                  <c:v>0.10390000000000001</c:v>
                </c:pt>
                <c:pt idx="19">
                  <c:v>0.10220000000000001</c:v>
                </c:pt>
                <c:pt idx="20">
                  <c:v>0.10150000000000001</c:v>
                </c:pt>
                <c:pt idx="21">
                  <c:v>9.9199999999999997E-2</c:v>
                </c:pt>
                <c:pt idx="22">
                  <c:v>9.9399999999999988E-2</c:v>
                </c:pt>
                <c:pt idx="23">
                  <c:v>9.6799999999999997E-2</c:v>
                </c:pt>
                <c:pt idx="24">
                  <c:v>9.7799999999999998E-2</c:v>
                </c:pt>
                <c:pt idx="25">
                  <c:v>9.6000000000000002E-2</c:v>
                </c:pt>
                <c:pt idx="26">
                  <c:v>9.5399999999999985E-2</c:v>
                </c:pt>
                <c:pt idx="27">
                  <c:v>9.7200000000000009E-2</c:v>
                </c:pt>
                <c:pt idx="28">
                  <c:v>9.6199999999999994E-2</c:v>
                </c:pt>
                <c:pt idx="29">
                  <c:v>9.6699999999999994E-2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EF1-4149-B265-50C40EDF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Authorized Electric ROE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Trends'!$A$8:$A$37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Trends'!$C$8:$C$37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0.127</c:v>
                      </c:pt>
                      <c:pt idx="1">
                        <c:v>0.12539999999999998</c:v>
                      </c:pt>
                      <c:pt idx="2">
                        <c:v>0.12089999999999999</c:v>
                      </c:pt>
                      <c:pt idx="3">
                        <c:v>0.11460000000000001</c:v>
                      </c:pt>
                      <c:pt idx="4">
                        <c:v>0.11210000000000001</c:v>
                      </c:pt>
                      <c:pt idx="5">
                        <c:v>0.1158</c:v>
                      </c:pt>
                      <c:pt idx="6">
                        <c:v>0.114</c:v>
                      </c:pt>
                      <c:pt idx="7">
                        <c:v>0.1133</c:v>
                      </c:pt>
                      <c:pt idx="8">
                        <c:v>0.1177</c:v>
                      </c:pt>
                      <c:pt idx="9">
                        <c:v>0.1072</c:v>
                      </c:pt>
                      <c:pt idx="10">
                        <c:v>0.1158</c:v>
                      </c:pt>
                      <c:pt idx="11">
                        <c:v>0.11070000000000001</c:v>
                      </c:pt>
                      <c:pt idx="12">
                        <c:v>0.11210000000000001</c:v>
                      </c:pt>
                      <c:pt idx="13">
                        <c:v>0.1096</c:v>
                      </c:pt>
                      <c:pt idx="14">
                        <c:v>0.1081</c:v>
                      </c:pt>
                      <c:pt idx="15">
                        <c:v>0.1051</c:v>
                      </c:pt>
                      <c:pt idx="16">
                        <c:v>0.1032</c:v>
                      </c:pt>
                      <c:pt idx="17">
                        <c:v>0.10300000000000001</c:v>
                      </c:pt>
                      <c:pt idx="18">
                        <c:v>0.1041</c:v>
                      </c:pt>
                      <c:pt idx="19">
                        <c:v>0.1052</c:v>
                      </c:pt>
                      <c:pt idx="20">
                        <c:v>0.10369999999999999</c:v>
                      </c:pt>
                      <c:pt idx="21">
                        <c:v>0.10289999999999999</c:v>
                      </c:pt>
                      <c:pt idx="22">
                        <c:v>0.1017</c:v>
                      </c:pt>
                      <c:pt idx="23">
                        <c:v>0.1003</c:v>
                      </c:pt>
                      <c:pt idx="24">
                        <c:v>9.9100000000000008E-2</c:v>
                      </c:pt>
                      <c:pt idx="25">
                        <c:v>9.849999999999999E-2</c:v>
                      </c:pt>
                      <c:pt idx="26">
                        <c:v>9.7699999999999995E-2</c:v>
                      </c:pt>
                      <c:pt idx="27">
                        <c:v>9.74E-2</c:v>
                      </c:pt>
                      <c:pt idx="28">
                        <c:v>9.64E-2</c:v>
                      </c:pt>
                      <c:pt idx="29">
                        <c:v>9.64E-2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AEF1-4149-B265-50C40EDF7226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EF1-4149-B265-50C40EDF722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EF1-4149-B265-50C40EDF7226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EF1-4149-B265-50C40EDF7226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Market Cost of Equity</c:v>
                </c:tx>
                <c:spPr>
                  <a:ln w="317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Trends'!$U$8:$U$35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0.11959999999999998</c:v>
                      </c:pt>
                      <c:pt idx="1">
                        <c:v>0.1018</c:v>
                      </c:pt>
                      <c:pt idx="2">
                        <c:v>0.1023</c:v>
                      </c:pt>
                      <c:pt idx="3">
                        <c:v>8.9599999999999999E-2</c:v>
                      </c:pt>
                      <c:pt idx="4">
                        <c:v>0.1137</c:v>
                      </c:pt>
                      <c:pt idx="5">
                        <c:v>8.8599999999999998E-2</c:v>
                      </c:pt>
                      <c:pt idx="6">
                        <c:v>9.6100000000000005E-2</c:v>
                      </c:pt>
                      <c:pt idx="7">
                        <c:v>8.4699999999999998E-2</c:v>
                      </c:pt>
                      <c:pt idx="8">
                        <c:v>6.9099999999999995E-2</c:v>
                      </c:pt>
                      <c:pt idx="9">
                        <c:v>8.4900000000000003E-2</c:v>
                      </c:pt>
                      <c:pt idx="10">
                        <c:v>7.9799999999999996E-2</c:v>
                      </c:pt>
                      <c:pt idx="11">
                        <c:v>8.6699999999999999E-2</c:v>
                      </c:pt>
                      <c:pt idx="12">
                        <c:v>7.9100000000000004E-2</c:v>
                      </c:pt>
                      <c:pt idx="13">
                        <c:v>7.9399999999999998E-2</c:v>
                      </c:pt>
                      <c:pt idx="14">
                        <c:v>7.8699999999999992E-2</c:v>
                      </c:pt>
                      <c:pt idx="15">
                        <c:v>8.4699999999999998E-2</c:v>
                      </c:pt>
                      <c:pt idx="16">
                        <c:v>8.8599999999999998E-2</c:v>
                      </c:pt>
                      <c:pt idx="17">
                        <c:v>8.3900000000000002E-2</c:v>
                      </c:pt>
                      <c:pt idx="18">
                        <c:v>8.6400000000000005E-2</c:v>
                      </c:pt>
                      <c:pt idx="19">
                        <c:v>8.199999999999999E-2</c:v>
                      </c:pt>
                      <c:pt idx="20">
                        <c:v>8.4900000000000003E-2</c:v>
                      </c:pt>
                      <c:pt idx="21">
                        <c:v>7.8899999999999998E-2</c:v>
                      </c:pt>
                      <c:pt idx="22">
                        <c:v>7.5399999999999995E-2</c:v>
                      </c:pt>
                      <c:pt idx="23">
                        <c:v>0.08</c:v>
                      </c:pt>
                      <c:pt idx="24">
                        <c:v>7.9500000000000001E-2</c:v>
                      </c:pt>
                      <c:pt idx="25">
                        <c:v>8.3900000000000002E-2</c:v>
                      </c:pt>
                      <c:pt idx="26">
                        <c:v>8.14E-2</c:v>
                      </c:pt>
                      <c:pt idx="27">
                        <c:v>7.4899999999999994E-2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EF1-4149-B265-50C40EDF722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EF1-4149-B265-50C40EDF7226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AEF1-4149-B265-50C40EDF722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6.8944188432955744E-2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EF1-4149-B265-50C40EDF7226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AEF1-4149-B265-50C40EDF7226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AEF1-4149-B265-50C40EDF722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Trends'!$AH$33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0.1075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EF1-4149-B265-50C40EDF7226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AEF1-4149-B265-50C40EDF722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Trends'!$AH$37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9.5000000000000001E-2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EF1-4149-B265-50C40EDF7226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Trends'!$Q$5:$Q$6</c15:sqref>
                        </c15:formulaRef>
                      </c:ext>
                    </c:extLst>
                    <c:strCache>
                      <c:ptCount val="2"/>
                      <c:pt idx="0">
                        <c:v>T-Bond</c:v>
                      </c:pt>
                      <c:pt idx="1">
                        <c:v>Rate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Trends'!$A$8:$A$37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  <c:pt idx="28">
                        <c:v>2.6800000000000001E-2</c:v>
                      </c:pt>
                      <c:pt idx="29">
                        <c:v>1.9199999999999998E-2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EF1-4149-B265-50C40EDF7226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Authorized Gas ROE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'14 Historic Trends'!$A$8:$A$38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2019</c:v>
                </c:pt>
              </c:numCache>
            </c:numRef>
          </c:xVal>
          <c:yVal>
            <c:numRef>
              <c:f>'14 Historic Trends'!$G$8:$G$37</c:f>
              <c:numCache>
                <c:formatCode>0.00%</c:formatCode>
                <c:ptCount val="30"/>
                <c:pt idx="0">
                  <c:v>0.1268</c:v>
                </c:pt>
                <c:pt idx="1">
                  <c:v>0.1245</c:v>
                </c:pt>
                <c:pt idx="2">
                  <c:v>0.1202</c:v>
                </c:pt>
                <c:pt idx="3">
                  <c:v>0.1137</c:v>
                </c:pt>
                <c:pt idx="4">
                  <c:v>0.1124</c:v>
                </c:pt>
                <c:pt idx="5">
                  <c:v>0.1144</c:v>
                </c:pt>
                <c:pt idx="6">
                  <c:v>0.11119999999999999</c:v>
                </c:pt>
                <c:pt idx="7">
                  <c:v>0.113</c:v>
                </c:pt>
                <c:pt idx="8">
                  <c:v>0.11509999999999999</c:v>
                </c:pt>
                <c:pt idx="9">
                  <c:v>0.1074</c:v>
                </c:pt>
                <c:pt idx="10">
                  <c:v>0.1134</c:v>
                </c:pt>
                <c:pt idx="11">
                  <c:v>0.1096</c:v>
                </c:pt>
                <c:pt idx="12">
                  <c:v>0.11169999999999999</c:v>
                </c:pt>
                <c:pt idx="13">
                  <c:v>0.1099</c:v>
                </c:pt>
                <c:pt idx="14">
                  <c:v>0.10630000000000001</c:v>
                </c:pt>
                <c:pt idx="15">
                  <c:v>0.1041</c:v>
                </c:pt>
                <c:pt idx="16">
                  <c:v>0.10400000000000001</c:v>
                </c:pt>
                <c:pt idx="17">
                  <c:v>0.10220000000000001</c:v>
                </c:pt>
                <c:pt idx="18">
                  <c:v>0.10390000000000001</c:v>
                </c:pt>
                <c:pt idx="19">
                  <c:v>0.10220000000000001</c:v>
                </c:pt>
                <c:pt idx="20">
                  <c:v>0.10150000000000001</c:v>
                </c:pt>
                <c:pt idx="21">
                  <c:v>9.9199999999999997E-2</c:v>
                </c:pt>
                <c:pt idx="22">
                  <c:v>9.9399999999999988E-2</c:v>
                </c:pt>
                <c:pt idx="23">
                  <c:v>9.6799999999999997E-2</c:v>
                </c:pt>
                <c:pt idx="24">
                  <c:v>9.7799999999999998E-2</c:v>
                </c:pt>
                <c:pt idx="25">
                  <c:v>9.6000000000000002E-2</c:v>
                </c:pt>
                <c:pt idx="26">
                  <c:v>9.5399999999999985E-2</c:v>
                </c:pt>
                <c:pt idx="27">
                  <c:v>9.7200000000000009E-2</c:v>
                </c:pt>
                <c:pt idx="28">
                  <c:v>9.6199999999999994E-2</c:v>
                </c:pt>
                <c:pt idx="29">
                  <c:v>9.6699999999999994E-2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79D-42CD-8116-787F6B5E6600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'14 Historic Trends'!$A$8:$A$38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2019</c:v>
                </c:pt>
              </c:numCache>
            </c:numRef>
          </c:xVal>
          <c:yVal>
            <c:numRef>
              <c:f>'14 Historic Trends'!$U$8:$U$37</c:f>
              <c:numCache>
                <c:formatCode>0.00%</c:formatCode>
                <c:ptCount val="30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  <c:pt idx="29">
                  <c:v>7.1199999999999999E-2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9D-42CD-8116-787F6B5E6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Authorized Electric ROE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'14 Historic Trends'!$A$8:$A$37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'14 Historic Trends'!$C$8:$C$37</c15:sqref>
                        </c15:formulaRef>
                      </c:ext>
                    </c:extLst>
                    <c:numCache>
                      <c:formatCode>0.00%</c:formatCode>
                      <c:ptCount val="30"/>
                      <c:pt idx="0">
                        <c:v>0.127</c:v>
                      </c:pt>
                      <c:pt idx="1">
                        <c:v>0.12539999999999998</c:v>
                      </c:pt>
                      <c:pt idx="2">
                        <c:v>0.12089999999999999</c:v>
                      </c:pt>
                      <c:pt idx="3">
                        <c:v>0.11460000000000001</c:v>
                      </c:pt>
                      <c:pt idx="4">
                        <c:v>0.11210000000000001</c:v>
                      </c:pt>
                      <c:pt idx="5">
                        <c:v>0.1158</c:v>
                      </c:pt>
                      <c:pt idx="6">
                        <c:v>0.114</c:v>
                      </c:pt>
                      <c:pt idx="7">
                        <c:v>0.1133</c:v>
                      </c:pt>
                      <c:pt idx="8">
                        <c:v>0.1177</c:v>
                      </c:pt>
                      <c:pt idx="9">
                        <c:v>0.1072</c:v>
                      </c:pt>
                      <c:pt idx="10">
                        <c:v>0.1158</c:v>
                      </c:pt>
                      <c:pt idx="11">
                        <c:v>0.11070000000000001</c:v>
                      </c:pt>
                      <c:pt idx="12">
                        <c:v>0.11210000000000001</c:v>
                      </c:pt>
                      <c:pt idx="13">
                        <c:v>0.1096</c:v>
                      </c:pt>
                      <c:pt idx="14">
                        <c:v>0.1081</c:v>
                      </c:pt>
                      <c:pt idx="15">
                        <c:v>0.1051</c:v>
                      </c:pt>
                      <c:pt idx="16">
                        <c:v>0.1032</c:v>
                      </c:pt>
                      <c:pt idx="17">
                        <c:v>0.10300000000000001</c:v>
                      </c:pt>
                      <c:pt idx="18">
                        <c:v>0.1041</c:v>
                      </c:pt>
                      <c:pt idx="19">
                        <c:v>0.1052</c:v>
                      </c:pt>
                      <c:pt idx="20">
                        <c:v>0.10369999999999999</c:v>
                      </c:pt>
                      <c:pt idx="21">
                        <c:v>0.10289999999999999</c:v>
                      </c:pt>
                      <c:pt idx="22">
                        <c:v>0.1017</c:v>
                      </c:pt>
                      <c:pt idx="23">
                        <c:v>0.1003</c:v>
                      </c:pt>
                      <c:pt idx="24">
                        <c:v>9.9100000000000008E-2</c:v>
                      </c:pt>
                      <c:pt idx="25">
                        <c:v>9.849999999999999E-2</c:v>
                      </c:pt>
                      <c:pt idx="26">
                        <c:v>9.7699999999999995E-2</c:v>
                      </c:pt>
                      <c:pt idx="27">
                        <c:v>9.74E-2</c:v>
                      </c:pt>
                      <c:pt idx="28">
                        <c:v>9.64E-2</c:v>
                      </c:pt>
                      <c:pt idx="29">
                        <c:v>9.64E-2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979D-42CD-8116-787F6B5E6600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0.21609999999999999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79D-42CD-8116-787F6B5E6600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79D-42CD-8116-787F6B5E6600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79D-42CD-8116-787F6B5E6600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79D-42CD-8116-787F6B5E6600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979D-42CD-8116-787F6B5E660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6.8944188432955744E-2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79D-42CD-8116-787F6B5E6600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979D-42CD-8116-787F6B5E6600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979D-42CD-8116-787F6B5E660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Trends'!$AH$33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0.1075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79D-42CD-8116-787F6B5E6600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979D-42CD-8116-787F6B5E660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'14 Historic Trends'!$AH$37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9.5000000000000001E-2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79D-42CD-8116-787F6B5E6600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13-4D11-94F5-D47881D9C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3-4D11-94F5-D47881D9CCD3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Restaurants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3-4D11-94F5-D47881D9C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3-4D11-94F5-D47881D9CCD3}"/>
            </c:ext>
          </c:extLst>
        </c:ser>
        <c:ser>
          <c:idx val="3"/>
          <c:order val="2"/>
          <c:tx>
            <c:strRef>
              <c:f>'Fig Industry Betas'!$A$7</c:f>
              <c:strCache>
                <c:ptCount val="1"/>
                <c:pt idx="0">
                  <c:v>Hotels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3-4D11-94F5-D47881D9CCD3}"/>
            </c:ext>
          </c:extLst>
        </c:ser>
        <c:ser>
          <c:idx val="7"/>
          <c:order val="3"/>
          <c:tx>
            <c:strRef>
              <c:f>'Fig Industry Betas'!$A$8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3-4D11-94F5-D47881D9CCD3}"/>
            </c:ext>
          </c:extLst>
        </c:ser>
        <c:ser>
          <c:idx val="8"/>
          <c:order val="4"/>
          <c:tx>
            <c:strRef>
              <c:f>'Fig Industry Betas'!$A$9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3-4D11-94F5-D47881D9CC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390906992"/>
        <c:axId val="390907552"/>
      </c:barChart>
      <c:catAx>
        <c:axId val="39090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90907552"/>
        <c:crosses val="autoZero"/>
        <c:auto val="1"/>
        <c:lblAlgn val="ctr"/>
        <c:lblOffset val="100"/>
        <c:noMultiLvlLbl val="0"/>
      </c:catAx>
      <c:valAx>
        <c:axId val="39090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0.85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1.4126666666666664E-2</c:v>
                </c:pt>
                <c:pt idx="1">
                  <c:v>4.4126666666666661E-2</c:v>
                </c:pt>
                <c:pt idx="2">
                  <c:v>6.5126666666666666E-2</c:v>
                </c:pt>
                <c:pt idx="3">
                  <c:v>7.412666666666666E-2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0.85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6.5126666666666666E-2</c:v>
                </c:pt>
                <c:pt idx="1">
                  <c:v>6.5126666666666666E-2</c:v>
                </c:pt>
                <c:pt idx="2">
                  <c:v>6.5126666666666666E-2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0.85</c:v>
                </c:pt>
                <c:pt idx="1">
                  <c:v>0.85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6.5126666666666666E-2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1472"/>
        <c:axId val="390912032"/>
      </c:scatterChart>
      <c:valAx>
        <c:axId val="39091147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90912032"/>
        <c:crosses val="autoZero"/>
        <c:crossBetween val="midCat"/>
        <c:majorUnit val="0.85000000000000009"/>
      </c:valAx>
      <c:valAx>
        <c:axId val="390912032"/>
        <c:scaling>
          <c:orientation val="minMax"/>
          <c:max val="9.0000000000000024E-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390911472"/>
        <c:crosses val="autoZero"/>
        <c:crossBetween val="midCat"/>
        <c:majorUnit val="6.5000000000000016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5840"/>
        <c:axId val="393156048"/>
      </c:scatterChart>
      <c:valAx>
        <c:axId val="391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3156048"/>
        <c:crosses val="autoZero"/>
        <c:crossBetween val="midCat"/>
      </c:valAx>
      <c:valAx>
        <c:axId val="3931560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39102584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12400"/>
        <c:axId val="390312960"/>
      </c:scatterChart>
      <c:valAx>
        <c:axId val="3903124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0312960"/>
        <c:crosses val="autoZero"/>
        <c:crossBetween val="midCat"/>
        <c:majorUnit val="10"/>
      </c:valAx>
      <c:valAx>
        <c:axId val="390312960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3903124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5</xdr:row>
      <xdr:rowOff>10583</xdr:rowOff>
    </xdr:from>
    <xdr:to>
      <xdr:col>23</xdr:col>
      <xdr:colOff>239183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0.53046</cdr:x>
      <cdr:y>0.54645</cdr:y>
    </cdr:from>
    <cdr:to>
      <cdr:x>0.65177</cdr:x>
      <cdr:y>0.62837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4174634" y="1862217"/>
          <a:ext cx="954682" cy="279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Duff &amp; Phelps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8</xdr:row>
      <xdr:rowOff>23813</xdr:rowOff>
    </xdr:from>
    <xdr:to>
      <xdr:col>32</xdr:col>
      <xdr:colOff>9525</xdr:colOff>
      <xdr:row>25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23DD33-D35F-4C99-9D44-19F6D4F55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581026</xdr:colOff>
      <xdr:row>26</xdr:row>
      <xdr:rowOff>161925</xdr:rowOff>
    </xdr:from>
    <xdr:to>
      <xdr:col>32</xdr:col>
      <xdr:colOff>104775</xdr:colOff>
      <xdr:row>46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076F1F-3320-4287-A9B8-102382569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48</xdr:row>
      <xdr:rowOff>47625</xdr:rowOff>
    </xdr:from>
    <xdr:to>
      <xdr:col>32</xdr:col>
      <xdr:colOff>142874</xdr:colOff>
      <xdr:row>67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1FF334-A55F-4729-BB0F-17DB53B8C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68</xdr:row>
      <xdr:rowOff>85725</xdr:rowOff>
    </xdr:from>
    <xdr:to>
      <xdr:col>32</xdr:col>
      <xdr:colOff>142874</xdr:colOff>
      <xdr:row>87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A9C21D-F236-4E49-91D1-FAC3CA570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0.1477</cdr:x>
      <cdr:y>0.08421</cdr:y>
    </cdr:from>
    <cdr:to>
      <cdr:x>0.19103</cdr:x>
      <cdr:y>0.32674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CF3E631E-32F3-4FE4-8335-FBC88B064CE5}"/>
            </a:ext>
          </a:extLst>
        </cdr:cNvPr>
        <cdr:cNvSpPr/>
      </cdr:nvSpPr>
      <cdr:spPr>
        <a:xfrm xmlns:a="http://schemas.openxmlformats.org/drawingml/2006/main">
          <a:off x="830009" y="304781"/>
          <a:ext cx="243504" cy="8778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31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0.18644</cdr:x>
      <cdr:y>0.66842</cdr:y>
    </cdr:from>
    <cdr:to>
      <cdr:x>0.34915</cdr:x>
      <cdr:y>0.72105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8F7F0EA-4DFD-4EA5-8E92-E255CE2B01CA}"/>
            </a:ext>
          </a:extLst>
        </cdr:cNvPr>
        <cdr:cNvSpPr txBox="1"/>
      </cdr:nvSpPr>
      <cdr:spPr>
        <a:xfrm xmlns:a="http://schemas.openxmlformats.org/drawingml/2006/main">
          <a:off x="1047749" y="2419350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</cdr:x>
      <cdr:y>0.50263</cdr:y>
    </cdr:from>
    <cdr:to>
      <cdr:x>0.74746</cdr:x>
      <cdr:y>0.57632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A5AEA99-2F08-4ACD-ABE6-070FFCEC1913}"/>
            </a:ext>
          </a:extLst>
        </cdr:cNvPr>
        <cdr:cNvSpPr txBox="1"/>
      </cdr:nvSpPr>
      <cdr:spPr>
        <a:xfrm xmlns:a="http://schemas.openxmlformats.org/drawingml/2006/main">
          <a:off x="561974" y="1819275"/>
          <a:ext cx="36385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C00000"/>
              </a:solidFill>
            </a:rPr>
            <a:t>Utility Cost</a:t>
          </a:r>
          <a:r>
            <a:rPr lang="en-US" sz="1200" baseline="0">
              <a:solidFill>
                <a:srgbClr val="C00000"/>
              </a:solidFill>
            </a:rPr>
            <a:t> of Equity Must be Below Market Cost of Equity</a:t>
          </a:r>
          <a:endParaRPr lang="en-US" sz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0.18292</cdr:x>
      <cdr:y>0.36842</cdr:y>
    </cdr:from>
    <cdr:to>
      <cdr:x>0.20339</cdr:x>
      <cdr:y>0.48158</cdr:y>
    </cdr:to>
    <cdr:sp macro="" textlink="">
      <cdr:nvSpPr>
        <cdr:cNvPr id="5" name="Arrow: Right 4">
          <a:extLst xmlns:a="http://schemas.openxmlformats.org/drawingml/2006/main">
            <a:ext uri="{FF2B5EF4-FFF2-40B4-BE49-F238E27FC236}">
              <a16:creationId xmlns:a16="http://schemas.microsoft.com/office/drawing/2014/main" id="{359C5C5A-4501-4396-BE8A-A15AECDD23E9}"/>
            </a:ext>
          </a:extLst>
        </cdr:cNvPr>
        <cdr:cNvSpPr/>
      </cdr:nvSpPr>
      <cdr:spPr>
        <a:xfrm xmlns:a="http://schemas.openxmlformats.org/drawingml/2006/main" rot="5400000">
          <a:off x="880681" y="1480758"/>
          <a:ext cx="409573" cy="115061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0.69209</cdr:x>
      <cdr:y>0.3693</cdr:y>
    </cdr:from>
    <cdr:to>
      <cdr:x>0.71256</cdr:x>
      <cdr:y>0.48246</cdr:y>
    </cdr:to>
    <cdr:sp macro="" textlink="">
      <cdr:nvSpPr>
        <cdr:cNvPr id="7" name="Arrow: Right 6">
          <a:extLst xmlns:a="http://schemas.openxmlformats.org/drawingml/2006/main">
            <a:ext uri="{FF2B5EF4-FFF2-40B4-BE49-F238E27FC236}">
              <a16:creationId xmlns:a16="http://schemas.microsoft.com/office/drawing/2014/main" id="{7DABA7EE-D468-4758-A14B-F7EBFCECC1A9}"/>
            </a:ext>
          </a:extLst>
        </cdr:cNvPr>
        <cdr:cNvSpPr/>
      </cdr:nvSpPr>
      <cdr:spPr>
        <a:xfrm xmlns:a="http://schemas.openxmlformats.org/drawingml/2006/main" rot="5400000">
          <a:off x="3742119" y="1483931"/>
          <a:ext cx="409573" cy="115061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4</xdr:row>
      <xdr:rowOff>200023</xdr:rowOff>
    </xdr:from>
    <xdr:to>
      <xdr:col>22</xdr:col>
      <xdr:colOff>9525</xdr:colOff>
      <xdr:row>32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AB1F29-9F2E-44B5-A6D9-6F836C649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4</xdr:row>
      <xdr:rowOff>60960</xdr:rowOff>
    </xdr:from>
    <xdr:to>
      <xdr:col>16</xdr:col>
      <xdr:colOff>563880</xdr:colOff>
      <xdr:row>24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0.06593</cdr:x>
      <cdr:y>0.70113</cdr:y>
    </cdr:from>
    <cdr:to>
      <cdr:x>0.14887</cdr:x>
      <cdr:y>0.77793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5378" y="2719402"/>
          <a:ext cx="497386" cy="297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1.41%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K18"/>
  <sheetViews>
    <sheetView tabSelected="1" zoomScaleNormal="100" workbookViewId="0"/>
  </sheetViews>
  <sheetFormatPr defaultRowHeight="15"/>
  <cols>
    <col min="1" max="1" width="36.140625" style="115" bestFit="1" customWidth="1"/>
    <col min="2" max="2" width="2.7109375" style="115" customWidth="1"/>
    <col min="3" max="3" width="8" style="115" customWidth="1"/>
    <col min="4" max="4" width="2.7109375" style="115" customWidth="1"/>
    <col min="5" max="5" width="12.28515625" style="115" customWidth="1"/>
    <col min="6" max="6" width="2.7109375" style="115" customWidth="1"/>
    <col min="7" max="7" width="12.28515625" style="115" customWidth="1"/>
    <col min="8" max="8" width="2.7109375" style="115" customWidth="1"/>
    <col min="9" max="9" width="12.28515625" style="115" customWidth="1"/>
    <col min="10" max="10" width="2.7109375" style="115" customWidth="1"/>
    <col min="11" max="11" width="12.28515625" style="115" customWidth="1"/>
    <col min="12" max="16384" width="9.140625" style="115"/>
  </cols>
  <sheetData>
    <row r="1" spans="1:11" ht="18.7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9.5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9.5" customHeight="1">
      <c r="E3" s="116" t="s">
        <v>3</v>
      </c>
      <c r="F3" s="116"/>
      <c r="G3" s="116" t="s">
        <v>4</v>
      </c>
      <c r="H3" s="116"/>
      <c r="I3" s="169" t="s">
        <v>5</v>
      </c>
      <c r="J3" s="116"/>
      <c r="K3" s="169" t="s">
        <v>6</v>
      </c>
    </row>
    <row r="4" spans="1:11" ht="19.5" customHeight="1"/>
    <row r="5" spans="1:11" ht="30">
      <c r="A5" s="181" t="s">
        <v>0</v>
      </c>
      <c r="B5" s="116"/>
      <c r="C5" s="181" t="s">
        <v>1</v>
      </c>
      <c r="D5" s="116"/>
      <c r="E5" s="153" t="s">
        <v>56</v>
      </c>
      <c r="F5" s="118"/>
      <c r="G5" s="153" t="s">
        <v>55</v>
      </c>
      <c r="H5" s="118"/>
      <c r="I5" s="153" t="s">
        <v>54</v>
      </c>
      <c r="J5" s="118"/>
      <c r="K5" s="153" t="s">
        <v>17</v>
      </c>
    </row>
    <row r="6" spans="1:11" ht="19.5" customHeight="1">
      <c r="A6" s="115" t="s">
        <v>158</v>
      </c>
      <c r="C6" s="119" t="s">
        <v>159</v>
      </c>
      <c r="E6" s="120">
        <v>12100</v>
      </c>
      <c r="F6" s="121"/>
      <c r="G6" s="122" t="str">
        <f t="shared" ref="G6:G12" si="0">IF(E6&gt;=200000,"Mega Cap",IF(E6&gt;=10000,"Large Cap",IF(E6&gt;=2000,"Mid Cap",IF(E6&gt;=300,"Small Cap",IF(E6&gt;=50,"Micro Cap",IF(E6&lt;50,"Nano Cap"))))))</f>
        <v>Large Cap</v>
      </c>
      <c r="H6" s="123"/>
      <c r="I6" s="116">
        <v>1</v>
      </c>
      <c r="K6" s="151" t="s">
        <v>134</v>
      </c>
    </row>
    <row r="7" spans="1:11" ht="19.5" customHeight="1">
      <c r="A7" s="115" t="s">
        <v>160</v>
      </c>
      <c r="C7" s="119" t="s">
        <v>166</v>
      </c>
      <c r="E7" s="120">
        <v>3200</v>
      </c>
      <c r="F7" s="121"/>
      <c r="G7" s="122" t="str">
        <f t="shared" si="0"/>
        <v>Mid Cap</v>
      </c>
      <c r="H7" s="123"/>
      <c r="I7" s="116">
        <v>2</v>
      </c>
      <c r="K7" s="151" t="s">
        <v>134</v>
      </c>
    </row>
    <row r="8" spans="1:11" ht="19.5" customHeight="1">
      <c r="A8" s="115" t="s">
        <v>161</v>
      </c>
      <c r="C8" s="119" t="s">
        <v>167</v>
      </c>
      <c r="E8" s="120">
        <v>1900</v>
      </c>
      <c r="F8" s="121"/>
      <c r="G8" s="122" t="str">
        <f t="shared" si="0"/>
        <v>Small Cap</v>
      </c>
      <c r="H8" s="123"/>
      <c r="I8" s="116">
        <v>1</v>
      </c>
      <c r="K8" s="149" t="s">
        <v>87</v>
      </c>
    </row>
    <row r="9" spans="1:11" ht="19.5" customHeight="1">
      <c r="A9" s="115" t="s">
        <v>162</v>
      </c>
      <c r="C9" s="119" t="s">
        <v>168</v>
      </c>
      <c r="E9" s="120">
        <v>4300</v>
      </c>
      <c r="F9" s="121"/>
      <c r="G9" s="122" t="str">
        <f t="shared" si="0"/>
        <v>Mid Cap</v>
      </c>
      <c r="H9" s="123"/>
      <c r="I9" s="116">
        <v>2</v>
      </c>
      <c r="K9" s="149" t="s">
        <v>87</v>
      </c>
    </row>
    <row r="10" spans="1:11" ht="19.5" customHeight="1">
      <c r="A10" s="115" t="s">
        <v>163</v>
      </c>
      <c r="C10" s="119" t="s">
        <v>169</v>
      </c>
      <c r="E10" s="120">
        <v>2600</v>
      </c>
      <c r="F10" s="121"/>
      <c r="G10" s="122" t="str">
        <f t="shared" si="0"/>
        <v>Mid Cap</v>
      </c>
      <c r="H10" s="123"/>
      <c r="I10" s="116">
        <v>2</v>
      </c>
      <c r="K10" s="151" t="s">
        <v>88</v>
      </c>
    </row>
    <row r="11" spans="1:11" ht="19.5" customHeight="1">
      <c r="A11" s="115" t="s">
        <v>164</v>
      </c>
      <c r="C11" s="119" t="s">
        <v>170</v>
      </c>
      <c r="E11" s="120">
        <v>4100</v>
      </c>
      <c r="F11" s="121"/>
      <c r="G11" s="122" t="str">
        <f t="shared" si="0"/>
        <v>Mid Cap</v>
      </c>
      <c r="H11" s="123"/>
      <c r="I11" s="116">
        <v>3</v>
      </c>
      <c r="K11" s="149" t="s">
        <v>87</v>
      </c>
    </row>
    <row r="12" spans="1:11" ht="19.5" customHeight="1">
      <c r="A12" s="115" t="s">
        <v>165</v>
      </c>
      <c r="C12" s="119" t="s">
        <v>171</v>
      </c>
      <c r="E12" s="120">
        <v>3700</v>
      </c>
      <c r="F12" s="121"/>
      <c r="G12" s="122" t="str">
        <f t="shared" si="0"/>
        <v>Mid Cap</v>
      </c>
      <c r="H12" s="123"/>
      <c r="I12" s="116">
        <v>2</v>
      </c>
      <c r="K12" s="151" t="s">
        <v>88</v>
      </c>
    </row>
    <row r="13" spans="1:11">
      <c r="A13" s="125"/>
      <c r="B13" s="125"/>
      <c r="C13" s="126"/>
      <c r="D13" s="125"/>
      <c r="E13" s="127"/>
      <c r="F13" s="128"/>
      <c r="G13" s="129"/>
      <c r="H13" s="130"/>
      <c r="I13" s="117"/>
      <c r="J13" s="125"/>
      <c r="K13" s="131"/>
    </row>
    <row r="14" spans="1:11">
      <c r="C14" s="132"/>
      <c r="E14" s="133"/>
      <c r="F14" s="121"/>
      <c r="G14" s="123"/>
      <c r="H14" s="123"/>
      <c r="I14" s="116"/>
      <c r="K14" s="124"/>
    </row>
    <row r="15" spans="1:11" s="134" customFormat="1" ht="14.45" customHeight="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1" s="134" customFormat="1" ht="14.45" customHeight="1">
      <c r="A16" s="193" t="s">
        <v>156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</row>
    <row r="17" spans="1:11" s="134" customFormat="1" ht="14.45" customHeight="1">
      <c r="A17" s="194" t="s">
        <v>89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spans="1:11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</row>
  </sheetData>
  <sortState xmlns:xlrd2="http://schemas.microsoft.com/office/spreadsheetml/2017/richdata2" ref="A6:K12">
    <sortCondition ref="A6:A12"/>
  </sortState>
  <mergeCells count="3">
    <mergeCell ref="A16:K16"/>
    <mergeCell ref="A17:K17"/>
    <mergeCell ref="A18:K18"/>
  </mergeCells>
  <phoneticPr fontId="23" type="noConversion"/>
  <printOptions horizontalCentered="1"/>
  <pageMargins left="0.7" right="0.7" top="0.75" bottom="0.75" header="0.3" footer="0.3"/>
  <pageSetup orientation="landscape" r:id="rId1"/>
  <headerFooter scaleWithDoc="0">
    <oddHeader>&amp;C&amp;"-,Bold"&amp;14Proxy Group Summary&amp;RExhibit DJG-2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L23"/>
  <sheetViews>
    <sheetView zoomScale="90" zoomScaleNormal="90" workbookViewId="0"/>
  </sheetViews>
  <sheetFormatPr defaultRowHeight="15"/>
  <cols>
    <col min="1" max="1" width="36.140625" bestFit="1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1" width="2.7109375" customWidth="1"/>
    <col min="12" max="12" width="10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9.5" customHeight="1"/>
    <row r="3" spans="1:12" ht="19.5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/>
      <c r="L3" s="1" t="s">
        <v>6</v>
      </c>
    </row>
    <row r="4" spans="1:12" ht="19.5" customHeight="1">
      <c r="E4" s="1"/>
      <c r="F4" s="1"/>
      <c r="G4" s="1"/>
      <c r="H4" s="1"/>
      <c r="I4" s="1"/>
      <c r="J4" s="1"/>
      <c r="K4" s="1"/>
      <c r="L4" s="1"/>
    </row>
    <row r="5" spans="1:12" ht="19.5" customHeight="1">
      <c r="E5" s="1" t="s">
        <v>76</v>
      </c>
      <c r="F5" s="1"/>
      <c r="G5" s="1" t="s">
        <v>77</v>
      </c>
      <c r="H5" s="1"/>
      <c r="I5" s="1" t="s">
        <v>78</v>
      </c>
      <c r="J5" s="40"/>
      <c r="K5" s="1"/>
      <c r="L5" s="1" t="s">
        <v>79</v>
      </c>
    </row>
    <row r="6" spans="1:12" ht="19.5" customHeight="1">
      <c r="A6" s="2" t="s">
        <v>0</v>
      </c>
      <c r="B6" s="1"/>
      <c r="C6" s="2" t="s">
        <v>1</v>
      </c>
      <c r="D6" s="1"/>
      <c r="E6" s="4" t="s">
        <v>80</v>
      </c>
      <c r="F6" s="5"/>
      <c r="G6" s="4" t="s">
        <v>52</v>
      </c>
      <c r="H6" s="5"/>
      <c r="I6" s="4" t="s">
        <v>81</v>
      </c>
      <c r="J6" s="25"/>
      <c r="K6" s="5"/>
      <c r="L6" s="4" t="s">
        <v>62</v>
      </c>
    </row>
    <row r="7" spans="1:12" ht="19.5" customHeight="1">
      <c r="A7" s="1"/>
      <c r="B7" s="1"/>
      <c r="C7" s="1"/>
      <c r="D7" s="1"/>
      <c r="E7" s="5"/>
      <c r="F7" s="5"/>
      <c r="G7" s="5"/>
      <c r="H7" s="5"/>
      <c r="I7" s="5"/>
      <c r="J7" s="25"/>
      <c r="K7" s="5"/>
    </row>
    <row r="8" spans="1:12" ht="19.5" customHeight="1">
      <c r="A8" t="str">
        <f>'2 Proxy Sum'!A6</f>
        <v>Atmos Energy Corporation</v>
      </c>
      <c r="C8" s="41" t="str">
        <f>'2 Proxy Sum'!C6</f>
        <v>ATO</v>
      </c>
      <c r="D8" s="1"/>
      <c r="E8" s="22">
        <f>'7 Risk Free Rate'!$E$35</f>
        <v>1.4126666666666664E-2</v>
      </c>
      <c r="F8" s="7"/>
      <c r="G8" s="23">
        <f>'8 Beta'!E5</f>
        <v>0.8</v>
      </c>
      <c r="H8" s="23"/>
      <c r="I8" s="16">
        <f>'10 ERP Result'!$C$16</f>
        <v>0.06</v>
      </c>
      <c r="J8" s="29"/>
      <c r="K8" s="9"/>
      <c r="L8" s="16">
        <f>E8+G8*I8</f>
        <v>6.2126666666666663E-2</v>
      </c>
    </row>
    <row r="9" spans="1:12" s="162" customFormat="1" ht="19.5" customHeight="1">
      <c r="A9" s="162" t="str">
        <f>'2 Proxy Sum'!A7</f>
        <v>New Jersey Resources Corporation</v>
      </c>
      <c r="C9" s="41" t="str">
        <f>'2 Proxy Sum'!C7</f>
        <v>NJR</v>
      </c>
      <c r="D9" s="161"/>
      <c r="E9" s="159">
        <f>'7 Risk Free Rate'!$E$35</f>
        <v>1.4126666666666664E-2</v>
      </c>
      <c r="F9" s="7"/>
      <c r="G9" s="23">
        <f>'8 Beta'!E6</f>
        <v>0.9</v>
      </c>
      <c r="H9" s="23"/>
      <c r="I9" s="16">
        <f>'10 ERP Result'!$C$16</f>
        <v>0.06</v>
      </c>
      <c r="J9" s="29"/>
      <c r="K9" s="9"/>
      <c r="L9" s="16">
        <f t="shared" ref="L9:L14" si="0">E9+G9*I9</f>
        <v>6.8126666666666669E-2</v>
      </c>
    </row>
    <row r="10" spans="1:12" s="162" customFormat="1" ht="19.5" customHeight="1">
      <c r="A10" s="162" t="str">
        <f>'2 Proxy Sum'!A8</f>
        <v>Northwest Natural Holding Company</v>
      </c>
      <c r="C10" s="41" t="str">
        <f>'2 Proxy Sum'!C8</f>
        <v>NWN</v>
      </c>
      <c r="D10" s="161"/>
      <c r="E10" s="159">
        <f>'7 Risk Free Rate'!$E$35</f>
        <v>1.4126666666666664E-2</v>
      </c>
      <c r="F10" s="7"/>
      <c r="G10" s="23">
        <f>'8 Beta'!E7</f>
        <v>0.8</v>
      </c>
      <c r="H10" s="23"/>
      <c r="I10" s="16">
        <f>'10 ERP Result'!$C$16</f>
        <v>0.06</v>
      </c>
      <c r="J10" s="29"/>
      <c r="K10" s="9"/>
      <c r="L10" s="16">
        <f t="shared" si="0"/>
        <v>6.2126666666666663E-2</v>
      </c>
    </row>
    <row r="11" spans="1:12" s="162" customFormat="1" ht="19.5" customHeight="1">
      <c r="A11" s="162" t="str">
        <f>'2 Proxy Sum'!A9</f>
        <v>ONE Gas, Inc.</v>
      </c>
      <c r="C11" s="41" t="str">
        <f>'2 Proxy Sum'!C9</f>
        <v>OGS</v>
      </c>
      <c r="D11" s="161"/>
      <c r="E11" s="159">
        <f>'7 Risk Free Rate'!$E$35</f>
        <v>1.4126666666666664E-2</v>
      </c>
      <c r="F11" s="7"/>
      <c r="G11" s="23">
        <f>'8 Beta'!E8</f>
        <v>0.8</v>
      </c>
      <c r="H11" s="23"/>
      <c r="I11" s="16">
        <f>'10 ERP Result'!$C$16</f>
        <v>0.06</v>
      </c>
      <c r="J11" s="29"/>
      <c r="K11" s="9"/>
      <c r="L11" s="16">
        <f t="shared" si="0"/>
        <v>6.2126666666666663E-2</v>
      </c>
    </row>
    <row r="12" spans="1:12" s="162" customFormat="1" ht="19.5" customHeight="1">
      <c r="A12" s="162" t="str">
        <f>'2 Proxy Sum'!A10</f>
        <v>South Jersey Industries, Inc.</v>
      </c>
      <c r="C12" s="41" t="str">
        <f>'2 Proxy Sum'!C10</f>
        <v>SJI</v>
      </c>
      <c r="D12" s="161"/>
      <c r="E12" s="159">
        <f>'7 Risk Free Rate'!$E$35</f>
        <v>1.4126666666666664E-2</v>
      </c>
      <c r="F12" s="7"/>
      <c r="G12" s="23">
        <f>'8 Beta'!E9</f>
        <v>0.95</v>
      </c>
      <c r="H12" s="23"/>
      <c r="I12" s="16">
        <f>'10 ERP Result'!$C$16</f>
        <v>0.06</v>
      </c>
      <c r="J12" s="29"/>
      <c r="K12" s="9"/>
      <c r="L12" s="16">
        <f t="shared" si="0"/>
        <v>7.1126666666666657E-2</v>
      </c>
    </row>
    <row r="13" spans="1:12" s="162" customFormat="1" ht="19.5" customHeight="1">
      <c r="A13" s="162" t="str">
        <f>'2 Proxy Sum'!A11</f>
        <v>Southwest Gas Holdings, Inc.</v>
      </c>
      <c r="C13" s="41" t="str">
        <f>'2 Proxy Sum'!C11</f>
        <v>SWX</v>
      </c>
      <c r="D13" s="161"/>
      <c r="E13" s="159">
        <f>'7 Risk Free Rate'!$E$35</f>
        <v>1.4126666666666664E-2</v>
      </c>
      <c r="F13" s="7"/>
      <c r="G13" s="23">
        <f>'8 Beta'!E10</f>
        <v>0.9</v>
      </c>
      <c r="H13" s="23"/>
      <c r="I13" s="16">
        <f>'10 ERP Result'!$C$16</f>
        <v>0.06</v>
      </c>
      <c r="J13" s="29"/>
      <c r="K13" s="9"/>
      <c r="L13" s="16">
        <f t="shared" si="0"/>
        <v>6.8126666666666669E-2</v>
      </c>
    </row>
    <row r="14" spans="1:12" ht="19.5" customHeight="1">
      <c r="A14" s="15" t="str">
        <f>'2 Proxy Sum'!A12</f>
        <v>Spire Inc.</v>
      </c>
      <c r="C14" s="41" t="str">
        <f>'2 Proxy Sum'!C12</f>
        <v>SR</v>
      </c>
      <c r="D14" s="1"/>
      <c r="E14" s="22">
        <f>'7 Risk Free Rate'!$E$35</f>
        <v>1.4126666666666664E-2</v>
      </c>
      <c r="F14" s="7"/>
      <c r="G14" s="59">
        <f>'8 Beta'!E11</f>
        <v>0.8</v>
      </c>
      <c r="H14" s="23"/>
      <c r="I14" s="16">
        <f>'10 ERP Result'!$C$16</f>
        <v>0.06</v>
      </c>
      <c r="J14" s="29"/>
      <c r="K14" s="9"/>
      <c r="L14" s="50">
        <f t="shared" si="0"/>
        <v>6.2126666666666663E-2</v>
      </c>
    </row>
    <row r="15" spans="1:12" ht="19.5" customHeight="1" thickBot="1">
      <c r="C15" s="1"/>
      <c r="D15" s="1"/>
      <c r="E15" s="7"/>
      <c r="F15" s="7"/>
      <c r="G15" s="7"/>
      <c r="H15" s="7"/>
      <c r="I15" s="9"/>
      <c r="J15" s="9"/>
      <c r="K15" s="9"/>
    </row>
    <row r="16" spans="1:12" ht="19.5" customHeight="1" thickBot="1">
      <c r="A16" s="49" t="s">
        <v>65</v>
      </c>
      <c r="B16" s="11"/>
      <c r="C16" s="1"/>
      <c r="D16" s="1"/>
      <c r="E16" s="7"/>
      <c r="F16" s="7"/>
      <c r="G16" s="23">
        <f>AVERAGE(G8:G14)</f>
        <v>0.85</v>
      </c>
      <c r="H16" s="23"/>
      <c r="I16" s="9"/>
      <c r="J16" s="9"/>
      <c r="K16" s="9"/>
      <c r="L16" s="83">
        <f>AVERAGE(L8:L14)</f>
        <v>6.5126666666666666E-2</v>
      </c>
    </row>
    <row r="17" spans="1:12">
      <c r="A17" s="58"/>
      <c r="B17" s="58"/>
      <c r="C17" s="2"/>
      <c r="D17" s="2"/>
      <c r="E17" s="54"/>
      <c r="F17" s="54"/>
      <c r="G17" s="59"/>
      <c r="H17" s="59"/>
      <c r="I17" s="56"/>
      <c r="J17" s="56"/>
      <c r="K17" s="56"/>
      <c r="L17" s="60"/>
    </row>
    <row r="18" spans="1:12">
      <c r="A18" s="11"/>
      <c r="B18" s="11"/>
      <c r="C18" s="1"/>
      <c r="D18" s="1"/>
      <c r="E18" s="7"/>
      <c r="F18" s="7"/>
      <c r="G18" s="8"/>
      <c r="H18" s="8"/>
      <c r="I18" s="9"/>
      <c r="J18" s="9"/>
      <c r="K18" s="9"/>
      <c r="L18" s="26"/>
    </row>
    <row r="19" spans="1:12" s="53" customFormat="1" ht="14.45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s="53" customFormat="1" ht="14.45" customHeight="1">
      <c r="A20" s="193" t="s">
        <v>115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  <row r="21" spans="1:12" s="53" customFormat="1" ht="14.45" customHeight="1">
      <c r="A21" s="193" t="s">
        <v>116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</row>
    <row r="22" spans="1:12" s="53" customFormat="1" ht="14.45" customHeight="1">
      <c r="A22" s="193" t="s">
        <v>117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</row>
    <row r="23" spans="1:12">
      <c r="A23" s="193" t="s">
        <v>97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</row>
  </sheetData>
  <mergeCells count="4">
    <mergeCell ref="A23:L23"/>
    <mergeCell ref="A20:L20"/>
    <mergeCell ref="A21:L21"/>
    <mergeCell ref="A22:L22"/>
  </mergeCells>
  <printOptions horizontalCentered="1"/>
  <pageMargins left="0.7" right="0.7" top="0.75" bottom="0.75" header="0.3" footer="0.3"/>
  <pageSetup scale="85" orientation="portrait" r:id="rId1"/>
  <headerFooter scaleWithDoc="0">
    <oddHeader>&amp;C&amp;"-,Bold"&amp;14CAPM Final Results&amp;RExhibit DJG-11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C10"/>
  <sheetViews>
    <sheetView zoomScale="110" zoomScaleNormal="110" workbookViewId="0"/>
  </sheetViews>
  <sheetFormatPr defaultRowHeight="15"/>
  <cols>
    <col min="1" max="1" width="35.7109375" customWidth="1"/>
    <col min="2" max="2" width="4.7109375" customWidth="1"/>
    <col min="3" max="3" width="28.7109375" customWidth="1"/>
  </cols>
  <sheetData>
    <row r="1" spans="1:3">
      <c r="A1" s="15"/>
      <c r="B1" s="15"/>
      <c r="C1" s="15"/>
    </row>
    <row r="3" spans="1:3" ht="18.75">
      <c r="A3" s="47" t="s">
        <v>85</v>
      </c>
      <c r="B3" s="49"/>
      <c r="C3" s="63" t="s">
        <v>69</v>
      </c>
    </row>
    <row r="4" spans="1:3" ht="18.75">
      <c r="A4" s="64"/>
      <c r="B4" s="64"/>
      <c r="C4" s="64"/>
    </row>
    <row r="5" spans="1:3" ht="18.75">
      <c r="A5" s="64" t="s">
        <v>84</v>
      </c>
      <c r="B5" s="64"/>
      <c r="C5" s="81">
        <f>'6 DCF Result'!H8</f>
        <v>7.2761710199244822E-2</v>
      </c>
    </row>
    <row r="6" spans="1:3" ht="18.75">
      <c r="A6" s="64"/>
      <c r="B6" s="64"/>
      <c r="C6" s="81"/>
    </row>
    <row r="7" spans="1:3" ht="18.75">
      <c r="A7" s="66" t="s">
        <v>13</v>
      </c>
      <c r="B7" s="64"/>
      <c r="C7" s="82">
        <f>'11 CAPM Result'!L16</f>
        <v>6.5126666666666666E-2</v>
      </c>
    </row>
    <row r="8" spans="1:3" ht="18.75">
      <c r="A8" s="64"/>
      <c r="B8" s="64"/>
      <c r="C8" s="65"/>
    </row>
    <row r="9" spans="1:3" ht="18.75">
      <c r="A9" s="49" t="s">
        <v>65</v>
      </c>
      <c r="B9" s="62"/>
      <c r="C9" s="80">
        <f>AVERAGE(C5,C7)</f>
        <v>6.8944188432955744E-2</v>
      </c>
    </row>
    <row r="10" spans="1:3">
      <c r="A10" s="15"/>
      <c r="B10" s="15"/>
      <c r="C10" s="15"/>
    </row>
  </sheetData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&amp;C&amp;"-,Bold"&amp;14Cost of Equity Summary&amp;RExhibit DJG-12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G22"/>
  <sheetViews>
    <sheetView workbookViewId="0"/>
  </sheetViews>
  <sheetFormatPr defaultRowHeight="15"/>
  <cols>
    <col min="1" max="1" width="28.140625" customWidth="1"/>
    <col min="2" max="2" width="4.28515625" customWidth="1"/>
    <col min="3" max="3" width="12.7109375" customWidth="1"/>
    <col min="4" max="4" width="4.7109375" customWidth="1"/>
  </cols>
  <sheetData>
    <row r="1" spans="1:4">
      <c r="A1" s="15"/>
      <c r="B1" s="15"/>
      <c r="C1" s="15"/>
      <c r="D1" s="15"/>
    </row>
    <row r="3" spans="1:4">
      <c r="A3" s="48" t="s">
        <v>12</v>
      </c>
      <c r="B3" s="1"/>
      <c r="C3" s="48" t="s">
        <v>99</v>
      </c>
    </row>
    <row r="5" spans="1:4">
      <c r="A5" t="s">
        <v>101</v>
      </c>
      <c r="C5" s="16">
        <f>'10 ERP Result'!C4+'7 Risk Free Rate'!E35</f>
        <v>7.012666666666667E-2</v>
      </c>
      <c r="D5" s="1" t="s">
        <v>3</v>
      </c>
    </row>
    <row r="6" spans="1:4">
      <c r="D6" s="1"/>
    </row>
    <row r="7" spans="1:4">
      <c r="A7" t="s">
        <v>100</v>
      </c>
      <c r="C7" s="16">
        <f>'10 ERP Result'!C6+'7 Risk Free Rate'!E35</f>
        <v>5.8326666666666666E-2</v>
      </c>
      <c r="D7" s="1" t="s">
        <v>4</v>
      </c>
    </row>
    <row r="8" spans="1:4" s="179" customFormat="1">
      <c r="C8" s="16"/>
      <c r="D8" s="180"/>
    </row>
    <row r="9" spans="1:4" s="179" customFormat="1">
      <c r="A9" s="179" t="s">
        <v>183</v>
      </c>
      <c r="C9" s="16">
        <f>'10 ERP Result'!C8+'7 Risk Free Rate'!E35</f>
        <v>7.412666666666666E-2</v>
      </c>
      <c r="D9" s="180"/>
    </row>
    <row r="10" spans="1:4">
      <c r="C10" s="16"/>
      <c r="D10" s="1"/>
    </row>
    <row r="11" spans="1:4">
      <c r="A11" t="s">
        <v>75</v>
      </c>
      <c r="C11" s="16">
        <f>'10 ERP Result'!C10+'7 Risk Free Rate'!E35</f>
        <v>7.0926666666666666E-2</v>
      </c>
      <c r="D11" s="1" t="s">
        <v>5</v>
      </c>
    </row>
    <row r="12" spans="1:4">
      <c r="C12" s="16"/>
      <c r="D12" s="1"/>
    </row>
    <row r="13" spans="1:4">
      <c r="A13" s="15" t="s">
        <v>96</v>
      </c>
      <c r="C13" s="91">
        <f>'9 Implied ERP'!C30</f>
        <v>7.2128533341367276E-2</v>
      </c>
      <c r="D13" s="1" t="s">
        <v>6</v>
      </c>
    </row>
    <row r="14" spans="1:4">
      <c r="C14" s="88"/>
      <c r="D14" s="1"/>
    </row>
    <row r="15" spans="1:4">
      <c r="A15" s="13" t="s">
        <v>119</v>
      </c>
      <c r="B15" s="11"/>
      <c r="C15" s="88">
        <f>MAX(C5:C13)</f>
        <v>7.412666666666666E-2</v>
      </c>
      <c r="D15" s="1"/>
    </row>
    <row r="16" spans="1:4">
      <c r="A16" s="15"/>
      <c r="B16" s="15"/>
      <c r="C16" s="15"/>
      <c r="D16" s="15"/>
    </row>
    <row r="19" spans="1:7">
      <c r="A19" s="193" t="s">
        <v>107</v>
      </c>
      <c r="B19" s="193"/>
      <c r="C19" s="193"/>
      <c r="D19" s="193"/>
    </row>
    <row r="20" spans="1:7">
      <c r="A20" s="193" t="s">
        <v>106</v>
      </c>
      <c r="B20" s="193"/>
      <c r="C20" s="193"/>
      <c r="D20" s="193"/>
    </row>
    <row r="21" spans="1:7">
      <c r="A21" s="193" t="s">
        <v>105</v>
      </c>
      <c r="B21" s="193"/>
      <c r="C21" s="193"/>
      <c r="D21" s="193"/>
      <c r="E21" s="53"/>
      <c r="F21" s="53"/>
      <c r="G21" s="53"/>
    </row>
    <row r="22" spans="1:7">
      <c r="A22" s="193" t="s">
        <v>146</v>
      </c>
      <c r="B22" s="193"/>
      <c r="C22" s="193"/>
      <c r="D22" s="193"/>
      <c r="E22" s="53"/>
      <c r="F22" s="53"/>
      <c r="G22" s="53"/>
    </row>
  </sheetData>
  <mergeCells count="4">
    <mergeCell ref="A19:D19"/>
    <mergeCell ref="A20:D20"/>
    <mergeCell ref="A21:D21"/>
    <mergeCell ref="A22:D22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&amp;C&amp;"-,Bold"&amp;14Market Cost of Equity&amp;RExhibit DJG-13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36C89-C87B-4ABA-9B4C-80AADB13B10B}">
  <sheetPr>
    <tabColor theme="9"/>
    <pageSetUpPr fitToPage="1"/>
  </sheetPr>
  <dimension ref="A1:AH4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9.140625" style="174"/>
    <col min="2" max="2" width="2.7109375" style="174" customWidth="1"/>
    <col min="3" max="3" width="9.140625" style="174"/>
    <col min="4" max="4" width="1.7109375" style="174" customWidth="1"/>
    <col min="5" max="5" width="4.7109375" style="174" customWidth="1"/>
    <col min="6" max="6" width="2.7109375" style="174" customWidth="1"/>
    <col min="7" max="7" width="9.140625" style="174"/>
    <col min="8" max="8" width="1.7109375" style="174" customWidth="1"/>
    <col min="9" max="9" width="4.7109375" style="174" customWidth="1"/>
    <col min="10" max="10" width="2.7109375" style="174" customWidth="1"/>
    <col min="11" max="11" width="9.140625" style="174"/>
    <col min="12" max="12" width="1.7109375" style="174" customWidth="1"/>
    <col min="13" max="13" width="4.7109375" style="174" customWidth="1"/>
    <col min="14" max="14" width="2.7109375" style="174" customWidth="1"/>
    <col min="15" max="15" width="9.140625" style="174"/>
    <col min="16" max="16" width="2.7109375" style="174" customWidth="1"/>
    <col min="17" max="17" width="9.140625" style="174"/>
    <col min="18" max="18" width="2.7109375" style="174" customWidth="1"/>
    <col min="19" max="19" width="9.140625" style="174"/>
    <col min="20" max="20" width="2.7109375" style="174" customWidth="1"/>
    <col min="21" max="16384" width="9.140625" style="174"/>
  </cols>
  <sheetData>
    <row r="1" spans="1:2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3" spans="1:21">
      <c r="C3" s="206" t="s">
        <v>3</v>
      </c>
      <c r="D3" s="206"/>
      <c r="E3" s="206"/>
      <c r="G3" s="206" t="s">
        <v>4</v>
      </c>
      <c r="H3" s="206"/>
      <c r="I3" s="206"/>
      <c r="K3" s="206" t="s">
        <v>5</v>
      </c>
      <c r="L3" s="206"/>
      <c r="M3" s="206"/>
      <c r="O3" s="176" t="s">
        <v>6</v>
      </c>
      <c r="P3" s="176"/>
      <c r="Q3" s="176" t="s">
        <v>7</v>
      </c>
      <c r="R3" s="176"/>
      <c r="S3" s="176" t="s">
        <v>14</v>
      </c>
      <c r="T3" s="176"/>
      <c r="U3" s="176" t="s">
        <v>15</v>
      </c>
    </row>
    <row r="5" spans="1:21">
      <c r="C5" s="207" t="s">
        <v>135</v>
      </c>
      <c r="D5" s="207"/>
      <c r="E5" s="207"/>
      <c r="G5" s="207" t="s">
        <v>136</v>
      </c>
      <c r="H5" s="207"/>
      <c r="I5" s="207"/>
      <c r="K5" s="207" t="s">
        <v>137</v>
      </c>
      <c r="L5" s="207"/>
      <c r="M5" s="207"/>
      <c r="O5" s="176" t="s">
        <v>138</v>
      </c>
      <c r="Q5" s="176" t="s">
        <v>139</v>
      </c>
      <c r="S5" s="176" t="s">
        <v>78</v>
      </c>
      <c r="U5" s="176" t="s">
        <v>140</v>
      </c>
    </row>
    <row r="6" spans="1:21">
      <c r="A6" s="177" t="s">
        <v>25</v>
      </c>
      <c r="B6" s="176"/>
      <c r="C6" s="177" t="s">
        <v>53</v>
      </c>
      <c r="D6" s="176"/>
      <c r="E6" s="177" t="s">
        <v>141</v>
      </c>
      <c r="F6" s="176"/>
      <c r="G6" s="177" t="s">
        <v>53</v>
      </c>
      <c r="H6" s="176"/>
      <c r="I6" s="177" t="s">
        <v>141</v>
      </c>
      <c r="K6" s="177" t="s">
        <v>53</v>
      </c>
      <c r="L6" s="176"/>
      <c r="M6" s="177" t="s">
        <v>141</v>
      </c>
      <c r="O6" s="177" t="s">
        <v>142</v>
      </c>
      <c r="Q6" s="177" t="s">
        <v>18</v>
      </c>
      <c r="S6" s="177" t="s">
        <v>81</v>
      </c>
      <c r="U6" s="177" t="s">
        <v>143</v>
      </c>
    </row>
    <row r="8" spans="1:21">
      <c r="A8" s="174">
        <v>1990</v>
      </c>
      <c r="C8" s="27">
        <v>0.127</v>
      </c>
      <c r="E8" s="174">
        <v>38</v>
      </c>
      <c r="G8" s="27">
        <v>0.1268</v>
      </c>
      <c r="I8" s="174">
        <v>33</v>
      </c>
      <c r="K8" s="27">
        <f>C8*E8/M8+G8*I8/M8</f>
        <v>0.12690704225352112</v>
      </c>
      <c r="M8" s="174">
        <f>E8+I8</f>
        <v>71</v>
      </c>
      <c r="O8" s="12">
        <v>-3.0599999999999999E-2</v>
      </c>
      <c r="Q8" s="27">
        <v>8.0699999999999994E-2</v>
      </c>
      <c r="S8" s="27">
        <v>3.8899999999999997E-2</v>
      </c>
      <c r="U8" s="12">
        <f>S8+Q8</f>
        <v>0.11959999999999998</v>
      </c>
    </row>
    <row r="9" spans="1:21">
      <c r="A9" s="174">
        <v>1991</v>
      </c>
      <c r="C9" s="27">
        <v>0.12539999999999998</v>
      </c>
      <c r="E9" s="174">
        <v>42</v>
      </c>
      <c r="G9" s="27">
        <v>0.1245</v>
      </c>
      <c r="I9" s="174">
        <v>31</v>
      </c>
      <c r="K9" s="27">
        <f t="shared" ref="K9:K37" si="0">C9*E9/M9+G9*I9/M9</f>
        <v>0.12501780821917807</v>
      </c>
      <c r="M9" s="174">
        <f t="shared" ref="M9:M37" si="1">E9+I9</f>
        <v>73</v>
      </c>
      <c r="O9" s="12">
        <v>0.30230000000000001</v>
      </c>
      <c r="Q9" s="27">
        <v>6.7000000000000004E-2</v>
      </c>
      <c r="S9" s="27">
        <v>3.4799999999999998E-2</v>
      </c>
      <c r="U9" s="12">
        <f t="shared" ref="U9:U37" si="2">S9+Q9</f>
        <v>0.1018</v>
      </c>
    </row>
    <row r="10" spans="1:21">
      <c r="A10" s="174">
        <v>1992</v>
      </c>
      <c r="C10" s="27">
        <v>0.12089999999999999</v>
      </c>
      <c r="E10" s="174">
        <v>45</v>
      </c>
      <c r="G10" s="27">
        <v>0.1202</v>
      </c>
      <c r="I10" s="174">
        <v>28</v>
      </c>
      <c r="K10" s="27">
        <f t="shared" si="0"/>
        <v>0.12063150684931508</v>
      </c>
      <c r="M10" s="174">
        <f t="shared" si="1"/>
        <v>73</v>
      </c>
      <c r="O10" s="12">
        <v>7.4899999999999994E-2</v>
      </c>
      <c r="Q10" s="27">
        <v>6.6799999999999998E-2</v>
      </c>
      <c r="S10" s="27">
        <v>3.5499999999999997E-2</v>
      </c>
      <c r="U10" s="12">
        <f t="shared" si="2"/>
        <v>0.1023</v>
      </c>
    </row>
    <row r="11" spans="1:21">
      <c r="A11" s="174">
        <v>1993</v>
      </c>
      <c r="C11" s="27">
        <v>0.11460000000000001</v>
      </c>
      <c r="E11" s="174">
        <v>28</v>
      </c>
      <c r="G11" s="27">
        <v>0.1137</v>
      </c>
      <c r="I11" s="174">
        <v>40</v>
      </c>
      <c r="K11" s="27">
        <f t="shared" si="0"/>
        <v>0.11407058823529412</v>
      </c>
      <c r="M11" s="174">
        <f t="shared" si="1"/>
        <v>68</v>
      </c>
      <c r="O11" s="12">
        <v>9.9699999999999997E-2</v>
      </c>
      <c r="Q11" s="27">
        <v>5.79E-2</v>
      </c>
      <c r="S11" s="27">
        <v>3.1699999999999999E-2</v>
      </c>
      <c r="U11" s="12">
        <f t="shared" si="2"/>
        <v>8.9599999999999999E-2</v>
      </c>
    </row>
    <row r="12" spans="1:21">
      <c r="A12" s="174">
        <v>1994</v>
      </c>
      <c r="C12" s="27">
        <v>0.11210000000000001</v>
      </c>
      <c r="E12" s="174">
        <v>28</v>
      </c>
      <c r="G12" s="27">
        <v>0.1124</v>
      </c>
      <c r="I12" s="174">
        <v>24</v>
      </c>
      <c r="K12" s="27">
        <f t="shared" si="0"/>
        <v>0.11223846153846154</v>
      </c>
      <c r="M12" s="174">
        <f t="shared" si="1"/>
        <v>52</v>
      </c>
      <c r="O12" s="12">
        <v>1.3299999999999999E-2</v>
      </c>
      <c r="Q12" s="27">
        <v>7.8200000000000006E-2</v>
      </c>
      <c r="S12" s="27">
        <v>3.5499999999999997E-2</v>
      </c>
      <c r="U12" s="12">
        <f t="shared" si="2"/>
        <v>0.1137</v>
      </c>
    </row>
    <row r="13" spans="1:21">
      <c r="A13" s="174">
        <v>1995</v>
      </c>
      <c r="C13" s="27">
        <v>0.1158</v>
      </c>
      <c r="E13" s="174">
        <v>28</v>
      </c>
      <c r="G13" s="27">
        <v>0.1144</v>
      </c>
      <c r="I13" s="174">
        <v>13</v>
      </c>
      <c r="K13" s="27">
        <f t="shared" si="0"/>
        <v>0.11535609756097562</v>
      </c>
      <c r="M13" s="174">
        <f t="shared" si="1"/>
        <v>41</v>
      </c>
      <c r="O13" s="12">
        <v>0.372</v>
      </c>
      <c r="Q13" s="27">
        <v>5.57E-2</v>
      </c>
      <c r="S13" s="27">
        <v>3.2899999999999999E-2</v>
      </c>
      <c r="U13" s="12">
        <f t="shared" si="2"/>
        <v>8.8599999999999998E-2</v>
      </c>
    </row>
    <row r="14" spans="1:21">
      <c r="A14" s="174">
        <v>1996</v>
      </c>
      <c r="C14" s="27">
        <v>0.114</v>
      </c>
      <c r="E14" s="174">
        <v>18</v>
      </c>
      <c r="G14" s="27">
        <v>0.11119999999999999</v>
      </c>
      <c r="I14" s="174">
        <v>17</v>
      </c>
      <c r="K14" s="27">
        <f t="shared" si="0"/>
        <v>0.11263999999999999</v>
      </c>
      <c r="M14" s="174">
        <f t="shared" si="1"/>
        <v>35</v>
      </c>
      <c r="O14" s="12">
        <v>0.2268</v>
      </c>
      <c r="Q14" s="27">
        <v>6.4100000000000004E-2</v>
      </c>
      <c r="S14" s="27">
        <v>3.2000000000000001E-2</v>
      </c>
      <c r="U14" s="12">
        <f t="shared" si="2"/>
        <v>9.6100000000000005E-2</v>
      </c>
    </row>
    <row r="15" spans="1:21">
      <c r="A15" s="174">
        <v>1997</v>
      </c>
      <c r="C15" s="27">
        <v>0.1133</v>
      </c>
      <c r="E15" s="174">
        <v>10</v>
      </c>
      <c r="G15" s="27">
        <v>0.113</v>
      </c>
      <c r="I15" s="174">
        <v>12</v>
      </c>
      <c r="K15" s="27">
        <f t="shared" si="0"/>
        <v>0.11313636363636365</v>
      </c>
      <c r="M15" s="174">
        <f t="shared" si="1"/>
        <v>22</v>
      </c>
      <c r="O15" s="12">
        <v>0.33100000000000002</v>
      </c>
      <c r="Q15" s="27">
        <v>5.74E-2</v>
      </c>
      <c r="S15" s="27">
        <v>2.7300000000000001E-2</v>
      </c>
      <c r="U15" s="12">
        <f t="shared" si="2"/>
        <v>8.4699999999999998E-2</v>
      </c>
    </row>
    <row r="16" spans="1:21">
      <c r="A16" s="174">
        <v>1998</v>
      </c>
      <c r="C16" s="27">
        <v>0.1177</v>
      </c>
      <c r="E16" s="174">
        <v>10</v>
      </c>
      <c r="G16" s="27">
        <v>0.11509999999999999</v>
      </c>
      <c r="I16" s="174">
        <v>10</v>
      </c>
      <c r="K16" s="27">
        <f t="shared" si="0"/>
        <v>0.1164</v>
      </c>
      <c r="M16" s="174">
        <f t="shared" si="1"/>
        <v>20</v>
      </c>
      <c r="O16" s="12">
        <v>0.28339999999999999</v>
      </c>
      <c r="Q16" s="27">
        <v>4.65E-2</v>
      </c>
      <c r="S16" s="27">
        <v>2.2599999999999999E-2</v>
      </c>
      <c r="U16" s="12">
        <f t="shared" si="2"/>
        <v>6.9099999999999995E-2</v>
      </c>
    </row>
    <row r="17" spans="1:34">
      <c r="A17" s="174">
        <v>1999</v>
      </c>
      <c r="C17" s="27">
        <v>0.1072</v>
      </c>
      <c r="E17" s="174">
        <v>6</v>
      </c>
      <c r="G17" s="27">
        <v>0.1074</v>
      </c>
      <c r="I17" s="174">
        <v>6</v>
      </c>
      <c r="K17" s="27">
        <f t="shared" si="0"/>
        <v>0.10730000000000001</v>
      </c>
      <c r="M17" s="174">
        <f t="shared" si="1"/>
        <v>12</v>
      </c>
      <c r="O17" s="12">
        <v>0.2089</v>
      </c>
      <c r="Q17" s="27">
        <v>6.4399999999999999E-2</v>
      </c>
      <c r="S17" s="27">
        <v>2.0500000000000001E-2</v>
      </c>
      <c r="U17" s="12">
        <f t="shared" si="2"/>
        <v>8.4900000000000003E-2</v>
      </c>
    </row>
    <row r="18" spans="1:34">
      <c r="A18" s="174">
        <v>2000</v>
      </c>
      <c r="C18" s="27">
        <v>0.1158</v>
      </c>
      <c r="E18" s="174">
        <v>9</v>
      </c>
      <c r="G18" s="27">
        <v>0.1134</v>
      </c>
      <c r="I18" s="174">
        <v>13</v>
      </c>
      <c r="K18" s="27">
        <f t="shared" si="0"/>
        <v>0.11438181818181818</v>
      </c>
      <c r="M18" s="174">
        <f t="shared" si="1"/>
        <v>22</v>
      </c>
      <c r="O18" s="12">
        <v>-9.0300000000000005E-2</v>
      </c>
      <c r="Q18" s="27">
        <v>5.11E-2</v>
      </c>
      <c r="S18" s="27">
        <v>2.87E-2</v>
      </c>
      <c r="U18" s="12">
        <f t="shared" si="2"/>
        <v>7.9799999999999996E-2</v>
      </c>
    </row>
    <row r="19" spans="1:34">
      <c r="A19" s="174">
        <v>2001</v>
      </c>
      <c r="C19" s="27">
        <v>0.11070000000000001</v>
      </c>
      <c r="E19" s="174">
        <v>15</v>
      </c>
      <c r="G19" s="27">
        <v>0.1096</v>
      </c>
      <c r="I19" s="174">
        <v>5</v>
      </c>
      <c r="K19" s="27">
        <f t="shared" si="0"/>
        <v>0.110425</v>
      </c>
      <c r="M19" s="174">
        <f t="shared" si="1"/>
        <v>20</v>
      </c>
      <c r="O19" s="12">
        <v>-0.11849999999999999</v>
      </c>
      <c r="Q19" s="27">
        <v>5.0500000000000003E-2</v>
      </c>
      <c r="S19" s="27">
        <v>3.6200000000000003E-2</v>
      </c>
      <c r="U19" s="12">
        <f t="shared" si="2"/>
        <v>8.6699999999999999E-2</v>
      </c>
    </row>
    <row r="20" spans="1:34">
      <c r="A20" s="174">
        <v>2002</v>
      </c>
      <c r="C20" s="27">
        <v>0.11210000000000001</v>
      </c>
      <c r="E20" s="174">
        <v>14</v>
      </c>
      <c r="G20" s="27">
        <v>0.11169999999999999</v>
      </c>
      <c r="I20" s="174">
        <v>19</v>
      </c>
      <c r="K20" s="27">
        <f t="shared" si="0"/>
        <v>0.11186969696969698</v>
      </c>
      <c r="M20" s="174">
        <f t="shared" si="1"/>
        <v>33</v>
      </c>
      <c r="O20" s="12">
        <v>-0.21970000000000001</v>
      </c>
      <c r="Q20" s="27">
        <v>3.8100000000000002E-2</v>
      </c>
      <c r="S20" s="27">
        <v>4.1000000000000002E-2</v>
      </c>
      <c r="U20" s="12">
        <f t="shared" si="2"/>
        <v>7.9100000000000004E-2</v>
      </c>
    </row>
    <row r="21" spans="1:34">
      <c r="A21" s="174">
        <v>2003</v>
      </c>
      <c r="C21" s="27">
        <v>0.1096</v>
      </c>
      <c r="E21" s="174">
        <v>20</v>
      </c>
      <c r="G21" s="27">
        <v>0.1099</v>
      </c>
      <c r="I21" s="174">
        <v>25</v>
      </c>
      <c r="K21" s="27">
        <f t="shared" si="0"/>
        <v>0.10976666666666668</v>
      </c>
      <c r="M21" s="174">
        <f t="shared" si="1"/>
        <v>45</v>
      </c>
      <c r="O21" s="12">
        <v>0.28360000000000002</v>
      </c>
      <c r="Q21" s="27">
        <v>4.2500000000000003E-2</v>
      </c>
      <c r="S21" s="27">
        <v>3.6900000000000002E-2</v>
      </c>
      <c r="U21" s="12">
        <f t="shared" si="2"/>
        <v>7.9399999999999998E-2</v>
      </c>
    </row>
    <row r="22" spans="1:34">
      <c r="A22" s="174">
        <v>2004</v>
      </c>
      <c r="C22" s="27">
        <v>0.1081</v>
      </c>
      <c r="E22" s="174">
        <v>21</v>
      </c>
      <c r="G22" s="27">
        <v>0.10630000000000001</v>
      </c>
      <c r="I22" s="174">
        <v>22</v>
      </c>
      <c r="K22" s="27">
        <f t="shared" si="0"/>
        <v>0.10717906976744188</v>
      </c>
      <c r="M22" s="174">
        <f t="shared" si="1"/>
        <v>43</v>
      </c>
      <c r="O22" s="12">
        <v>0.1074</v>
      </c>
      <c r="Q22" s="27">
        <v>4.2200000000000001E-2</v>
      </c>
      <c r="S22" s="27">
        <v>3.6499999999999998E-2</v>
      </c>
      <c r="U22" s="12">
        <f t="shared" si="2"/>
        <v>7.8699999999999992E-2</v>
      </c>
    </row>
    <row r="23" spans="1:34">
      <c r="A23" s="174">
        <v>2005</v>
      </c>
      <c r="C23" s="27">
        <v>0.1051</v>
      </c>
      <c r="E23" s="174">
        <v>24</v>
      </c>
      <c r="G23" s="27">
        <v>0.1041</v>
      </c>
      <c r="I23" s="174">
        <v>26</v>
      </c>
      <c r="K23" s="27">
        <f t="shared" si="0"/>
        <v>0.10458000000000001</v>
      </c>
      <c r="M23" s="174">
        <f t="shared" si="1"/>
        <v>50</v>
      </c>
      <c r="O23" s="12">
        <v>4.8300000000000003E-2</v>
      </c>
      <c r="Q23" s="27">
        <v>4.3900000000000002E-2</v>
      </c>
      <c r="S23" s="27">
        <v>4.0800000000000003E-2</v>
      </c>
      <c r="U23" s="12">
        <f t="shared" si="2"/>
        <v>8.4699999999999998E-2</v>
      </c>
    </row>
    <row r="24" spans="1:34">
      <c r="A24" s="174">
        <v>2006</v>
      </c>
      <c r="C24" s="27">
        <v>0.1032</v>
      </c>
      <c r="E24" s="174">
        <v>26</v>
      </c>
      <c r="G24" s="27">
        <v>0.10400000000000001</v>
      </c>
      <c r="I24" s="174">
        <v>15</v>
      </c>
      <c r="K24" s="27">
        <f t="shared" si="0"/>
        <v>0.10349268292682925</v>
      </c>
      <c r="M24" s="174">
        <f t="shared" si="1"/>
        <v>41</v>
      </c>
      <c r="O24" s="12">
        <v>0.15609999999999999</v>
      </c>
      <c r="Q24" s="27">
        <v>4.7E-2</v>
      </c>
      <c r="S24" s="27">
        <v>4.1599999999999998E-2</v>
      </c>
      <c r="U24" s="12">
        <f t="shared" si="2"/>
        <v>8.8599999999999998E-2</v>
      </c>
    </row>
    <row r="25" spans="1:34">
      <c r="A25" s="174">
        <v>2007</v>
      </c>
      <c r="C25" s="27">
        <v>0.10300000000000001</v>
      </c>
      <c r="E25" s="174">
        <v>38</v>
      </c>
      <c r="G25" s="27">
        <v>0.10220000000000001</v>
      </c>
      <c r="I25" s="174">
        <v>35</v>
      </c>
      <c r="K25" s="27">
        <f t="shared" si="0"/>
        <v>0.10261643835616439</v>
      </c>
      <c r="M25" s="174">
        <f t="shared" si="1"/>
        <v>73</v>
      </c>
      <c r="O25" s="12">
        <v>5.4800000000000001E-2</v>
      </c>
      <c r="Q25" s="27">
        <v>4.02E-2</v>
      </c>
      <c r="S25" s="27">
        <v>4.3700000000000003E-2</v>
      </c>
      <c r="U25" s="12">
        <f t="shared" si="2"/>
        <v>8.3900000000000002E-2</v>
      </c>
    </row>
    <row r="26" spans="1:34">
      <c r="A26" s="174">
        <v>2008</v>
      </c>
      <c r="C26" s="27">
        <v>0.1041</v>
      </c>
      <c r="E26" s="174">
        <v>37</v>
      </c>
      <c r="G26" s="27">
        <v>0.10390000000000001</v>
      </c>
      <c r="I26" s="174">
        <v>32</v>
      </c>
      <c r="K26" s="27">
        <f t="shared" si="0"/>
        <v>0.10400724637681161</v>
      </c>
      <c r="M26" s="174">
        <f t="shared" si="1"/>
        <v>69</v>
      </c>
      <c r="O26" s="12">
        <v>-0.36549999999999999</v>
      </c>
      <c r="Q26" s="27">
        <v>2.2100000000000002E-2</v>
      </c>
      <c r="S26" s="27">
        <v>6.4299999999999996E-2</v>
      </c>
      <c r="U26" s="12">
        <f t="shared" si="2"/>
        <v>8.6400000000000005E-2</v>
      </c>
    </row>
    <row r="27" spans="1:34">
      <c r="A27" s="174">
        <v>2009</v>
      </c>
      <c r="C27" s="27">
        <v>0.1052</v>
      </c>
      <c r="E27" s="174">
        <v>40</v>
      </c>
      <c r="G27" s="27">
        <v>0.10220000000000001</v>
      </c>
      <c r="I27" s="174">
        <v>30</v>
      </c>
      <c r="K27" s="27">
        <f t="shared" si="0"/>
        <v>0.10391428571428572</v>
      </c>
      <c r="M27" s="174">
        <f t="shared" si="1"/>
        <v>70</v>
      </c>
      <c r="O27" s="12">
        <v>0.25940000000000002</v>
      </c>
      <c r="Q27" s="27">
        <v>3.8399999999999997E-2</v>
      </c>
      <c r="S27" s="27">
        <v>4.36E-2</v>
      </c>
      <c r="U27" s="12">
        <f t="shared" si="2"/>
        <v>8.199999999999999E-2</v>
      </c>
    </row>
    <row r="28" spans="1:34">
      <c r="A28" s="174">
        <v>2010</v>
      </c>
      <c r="C28" s="27">
        <v>0.10369999999999999</v>
      </c>
      <c r="E28" s="174">
        <v>61</v>
      </c>
      <c r="G28" s="27">
        <v>0.10150000000000001</v>
      </c>
      <c r="I28" s="174">
        <v>39</v>
      </c>
      <c r="K28" s="27">
        <f t="shared" si="0"/>
        <v>0.10284199999999999</v>
      </c>
      <c r="M28" s="174">
        <f t="shared" si="1"/>
        <v>100</v>
      </c>
      <c r="O28" s="12">
        <v>0.1482</v>
      </c>
      <c r="Q28" s="27">
        <v>3.2899999999999999E-2</v>
      </c>
      <c r="S28" s="27">
        <v>5.1999999999999998E-2</v>
      </c>
      <c r="U28" s="12">
        <f t="shared" si="2"/>
        <v>8.4900000000000003E-2</v>
      </c>
    </row>
    <row r="29" spans="1:34">
      <c r="A29" s="174">
        <v>2011</v>
      </c>
      <c r="C29" s="27">
        <v>0.10289999999999999</v>
      </c>
      <c r="E29" s="174">
        <v>42</v>
      </c>
      <c r="G29" s="27">
        <v>9.9199999999999997E-2</v>
      </c>
      <c r="I29" s="174">
        <v>16</v>
      </c>
      <c r="K29" s="27">
        <f t="shared" si="0"/>
        <v>0.10187931034482758</v>
      </c>
      <c r="M29" s="174">
        <f t="shared" si="1"/>
        <v>58</v>
      </c>
      <c r="O29" s="12">
        <v>2.1000000000000001E-2</v>
      </c>
      <c r="Q29" s="27">
        <v>1.8800000000000001E-2</v>
      </c>
      <c r="S29" s="27">
        <v>6.0100000000000001E-2</v>
      </c>
      <c r="U29" s="12">
        <f t="shared" si="2"/>
        <v>7.8899999999999998E-2</v>
      </c>
      <c r="AH29" s="174" t="s">
        <v>176</v>
      </c>
    </row>
    <row r="30" spans="1:34">
      <c r="A30" s="174">
        <v>2012</v>
      </c>
      <c r="C30" s="27">
        <v>0.1017</v>
      </c>
      <c r="E30" s="174">
        <v>58</v>
      </c>
      <c r="G30" s="27">
        <v>9.9399999999999988E-2</v>
      </c>
      <c r="I30" s="174">
        <v>35</v>
      </c>
      <c r="K30" s="27">
        <f t="shared" si="0"/>
        <v>0.10083440860215054</v>
      </c>
      <c r="M30" s="174">
        <f t="shared" si="1"/>
        <v>93</v>
      </c>
      <c r="O30" s="12">
        <v>0.15890000000000001</v>
      </c>
      <c r="Q30" s="27">
        <v>1.7600000000000001E-2</v>
      </c>
      <c r="S30" s="27">
        <v>5.7799999999999997E-2</v>
      </c>
      <c r="U30" s="12">
        <f t="shared" si="2"/>
        <v>7.5399999999999995E-2</v>
      </c>
      <c r="AH30" s="14">
        <f>'12 COE Summary'!C9</f>
        <v>6.8944188432955744E-2</v>
      </c>
    </row>
    <row r="31" spans="1:34">
      <c r="A31" s="174">
        <v>2013</v>
      </c>
      <c r="C31" s="27">
        <v>0.1003</v>
      </c>
      <c r="E31" s="174">
        <v>49</v>
      </c>
      <c r="G31" s="27">
        <v>9.6799999999999997E-2</v>
      </c>
      <c r="I31" s="174">
        <v>21</v>
      </c>
      <c r="K31" s="27">
        <f t="shared" si="0"/>
        <v>9.9249999999999991E-2</v>
      </c>
      <c r="M31" s="174">
        <f t="shared" si="1"/>
        <v>70</v>
      </c>
      <c r="O31" s="12">
        <v>0.32150000000000001</v>
      </c>
      <c r="Q31" s="27">
        <v>3.04E-2</v>
      </c>
      <c r="S31" s="27">
        <v>4.9599999999999998E-2</v>
      </c>
      <c r="U31" s="12">
        <f t="shared" si="2"/>
        <v>0.08</v>
      </c>
    </row>
    <row r="32" spans="1:34">
      <c r="A32" s="174">
        <v>2014</v>
      </c>
      <c r="C32" s="27">
        <v>9.9100000000000008E-2</v>
      </c>
      <c r="E32" s="174">
        <v>38</v>
      </c>
      <c r="G32" s="27">
        <v>9.7799999999999998E-2</v>
      </c>
      <c r="I32" s="174">
        <v>26</v>
      </c>
      <c r="K32" s="27">
        <f t="shared" si="0"/>
        <v>9.8571875000000003E-2</v>
      </c>
      <c r="M32" s="174">
        <f t="shared" si="1"/>
        <v>64</v>
      </c>
      <c r="O32" s="12">
        <v>0.13519999999999999</v>
      </c>
      <c r="Q32" s="27">
        <v>2.1700000000000001E-2</v>
      </c>
      <c r="S32" s="27">
        <v>5.7799999999999997E-2</v>
      </c>
      <c r="U32" s="12">
        <f t="shared" si="2"/>
        <v>7.9500000000000001E-2</v>
      </c>
      <c r="X32" s="10"/>
      <c r="AH32" s="174" t="s">
        <v>177</v>
      </c>
    </row>
    <row r="33" spans="1:34">
      <c r="A33" s="174">
        <v>2015</v>
      </c>
      <c r="C33" s="27">
        <v>9.849999999999999E-2</v>
      </c>
      <c r="E33" s="174">
        <v>30</v>
      </c>
      <c r="G33" s="27">
        <v>9.6000000000000002E-2</v>
      </c>
      <c r="I33" s="174">
        <v>16</v>
      </c>
      <c r="K33" s="27">
        <f t="shared" si="0"/>
        <v>9.7630434782608688E-2</v>
      </c>
      <c r="M33" s="174">
        <f t="shared" si="1"/>
        <v>46</v>
      </c>
      <c r="O33" s="12">
        <v>1.38E-2</v>
      </c>
      <c r="Q33" s="27">
        <v>2.2700000000000001E-2</v>
      </c>
      <c r="S33" s="27">
        <v>6.1199999999999997E-2</v>
      </c>
      <c r="U33" s="12">
        <f t="shared" si="2"/>
        <v>8.3900000000000002E-2</v>
      </c>
      <c r="AH33" s="27">
        <v>0.1075</v>
      </c>
    </row>
    <row r="34" spans="1:34">
      <c r="A34" s="174">
        <v>2016</v>
      </c>
      <c r="C34" s="27">
        <v>9.7699999999999995E-2</v>
      </c>
      <c r="E34" s="174">
        <v>42</v>
      </c>
      <c r="G34" s="27">
        <v>9.5399999999999985E-2</v>
      </c>
      <c r="I34" s="174">
        <v>26</v>
      </c>
      <c r="K34" s="27">
        <f t="shared" si="0"/>
        <v>9.6820588235294103E-2</v>
      </c>
      <c r="M34" s="174">
        <f t="shared" si="1"/>
        <v>68</v>
      </c>
      <c r="O34" s="12">
        <v>0.1177</v>
      </c>
      <c r="Q34" s="27">
        <v>2.4500000000000001E-2</v>
      </c>
      <c r="S34" s="27">
        <v>5.6899999999999999E-2</v>
      </c>
      <c r="U34" s="12">
        <f t="shared" si="2"/>
        <v>8.14E-2</v>
      </c>
      <c r="AC34" s="10"/>
    </row>
    <row r="35" spans="1:34">
      <c r="A35" s="18">
        <v>2017</v>
      </c>
      <c r="C35" s="27">
        <v>9.74E-2</v>
      </c>
      <c r="E35" s="174">
        <v>53</v>
      </c>
      <c r="G35" s="27">
        <v>9.7200000000000009E-2</v>
      </c>
      <c r="I35" s="174">
        <v>24</v>
      </c>
      <c r="K35" s="27">
        <f t="shared" si="0"/>
        <v>9.7337662337662334E-2</v>
      </c>
      <c r="M35" s="174">
        <f t="shared" si="1"/>
        <v>77</v>
      </c>
      <c r="O35" s="12">
        <v>0.21609999999999999</v>
      </c>
      <c r="Q35" s="27">
        <v>2.41E-2</v>
      </c>
      <c r="S35" s="27">
        <v>5.0799999999999998E-2</v>
      </c>
      <c r="U35" s="12">
        <f t="shared" si="2"/>
        <v>7.4899999999999994E-2</v>
      </c>
      <c r="AH35" s="174" t="s">
        <v>184</v>
      </c>
    </row>
    <row r="36" spans="1:34">
      <c r="A36" s="18">
        <v>2018</v>
      </c>
      <c r="C36" s="27">
        <v>9.64E-2</v>
      </c>
      <c r="E36" s="174">
        <v>37</v>
      </c>
      <c r="G36" s="27">
        <v>9.6199999999999994E-2</v>
      </c>
      <c r="I36" s="174">
        <v>26</v>
      </c>
      <c r="K36" s="27">
        <f t="shared" si="0"/>
        <v>9.6317460317460329E-2</v>
      </c>
      <c r="M36" s="174">
        <f t="shared" si="1"/>
        <v>63</v>
      </c>
      <c r="O36" s="12">
        <v>-4.2299999999999997E-2</v>
      </c>
      <c r="Q36" s="27">
        <v>2.6800000000000001E-2</v>
      </c>
      <c r="S36" s="27">
        <v>5.96E-2</v>
      </c>
      <c r="U36" s="12">
        <f t="shared" si="2"/>
        <v>8.6400000000000005E-2</v>
      </c>
    </row>
    <row r="37" spans="1:34">
      <c r="A37" s="18">
        <v>2019</v>
      </c>
      <c r="C37" s="27">
        <v>9.64E-2</v>
      </c>
      <c r="E37" s="174">
        <v>67</v>
      </c>
      <c r="G37" s="27">
        <v>9.6699999999999994E-2</v>
      </c>
      <c r="I37" s="174">
        <v>27</v>
      </c>
      <c r="K37" s="27">
        <f t="shared" si="0"/>
        <v>9.6486170212765954E-2</v>
      </c>
      <c r="M37" s="174">
        <f t="shared" si="1"/>
        <v>94</v>
      </c>
      <c r="O37" s="12">
        <v>0.31219999999999998</v>
      </c>
      <c r="Q37" s="27">
        <v>1.9199999999999998E-2</v>
      </c>
      <c r="S37" s="27">
        <v>5.1999999999999998E-2</v>
      </c>
      <c r="U37" s="12">
        <f t="shared" si="2"/>
        <v>7.1199999999999999E-2</v>
      </c>
      <c r="AH37" s="27">
        <v>9.5000000000000001E-2</v>
      </c>
    </row>
    <row r="38" spans="1:34">
      <c r="A38" s="150">
        <v>2019</v>
      </c>
      <c r="C38" s="27"/>
      <c r="G38" s="27"/>
      <c r="K38" s="27"/>
      <c r="O38" s="12"/>
      <c r="Q38" s="27"/>
      <c r="S38" s="27"/>
      <c r="U38" s="12"/>
    </row>
    <row r="39" spans="1:3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1" spans="1:34">
      <c r="A41" s="11"/>
      <c r="C41" s="12"/>
      <c r="G41" s="12"/>
    </row>
    <row r="42" spans="1:34" ht="15" customHeight="1">
      <c r="A42" s="204" t="s">
        <v>153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</row>
    <row r="43" spans="1:34">
      <c r="A43" s="204" t="s">
        <v>154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</row>
    <row r="44" spans="1:34" ht="15" customHeight="1">
      <c r="A44" s="204" t="s">
        <v>144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</row>
    <row r="45" spans="1:34">
      <c r="A45" s="205" t="s">
        <v>145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</row>
    <row r="46" spans="1:34">
      <c r="A46" s="175" t="s">
        <v>178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</row>
    <row r="47" spans="1:34">
      <c r="A47" s="175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</row>
    <row r="48" spans="1:34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</row>
    <row r="49" spans="1:21">
      <c r="A49" s="175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</row>
  </sheetData>
  <mergeCells count="10">
    <mergeCell ref="A42:U42"/>
    <mergeCell ref="A43:U43"/>
    <mergeCell ref="A44:U44"/>
    <mergeCell ref="A45:U45"/>
    <mergeCell ref="C3:E3"/>
    <mergeCell ref="G3:I3"/>
    <mergeCell ref="K3:M3"/>
    <mergeCell ref="C5:E5"/>
    <mergeCell ref="G5:I5"/>
    <mergeCell ref="K5:M5"/>
  </mergeCells>
  <printOptions horizontalCentered="1"/>
  <pageMargins left="0.7" right="0.7" top="0.75" bottom="0.75" header="0.3" footer="0.3"/>
  <pageSetup scale="82" orientation="portrait" horizontalDpi="1200" verticalDpi="1200" r:id="rId1"/>
  <headerFooter scaleWithDoc="0">
    <oddHeader xml:space="preserve">&amp;C&amp;"-,Bold"&amp;14Market Cost of Equity vs. Awarded Returns
&amp;RExhibit DJG-14&amp;8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D7CB-7A97-4142-8C2B-C2C9820636FF}">
  <sheetPr>
    <tabColor theme="3"/>
  </sheetPr>
  <dimension ref="A4:B13"/>
  <sheetViews>
    <sheetView zoomScale="80" zoomScaleNormal="80" workbookViewId="0"/>
  </sheetViews>
  <sheetFormatPr defaultColWidth="8.85546875" defaultRowHeight="15"/>
  <cols>
    <col min="1" max="1" width="38" style="174" bestFit="1" customWidth="1"/>
    <col min="2" max="2" width="5.85546875" style="174" bestFit="1" customWidth="1"/>
    <col min="3" max="16384" width="8.85546875" style="174"/>
  </cols>
  <sheetData>
    <row r="4" spans="1:2">
      <c r="A4" s="136" t="s">
        <v>66</v>
      </c>
      <c r="B4" s="137" t="s">
        <v>120</v>
      </c>
    </row>
    <row r="5" spans="1:2" ht="15.75">
      <c r="A5" s="138" t="s">
        <v>155</v>
      </c>
      <c r="B5" s="139">
        <v>0.28000000000000003</v>
      </c>
    </row>
    <row r="6" spans="1:2" ht="15.75">
      <c r="A6" s="138" t="s">
        <v>179</v>
      </c>
      <c r="B6" s="139">
        <v>0.97</v>
      </c>
    </row>
    <row r="7" spans="1:2" ht="15.75">
      <c r="A7" s="138" t="s">
        <v>180</v>
      </c>
      <c r="B7" s="139">
        <v>1.26</v>
      </c>
    </row>
    <row r="8" spans="1:2" ht="15.75">
      <c r="A8" s="138" t="s">
        <v>181</v>
      </c>
      <c r="B8" s="139">
        <v>1.4</v>
      </c>
    </row>
    <row r="9" spans="1:2" ht="15.75">
      <c r="A9" s="138" t="s">
        <v>182</v>
      </c>
      <c r="B9" s="139">
        <v>1.6</v>
      </c>
    </row>
    <row r="10" spans="1:2" ht="15.75">
      <c r="A10" s="138"/>
    </row>
    <row r="11" spans="1:2" ht="15.75">
      <c r="A11" s="138"/>
    </row>
    <row r="13" spans="1:2" ht="15.75">
      <c r="A13" s="140" t="s">
        <v>121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5B6C-D16C-4C67-916C-02757FA9D5D8}">
  <sheetPr>
    <tabColor theme="3"/>
  </sheetPr>
  <dimension ref="A4:F512"/>
  <sheetViews>
    <sheetView workbookViewId="0"/>
  </sheetViews>
  <sheetFormatPr defaultRowHeight="15"/>
  <cols>
    <col min="1" max="2" width="9.7109375" customWidth="1"/>
  </cols>
  <sheetData>
    <row r="4" spans="1:6">
      <c r="A4" t="s">
        <v>31</v>
      </c>
      <c r="C4" s="12">
        <f>'7 Risk Free Rate'!E35</f>
        <v>1.4126666666666664E-2</v>
      </c>
      <c r="D4" s="170"/>
      <c r="E4" s="170"/>
      <c r="F4" s="170"/>
    </row>
    <row r="5" spans="1:6">
      <c r="A5" t="s">
        <v>122</v>
      </c>
      <c r="C5" s="12">
        <f>'10 ERP Result'!C16</f>
        <v>0.06</v>
      </c>
    </row>
    <row r="6" spans="1:6">
      <c r="A6" t="s">
        <v>52</v>
      </c>
      <c r="C6" s="92">
        <f>'8 Beta'!E13</f>
        <v>0.85</v>
      </c>
    </row>
    <row r="7" spans="1:6">
      <c r="A7" t="s">
        <v>133</v>
      </c>
      <c r="C7" s="92">
        <f>'11 CAPM Result'!L16</f>
        <v>6.5126666666666666E-2</v>
      </c>
    </row>
    <row r="9" spans="1:6">
      <c r="A9" s="1" t="s">
        <v>123</v>
      </c>
      <c r="B9" s="1" t="s">
        <v>124</v>
      </c>
      <c r="C9" s="1" t="s">
        <v>125</v>
      </c>
    </row>
    <row r="10" spans="1:6">
      <c r="A10" s="10">
        <v>0</v>
      </c>
      <c r="B10" s="141">
        <f>A10*$C$5+$C$4</f>
        <v>1.4126666666666664E-2</v>
      </c>
      <c r="C10" s="141">
        <f>$B$12</f>
        <v>6.5126666666666666E-2</v>
      </c>
      <c r="D10" s="141">
        <f>$A$12</f>
        <v>0.85</v>
      </c>
      <c r="E10" s="141">
        <v>0</v>
      </c>
    </row>
    <row r="11" spans="1:6">
      <c r="A11" s="10">
        <v>0.5</v>
      </c>
      <c r="B11" s="141">
        <f t="shared" ref="B11:B13" si="0">A11*$C$5+$C$4</f>
        <v>4.4126666666666661E-2</v>
      </c>
      <c r="C11" s="141">
        <f t="shared" ref="C11:C12" si="1">$B$12</f>
        <v>6.5126666666666666E-2</v>
      </c>
      <c r="D11" s="141">
        <f>$A$12</f>
        <v>0.85</v>
      </c>
      <c r="E11" s="141">
        <f>$C$10</f>
        <v>6.5126666666666666E-2</v>
      </c>
    </row>
    <row r="12" spans="1:6">
      <c r="A12" s="142">
        <f>C6</f>
        <v>0.85</v>
      </c>
      <c r="B12" s="143">
        <f t="shared" si="0"/>
        <v>6.5126666666666666E-2</v>
      </c>
      <c r="C12" s="141">
        <f t="shared" si="1"/>
        <v>6.5126666666666666E-2</v>
      </c>
    </row>
    <row r="13" spans="1:6">
      <c r="A13" s="10">
        <v>1</v>
      </c>
      <c r="B13" s="141">
        <f t="shared" si="0"/>
        <v>7.412666666666666E-2</v>
      </c>
      <c r="C13" s="141"/>
    </row>
    <row r="14" spans="1:6">
      <c r="A14" s="10"/>
      <c r="B14" s="141"/>
      <c r="C14" s="141"/>
    </row>
    <row r="15" spans="1:6">
      <c r="A15" s="141"/>
      <c r="B15" s="141"/>
    </row>
    <row r="16" spans="1:6">
      <c r="A16" s="141"/>
      <c r="B16" s="141"/>
    </row>
    <row r="20" spans="1:2">
      <c r="A20" s="141"/>
      <c r="B20" s="141"/>
    </row>
    <row r="21" spans="1:2">
      <c r="A21" s="141"/>
      <c r="B21" s="141"/>
    </row>
    <row r="22" spans="1:2">
      <c r="A22" s="141"/>
      <c r="B22" s="141"/>
    </row>
    <row r="23" spans="1:2">
      <c r="A23" s="141"/>
      <c r="B23" s="141"/>
    </row>
    <row r="24" spans="1:2">
      <c r="A24" s="141"/>
      <c r="B24" s="141"/>
    </row>
    <row r="25" spans="1:2">
      <c r="A25" s="141"/>
      <c r="B25" s="141"/>
    </row>
    <row r="26" spans="1:2">
      <c r="A26" s="141"/>
      <c r="B26" s="141"/>
    </row>
    <row r="27" spans="1:2">
      <c r="A27" s="141"/>
      <c r="B27" s="141"/>
    </row>
    <row r="28" spans="1:2">
      <c r="A28" s="141"/>
      <c r="B28" s="141"/>
    </row>
    <row r="29" spans="1:2">
      <c r="A29" s="141"/>
      <c r="B29" s="141"/>
    </row>
    <row r="30" spans="1:2">
      <c r="A30" s="141"/>
      <c r="B30" s="141"/>
    </row>
    <row r="31" spans="1:2">
      <c r="A31" s="141"/>
      <c r="B31" s="141"/>
    </row>
    <row r="32" spans="1:2">
      <c r="A32" s="141"/>
      <c r="B32" s="141"/>
    </row>
    <row r="33" spans="1:2">
      <c r="A33" s="141"/>
      <c r="B33" s="141"/>
    </row>
    <row r="34" spans="1:2">
      <c r="A34" s="141"/>
      <c r="B34" s="141"/>
    </row>
    <row r="35" spans="1:2">
      <c r="A35" s="141"/>
      <c r="B35" s="141"/>
    </row>
    <row r="36" spans="1:2">
      <c r="A36" s="141"/>
      <c r="B36" s="141"/>
    </row>
    <row r="37" spans="1:2">
      <c r="A37" s="141"/>
      <c r="B37" s="141"/>
    </row>
    <row r="38" spans="1:2">
      <c r="A38" s="141"/>
      <c r="B38" s="141"/>
    </row>
    <row r="39" spans="1:2">
      <c r="A39" s="141"/>
      <c r="B39" s="141"/>
    </row>
    <row r="40" spans="1:2">
      <c r="A40" s="141"/>
      <c r="B40" s="141"/>
    </row>
    <row r="41" spans="1:2">
      <c r="A41" s="141"/>
      <c r="B41" s="141"/>
    </row>
    <row r="42" spans="1:2">
      <c r="A42" s="141"/>
      <c r="B42" s="141"/>
    </row>
    <row r="43" spans="1:2">
      <c r="A43" s="141"/>
      <c r="B43" s="141"/>
    </row>
    <row r="44" spans="1:2">
      <c r="A44" s="141"/>
      <c r="B44" s="141"/>
    </row>
    <row r="45" spans="1:2">
      <c r="A45" s="141"/>
      <c r="B45" s="141"/>
    </row>
    <row r="46" spans="1:2">
      <c r="A46" s="141"/>
      <c r="B46" s="141"/>
    </row>
    <row r="47" spans="1:2">
      <c r="A47" s="141"/>
      <c r="B47" s="141"/>
    </row>
    <row r="48" spans="1:2">
      <c r="A48" s="141"/>
      <c r="B48" s="141"/>
    </row>
    <row r="49" spans="1:2">
      <c r="A49" s="141"/>
      <c r="B49" s="141"/>
    </row>
    <row r="50" spans="1:2">
      <c r="A50" s="141"/>
      <c r="B50" s="141"/>
    </row>
    <row r="51" spans="1:2">
      <c r="A51" s="141"/>
      <c r="B51" s="141"/>
    </row>
    <row r="52" spans="1:2">
      <c r="A52" s="141"/>
      <c r="B52" s="141"/>
    </row>
    <row r="53" spans="1:2">
      <c r="A53" s="141"/>
      <c r="B53" s="141"/>
    </row>
    <row r="54" spans="1:2">
      <c r="A54" s="141"/>
      <c r="B54" s="141"/>
    </row>
    <row r="55" spans="1:2">
      <c r="A55" s="141"/>
      <c r="B55" s="141"/>
    </row>
    <row r="56" spans="1:2">
      <c r="A56" s="141"/>
      <c r="B56" s="141"/>
    </row>
    <row r="57" spans="1:2">
      <c r="A57" s="141"/>
      <c r="B57" s="141"/>
    </row>
    <row r="58" spans="1:2">
      <c r="A58" s="141"/>
      <c r="B58" s="141"/>
    </row>
    <row r="59" spans="1:2">
      <c r="A59" s="141"/>
      <c r="B59" s="141"/>
    </row>
    <row r="60" spans="1:2">
      <c r="A60" s="141"/>
      <c r="B60" s="141"/>
    </row>
    <row r="61" spans="1:2">
      <c r="A61" s="141"/>
      <c r="B61" s="141"/>
    </row>
    <row r="62" spans="1:2">
      <c r="A62" s="141"/>
      <c r="B62" s="141"/>
    </row>
    <row r="63" spans="1:2">
      <c r="A63" s="141"/>
      <c r="B63" s="141"/>
    </row>
    <row r="64" spans="1:2">
      <c r="A64" s="141"/>
      <c r="B64" s="141"/>
    </row>
    <row r="65" spans="1:2">
      <c r="A65" s="141"/>
      <c r="B65" s="141"/>
    </row>
    <row r="66" spans="1:2">
      <c r="A66" s="141"/>
      <c r="B66" s="141"/>
    </row>
    <row r="67" spans="1:2">
      <c r="A67" s="141"/>
      <c r="B67" s="141"/>
    </row>
    <row r="68" spans="1:2">
      <c r="A68" s="141"/>
      <c r="B68" s="141"/>
    </row>
    <row r="69" spans="1:2">
      <c r="A69" s="141"/>
      <c r="B69" s="141"/>
    </row>
    <row r="70" spans="1:2">
      <c r="A70" s="141"/>
      <c r="B70" s="141"/>
    </row>
    <row r="71" spans="1:2">
      <c r="A71" s="141"/>
      <c r="B71" s="141"/>
    </row>
    <row r="72" spans="1:2">
      <c r="A72" s="141"/>
      <c r="B72" s="141"/>
    </row>
    <row r="73" spans="1:2">
      <c r="A73" s="141"/>
      <c r="B73" s="141"/>
    </row>
    <row r="74" spans="1:2">
      <c r="A74" s="141"/>
      <c r="B74" s="141"/>
    </row>
    <row r="75" spans="1:2">
      <c r="A75" s="141"/>
      <c r="B75" s="141"/>
    </row>
    <row r="76" spans="1:2">
      <c r="A76" s="141"/>
      <c r="B76" s="141"/>
    </row>
    <row r="77" spans="1:2">
      <c r="A77" s="141"/>
      <c r="B77" s="141"/>
    </row>
    <row r="78" spans="1:2">
      <c r="A78" s="141"/>
      <c r="B78" s="141"/>
    </row>
    <row r="79" spans="1:2">
      <c r="A79" s="141"/>
      <c r="B79" s="141"/>
    </row>
    <row r="80" spans="1:2">
      <c r="A80" s="141"/>
      <c r="B80" s="141"/>
    </row>
    <row r="81" spans="1:2">
      <c r="A81" s="141"/>
      <c r="B81" s="141"/>
    </row>
    <row r="82" spans="1:2">
      <c r="A82" s="141"/>
      <c r="B82" s="141"/>
    </row>
    <row r="83" spans="1:2">
      <c r="A83" s="141"/>
      <c r="B83" s="141"/>
    </row>
    <row r="84" spans="1:2">
      <c r="A84" s="141"/>
      <c r="B84" s="141"/>
    </row>
    <row r="85" spans="1:2">
      <c r="A85" s="141"/>
      <c r="B85" s="141"/>
    </row>
    <row r="86" spans="1:2">
      <c r="A86" s="141"/>
      <c r="B86" s="141"/>
    </row>
    <row r="87" spans="1:2">
      <c r="A87" s="141"/>
      <c r="B87" s="141"/>
    </row>
    <row r="88" spans="1:2">
      <c r="A88" s="141"/>
      <c r="B88" s="141"/>
    </row>
    <row r="89" spans="1:2">
      <c r="A89" s="141"/>
      <c r="B89" s="141"/>
    </row>
    <row r="90" spans="1:2">
      <c r="A90" s="141"/>
      <c r="B90" s="141"/>
    </row>
    <row r="91" spans="1:2">
      <c r="A91" s="141"/>
      <c r="B91" s="141"/>
    </row>
    <row r="92" spans="1:2">
      <c r="A92" s="141"/>
      <c r="B92" s="141"/>
    </row>
    <row r="93" spans="1:2">
      <c r="A93" s="141"/>
      <c r="B93" s="141"/>
    </row>
    <row r="94" spans="1:2">
      <c r="A94" s="141"/>
      <c r="B94" s="141"/>
    </row>
    <row r="95" spans="1:2">
      <c r="A95" s="141"/>
      <c r="B95" s="141"/>
    </row>
    <row r="96" spans="1:2">
      <c r="A96" s="141"/>
      <c r="B96" s="141"/>
    </row>
    <row r="97" spans="1:2">
      <c r="A97" s="141"/>
      <c r="B97" s="141"/>
    </row>
    <row r="98" spans="1:2">
      <c r="A98" s="141"/>
      <c r="B98" s="141"/>
    </row>
    <row r="99" spans="1:2">
      <c r="A99" s="141"/>
      <c r="B99" s="141"/>
    </row>
    <row r="100" spans="1:2">
      <c r="A100" s="141"/>
      <c r="B100" s="141"/>
    </row>
    <row r="101" spans="1:2">
      <c r="A101" s="141"/>
      <c r="B101" s="141"/>
    </row>
    <row r="102" spans="1:2">
      <c r="A102" s="141"/>
      <c r="B102" s="141"/>
    </row>
    <row r="103" spans="1:2">
      <c r="A103" s="141"/>
      <c r="B103" s="141"/>
    </row>
    <row r="104" spans="1:2">
      <c r="A104" s="141"/>
      <c r="B104" s="141"/>
    </row>
    <row r="105" spans="1:2">
      <c r="A105" s="141"/>
      <c r="B105" s="141"/>
    </row>
    <row r="106" spans="1:2">
      <c r="A106" s="141"/>
      <c r="B106" s="141"/>
    </row>
    <row r="107" spans="1:2">
      <c r="A107" s="141"/>
      <c r="B107" s="141"/>
    </row>
    <row r="108" spans="1:2">
      <c r="A108" s="141"/>
      <c r="B108" s="141"/>
    </row>
    <row r="109" spans="1:2">
      <c r="A109" s="141"/>
      <c r="B109" s="141"/>
    </row>
    <row r="110" spans="1:2">
      <c r="A110" s="141"/>
      <c r="B110" s="141"/>
    </row>
    <row r="111" spans="1:2">
      <c r="A111" s="141"/>
      <c r="B111" s="141"/>
    </row>
    <row r="112" spans="1:2">
      <c r="A112" s="141"/>
      <c r="B112" s="141"/>
    </row>
    <row r="113" spans="1:2">
      <c r="A113" s="141"/>
      <c r="B113" s="141"/>
    </row>
    <row r="114" spans="1:2">
      <c r="A114" s="141"/>
      <c r="B114" s="141"/>
    </row>
    <row r="115" spans="1:2">
      <c r="A115" s="141"/>
      <c r="B115" s="141"/>
    </row>
    <row r="116" spans="1:2">
      <c r="A116" s="141"/>
      <c r="B116" s="141"/>
    </row>
    <row r="117" spans="1:2">
      <c r="A117" s="141"/>
      <c r="B117" s="141"/>
    </row>
    <row r="118" spans="1:2">
      <c r="A118" s="141"/>
      <c r="B118" s="141"/>
    </row>
    <row r="119" spans="1:2">
      <c r="A119" s="141"/>
      <c r="B119" s="141"/>
    </row>
    <row r="120" spans="1:2">
      <c r="A120" s="141"/>
      <c r="B120" s="141"/>
    </row>
    <row r="121" spans="1:2">
      <c r="A121" s="141"/>
      <c r="B121" s="141"/>
    </row>
    <row r="122" spans="1:2">
      <c r="A122" s="141"/>
      <c r="B122" s="141"/>
    </row>
    <row r="123" spans="1:2">
      <c r="A123" s="141"/>
      <c r="B123" s="141"/>
    </row>
    <row r="124" spans="1:2">
      <c r="A124" s="141"/>
      <c r="B124" s="141"/>
    </row>
    <row r="125" spans="1:2">
      <c r="A125" s="141"/>
      <c r="B125" s="141"/>
    </row>
    <row r="126" spans="1:2">
      <c r="A126" s="141"/>
      <c r="B126" s="141"/>
    </row>
    <row r="127" spans="1:2">
      <c r="A127" s="141"/>
      <c r="B127" s="141"/>
    </row>
    <row r="128" spans="1:2">
      <c r="A128" s="141"/>
      <c r="B128" s="141"/>
    </row>
    <row r="129" spans="1:2">
      <c r="A129" s="141"/>
      <c r="B129" s="141"/>
    </row>
    <row r="130" spans="1:2">
      <c r="A130" s="141"/>
      <c r="B130" s="141"/>
    </row>
    <row r="131" spans="1:2">
      <c r="A131" s="141"/>
      <c r="B131" s="141"/>
    </row>
    <row r="132" spans="1:2">
      <c r="A132" s="141"/>
      <c r="B132" s="141"/>
    </row>
    <row r="133" spans="1:2">
      <c r="A133" s="141"/>
      <c r="B133" s="141"/>
    </row>
    <row r="134" spans="1:2">
      <c r="A134" s="141"/>
      <c r="B134" s="141"/>
    </row>
    <row r="135" spans="1:2">
      <c r="A135" s="141"/>
      <c r="B135" s="141"/>
    </row>
    <row r="136" spans="1:2">
      <c r="A136" s="141"/>
      <c r="B136" s="141"/>
    </row>
    <row r="137" spans="1:2">
      <c r="A137" s="141"/>
      <c r="B137" s="141"/>
    </row>
    <row r="138" spans="1:2">
      <c r="A138" s="141"/>
      <c r="B138" s="141"/>
    </row>
    <row r="139" spans="1:2">
      <c r="A139" s="141"/>
      <c r="B139" s="141"/>
    </row>
    <row r="140" spans="1:2">
      <c r="A140" s="141"/>
      <c r="B140" s="141"/>
    </row>
    <row r="141" spans="1:2">
      <c r="A141" s="141"/>
      <c r="B141" s="141"/>
    </row>
    <row r="142" spans="1:2">
      <c r="A142" s="141"/>
      <c r="B142" s="141"/>
    </row>
    <row r="143" spans="1:2">
      <c r="A143" s="141"/>
      <c r="B143" s="141"/>
    </row>
    <row r="144" spans="1:2">
      <c r="A144" s="141"/>
      <c r="B144" s="141"/>
    </row>
    <row r="145" spans="1:2">
      <c r="A145" s="141"/>
      <c r="B145" s="141"/>
    </row>
    <row r="146" spans="1:2">
      <c r="A146" s="141"/>
      <c r="B146" s="141"/>
    </row>
    <row r="147" spans="1:2">
      <c r="A147" s="141"/>
      <c r="B147" s="141"/>
    </row>
    <row r="148" spans="1:2">
      <c r="A148" s="141"/>
      <c r="B148" s="141"/>
    </row>
    <row r="149" spans="1:2">
      <c r="A149" s="141"/>
      <c r="B149" s="141"/>
    </row>
    <row r="150" spans="1:2">
      <c r="A150" s="141"/>
      <c r="B150" s="141"/>
    </row>
    <row r="151" spans="1:2">
      <c r="A151" s="141"/>
      <c r="B151" s="141"/>
    </row>
    <row r="152" spans="1:2">
      <c r="A152" s="141"/>
      <c r="B152" s="141"/>
    </row>
    <row r="153" spans="1:2">
      <c r="A153" s="141"/>
      <c r="B153" s="141"/>
    </row>
    <row r="154" spans="1:2">
      <c r="A154" s="141"/>
      <c r="B154" s="141"/>
    </row>
    <row r="155" spans="1:2">
      <c r="A155" s="141"/>
      <c r="B155" s="141"/>
    </row>
    <row r="156" spans="1:2">
      <c r="A156" s="141"/>
      <c r="B156" s="141"/>
    </row>
    <row r="157" spans="1:2">
      <c r="A157" s="141"/>
      <c r="B157" s="141"/>
    </row>
    <row r="158" spans="1:2">
      <c r="A158" s="141"/>
      <c r="B158" s="141"/>
    </row>
    <row r="159" spans="1:2">
      <c r="A159" s="141"/>
      <c r="B159" s="141"/>
    </row>
    <row r="160" spans="1:2">
      <c r="A160" s="141"/>
      <c r="B160" s="141"/>
    </row>
    <row r="161" spans="1:2">
      <c r="A161" s="141"/>
      <c r="B161" s="141"/>
    </row>
    <row r="162" spans="1:2">
      <c r="A162" s="141"/>
      <c r="B162" s="141"/>
    </row>
    <row r="163" spans="1:2">
      <c r="A163" s="141"/>
      <c r="B163" s="141"/>
    </row>
    <row r="164" spans="1:2">
      <c r="A164" s="141"/>
      <c r="B164" s="141"/>
    </row>
    <row r="165" spans="1:2">
      <c r="A165" s="141"/>
      <c r="B165" s="141"/>
    </row>
    <row r="166" spans="1:2">
      <c r="A166" s="141"/>
      <c r="B166" s="141"/>
    </row>
    <row r="167" spans="1:2">
      <c r="A167" s="141"/>
      <c r="B167" s="141"/>
    </row>
    <row r="168" spans="1:2">
      <c r="A168" s="141"/>
      <c r="B168" s="141"/>
    </row>
    <row r="169" spans="1:2">
      <c r="A169" s="141"/>
      <c r="B169" s="141"/>
    </row>
    <row r="170" spans="1:2">
      <c r="A170" s="141"/>
      <c r="B170" s="141"/>
    </row>
    <row r="171" spans="1:2">
      <c r="A171" s="141"/>
      <c r="B171" s="141"/>
    </row>
    <row r="172" spans="1:2">
      <c r="A172" s="141"/>
      <c r="B172" s="141"/>
    </row>
    <row r="173" spans="1:2">
      <c r="A173" s="141"/>
      <c r="B173" s="141"/>
    </row>
    <row r="174" spans="1:2">
      <c r="A174" s="141"/>
      <c r="B174" s="141"/>
    </row>
    <row r="175" spans="1:2">
      <c r="A175" s="141"/>
      <c r="B175" s="141"/>
    </row>
    <row r="176" spans="1:2">
      <c r="A176" s="141"/>
      <c r="B176" s="141"/>
    </row>
    <row r="177" spans="1:2">
      <c r="A177" s="141"/>
      <c r="B177" s="141"/>
    </row>
    <row r="178" spans="1:2">
      <c r="A178" s="141"/>
      <c r="B178" s="141"/>
    </row>
    <row r="179" spans="1:2">
      <c r="A179" s="141"/>
      <c r="B179" s="141"/>
    </row>
    <row r="180" spans="1:2">
      <c r="A180" s="141"/>
      <c r="B180" s="141"/>
    </row>
    <row r="181" spans="1:2">
      <c r="A181" s="141"/>
      <c r="B181" s="141"/>
    </row>
    <row r="182" spans="1:2">
      <c r="A182" s="141"/>
      <c r="B182" s="141"/>
    </row>
    <row r="183" spans="1:2">
      <c r="A183" s="141"/>
      <c r="B183" s="141"/>
    </row>
    <row r="184" spans="1:2">
      <c r="A184" s="141"/>
      <c r="B184" s="141"/>
    </row>
    <row r="185" spans="1:2">
      <c r="A185" s="141"/>
      <c r="B185" s="141"/>
    </row>
    <row r="186" spans="1:2">
      <c r="A186" s="141"/>
      <c r="B186" s="141"/>
    </row>
    <row r="187" spans="1:2">
      <c r="A187" s="141"/>
      <c r="B187" s="141"/>
    </row>
    <row r="188" spans="1:2">
      <c r="A188" s="141"/>
      <c r="B188" s="141"/>
    </row>
    <row r="189" spans="1:2">
      <c r="A189" s="141"/>
      <c r="B189" s="141"/>
    </row>
    <row r="190" spans="1:2">
      <c r="A190" s="141"/>
      <c r="B190" s="141"/>
    </row>
    <row r="191" spans="1:2">
      <c r="A191" s="141"/>
      <c r="B191" s="141"/>
    </row>
    <row r="192" spans="1:2">
      <c r="A192" s="141"/>
      <c r="B192" s="141"/>
    </row>
    <row r="193" spans="1:2">
      <c r="A193" s="141"/>
      <c r="B193" s="141"/>
    </row>
    <row r="194" spans="1:2">
      <c r="A194" s="141"/>
      <c r="B194" s="141"/>
    </row>
    <row r="195" spans="1:2">
      <c r="A195" s="141"/>
      <c r="B195" s="141"/>
    </row>
    <row r="196" spans="1:2">
      <c r="A196" s="141"/>
      <c r="B196" s="141"/>
    </row>
    <row r="197" spans="1:2">
      <c r="A197" s="141"/>
      <c r="B197" s="141"/>
    </row>
    <row r="198" spans="1:2">
      <c r="A198" s="141"/>
      <c r="B198" s="141"/>
    </row>
    <row r="199" spans="1:2">
      <c r="A199" s="141"/>
      <c r="B199" s="141"/>
    </row>
    <row r="200" spans="1:2">
      <c r="A200" s="141"/>
      <c r="B200" s="141"/>
    </row>
    <row r="201" spans="1:2">
      <c r="A201" s="141"/>
      <c r="B201" s="141"/>
    </row>
    <row r="202" spans="1:2">
      <c r="A202" s="141"/>
      <c r="B202" s="141"/>
    </row>
    <row r="203" spans="1:2">
      <c r="A203" s="141"/>
      <c r="B203" s="141"/>
    </row>
    <row r="204" spans="1:2">
      <c r="A204" s="141"/>
      <c r="B204" s="141"/>
    </row>
    <row r="205" spans="1:2">
      <c r="A205" s="141"/>
      <c r="B205" s="141"/>
    </row>
    <row r="206" spans="1:2">
      <c r="A206" s="141"/>
      <c r="B206" s="141"/>
    </row>
    <row r="207" spans="1:2">
      <c r="A207" s="141"/>
      <c r="B207" s="141"/>
    </row>
    <row r="208" spans="1:2">
      <c r="A208" s="141"/>
      <c r="B208" s="141"/>
    </row>
    <row r="209" spans="1:2">
      <c r="A209" s="141"/>
      <c r="B209" s="141"/>
    </row>
    <row r="210" spans="1:2">
      <c r="A210" s="141"/>
      <c r="B210" s="141"/>
    </row>
    <row r="211" spans="1:2">
      <c r="A211" s="141"/>
      <c r="B211" s="141"/>
    </row>
    <row r="212" spans="1:2">
      <c r="A212" s="141"/>
      <c r="B212" s="141"/>
    </row>
    <row r="213" spans="1:2">
      <c r="A213" s="141"/>
      <c r="B213" s="141"/>
    </row>
    <row r="214" spans="1:2">
      <c r="A214" s="141"/>
      <c r="B214" s="141"/>
    </row>
    <row r="215" spans="1:2">
      <c r="A215" s="141"/>
      <c r="B215" s="141"/>
    </row>
    <row r="216" spans="1:2">
      <c r="A216" s="141"/>
      <c r="B216" s="141"/>
    </row>
    <row r="217" spans="1:2">
      <c r="A217" s="141"/>
      <c r="B217" s="141"/>
    </row>
    <row r="218" spans="1:2">
      <c r="A218" s="141"/>
      <c r="B218" s="141"/>
    </row>
    <row r="219" spans="1:2">
      <c r="A219" s="141"/>
      <c r="B219" s="141"/>
    </row>
    <row r="220" spans="1:2">
      <c r="A220" s="141"/>
      <c r="B220" s="141"/>
    </row>
    <row r="221" spans="1:2">
      <c r="A221" s="141"/>
      <c r="B221" s="141"/>
    </row>
    <row r="222" spans="1:2">
      <c r="A222" s="141"/>
      <c r="B222" s="141"/>
    </row>
    <row r="223" spans="1:2">
      <c r="A223" s="141"/>
      <c r="B223" s="141"/>
    </row>
    <row r="224" spans="1:2">
      <c r="A224" s="141"/>
      <c r="B224" s="141"/>
    </row>
    <row r="225" spans="1:2">
      <c r="A225" s="141"/>
      <c r="B225" s="141"/>
    </row>
    <row r="226" spans="1:2">
      <c r="A226" s="141"/>
      <c r="B226" s="141"/>
    </row>
    <row r="227" spans="1:2">
      <c r="A227" s="141"/>
      <c r="B227" s="141"/>
    </row>
    <row r="228" spans="1:2">
      <c r="A228" s="141"/>
      <c r="B228" s="141"/>
    </row>
    <row r="229" spans="1:2">
      <c r="A229" s="141"/>
      <c r="B229" s="141"/>
    </row>
    <row r="230" spans="1:2">
      <c r="A230" s="141"/>
      <c r="B230" s="141"/>
    </row>
    <row r="231" spans="1:2">
      <c r="A231" s="141"/>
      <c r="B231" s="141"/>
    </row>
    <row r="232" spans="1:2">
      <c r="A232" s="141"/>
      <c r="B232" s="141"/>
    </row>
    <row r="233" spans="1:2">
      <c r="A233" s="141"/>
      <c r="B233" s="141"/>
    </row>
    <row r="234" spans="1:2">
      <c r="A234" s="141"/>
      <c r="B234" s="141"/>
    </row>
    <row r="235" spans="1:2">
      <c r="A235" s="141"/>
      <c r="B235" s="141"/>
    </row>
    <row r="236" spans="1:2">
      <c r="A236" s="141"/>
      <c r="B236" s="141"/>
    </row>
    <row r="237" spans="1:2">
      <c r="A237" s="141"/>
      <c r="B237" s="141"/>
    </row>
    <row r="238" spans="1:2">
      <c r="A238" s="141"/>
      <c r="B238" s="141"/>
    </row>
    <row r="239" spans="1:2">
      <c r="A239" s="141"/>
      <c r="B239" s="141"/>
    </row>
    <row r="240" spans="1:2">
      <c r="A240" s="141"/>
      <c r="B240" s="141"/>
    </row>
    <row r="241" spans="1:2">
      <c r="A241" s="141"/>
      <c r="B241" s="141"/>
    </row>
    <row r="242" spans="1:2">
      <c r="A242" s="141"/>
      <c r="B242" s="141"/>
    </row>
    <row r="243" spans="1:2">
      <c r="A243" s="141"/>
      <c r="B243" s="141"/>
    </row>
    <row r="244" spans="1:2">
      <c r="A244" s="141"/>
      <c r="B244" s="141"/>
    </row>
    <row r="245" spans="1:2">
      <c r="A245" s="141"/>
      <c r="B245" s="141"/>
    </row>
    <row r="246" spans="1:2">
      <c r="A246" s="141"/>
      <c r="B246" s="141"/>
    </row>
    <row r="247" spans="1:2">
      <c r="A247" s="141"/>
      <c r="B247" s="141"/>
    </row>
    <row r="248" spans="1:2">
      <c r="A248" s="141"/>
      <c r="B248" s="141"/>
    </row>
    <row r="249" spans="1:2">
      <c r="A249" s="141"/>
      <c r="B249" s="141"/>
    </row>
    <row r="250" spans="1:2">
      <c r="A250" s="141"/>
      <c r="B250" s="141"/>
    </row>
    <row r="251" spans="1:2">
      <c r="A251" s="141"/>
      <c r="B251" s="141"/>
    </row>
    <row r="252" spans="1:2">
      <c r="A252" s="141"/>
      <c r="B252" s="141"/>
    </row>
    <row r="253" spans="1:2">
      <c r="A253" s="141"/>
      <c r="B253" s="141"/>
    </row>
    <row r="254" spans="1:2">
      <c r="A254" s="141"/>
      <c r="B254" s="141"/>
    </row>
    <row r="255" spans="1:2">
      <c r="A255" s="141"/>
      <c r="B255" s="141"/>
    </row>
    <row r="256" spans="1:2">
      <c r="A256" s="141"/>
      <c r="B256" s="141"/>
    </row>
    <row r="257" spans="1:2">
      <c r="A257" s="141"/>
      <c r="B257" s="141"/>
    </row>
    <row r="258" spans="1:2">
      <c r="A258" s="141"/>
      <c r="B258" s="141"/>
    </row>
    <row r="259" spans="1:2">
      <c r="A259" s="141"/>
    </row>
    <row r="260" spans="1:2">
      <c r="A260" s="141"/>
    </row>
    <row r="261" spans="1:2">
      <c r="A261" s="141"/>
    </row>
    <row r="262" spans="1:2">
      <c r="A262" s="141"/>
    </row>
    <row r="263" spans="1:2">
      <c r="A263" s="141"/>
    </row>
    <row r="264" spans="1:2">
      <c r="A264" s="141"/>
    </row>
    <row r="265" spans="1:2">
      <c r="A265" s="141"/>
    </row>
    <row r="266" spans="1:2">
      <c r="A266" s="141"/>
    </row>
    <row r="267" spans="1:2">
      <c r="A267" s="141"/>
    </row>
    <row r="268" spans="1:2">
      <c r="A268" s="141"/>
    </row>
    <row r="269" spans="1:2">
      <c r="A269" s="141"/>
    </row>
    <row r="270" spans="1:2">
      <c r="A270" s="141"/>
    </row>
    <row r="271" spans="1:2">
      <c r="A271" s="141"/>
    </row>
    <row r="272" spans="1:2">
      <c r="A272" s="141"/>
    </row>
    <row r="273" spans="1:1">
      <c r="A273" s="141"/>
    </row>
    <row r="274" spans="1:1">
      <c r="A274" s="141"/>
    </row>
    <row r="275" spans="1:1">
      <c r="A275" s="141"/>
    </row>
    <row r="276" spans="1:1">
      <c r="A276" s="141"/>
    </row>
    <row r="277" spans="1:1">
      <c r="A277" s="141"/>
    </row>
    <row r="278" spans="1:1">
      <c r="A278" s="141"/>
    </row>
    <row r="279" spans="1:1">
      <c r="A279" s="141"/>
    </row>
    <row r="280" spans="1:1">
      <c r="A280" s="141"/>
    </row>
    <row r="281" spans="1:1">
      <c r="A281" s="141"/>
    </row>
    <row r="282" spans="1:1">
      <c r="A282" s="141"/>
    </row>
    <row r="283" spans="1:1">
      <c r="A283" s="141"/>
    </row>
    <row r="284" spans="1:1">
      <c r="A284" s="141"/>
    </row>
    <row r="285" spans="1:1">
      <c r="A285" s="141"/>
    </row>
    <row r="286" spans="1:1">
      <c r="A286" s="141"/>
    </row>
    <row r="287" spans="1:1">
      <c r="A287" s="141"/>
    </row>
    <row r="288" spans="1:1">
      <c r="A288" s="141"/>
    </row>
    <row r="289" spans="1:1">
      <c r="A289" s="141"/>
    </row>
    <row r="290" spans="1:1">
      <c r="A290" s="141"/>
    </row>
    <row r="291" spans="1:1">
      <c r="A291" s="141"/>
    </row>
    <row r="292" spans="1:1">
      <c r="A292" s="141"/>
    </row>
    <row r="293" spans="1:1">
      <c r="A293" s="141"/>
    </row>
    <row r="294" spans="1:1">
      <c r="A294" s="141"/>
    </row>
    <row r="295" spans="1:1">
      <c r="A295" s="141"/>
    </row>
    <row r="296" spans="1:1">
      <c r="A296" s="141"/>
    </row>
    <row r="297" spans="1:1">
      <c r="A297" s="141"/>
    </row>
    <row r="298" spans="1:1">
      <c r="A298" s="141"/>
    </row>
    <row r="299" spans="1:1">
      <c r="A299" s="141"/>
    </row>
    <row r="300" spans="1:1">
      <c r="A300" s="141"/>
    </row>
    <row r="301" spans="1:1">
      <c r="A301" s="141"/>
    </row>
    <row r="302" spans="1:1">
      <c r="A302" s="141"/>
    </row>
    <row r="303" spans="1:1">
      <c r="A303" s="141"/>
    </row>
    <row r="304" spans="1:1">
      <c r="A304" s="141"/>
    </row>
    <row r="305" spans="1:1">
      <c r="A305" s="141"/>
    </row>
    <row r="306" spans="1:1">
      <c r="A306" s="141"/>
    </row>
    <row r="307" spans="1:1">
      <c r="A307" s="141"/>
    </row>
    <row r="308" spans="1:1">
      <c r="A308" s="141"/>
    </row>
    <row r="309" spans="1:1">
      <c r="A309" s="141"/>
    </row>
    <row r="310" spans="1:1">
      <c r="A310" s="141"/>
    </row>
    <row r="311" spans="1:1">
      <c r="A311" s="141"/>
    </row>
    <row r="312" spans="1:1">
      <c r="A312" s="141"/>
    </row>
    <row r="313" spans="1:1">
      <c r="A313" s="141"/>
    </row>
    <row r="314" spans="1:1">
      <c r="A314" s="141"/>
    </row>
    <row r="315" spans="1:1">
      <c r="A315" s="141"/>
    </row>
    <row r="316" spans="1:1">
      <c r="A316" s="141"/>
    </row>
    <row r="317" spans="1:1">
      <c r="A317" s="141"/>
    </row>
    <row r="318" spans="1:1">
      <c r="A318" s="141"/>
    </row>
    <row r="319" spans="1:1">
      <c r="A319" s="141"/>
    </row>
    <row r="320" spans="1:1">
      <c r="A320" s="141"/>
    </row>
    <row r="321" spans="1:1">
      <c r="A321" s="141"/>
    </row>
    <row r="322" spans="1:1">
      <c r="A322" s="141"/>
    </row>
    <row r="323" spans="1:1">
      <c r="A323" s="141"/>
    </row>
    <row r="324" spans="1:1">
      <c r="A324" s="141"/>
    </row>
    <row r="325" spans="1:1">
      <c r="A325" s="141"/>
    </row>
    <row r="326" spans="1:1">
      <c r="A326" s="141"/>
    </row>
    <row r="327" spans="1:1">
      <c r="A327" s="141"/>
    </row>
    <row r="328" spans="1:1">
      <c r="A328" s="141"/>
    </row>
    <row r="329" spans="1:1">
      <c r="A329" s="141"/>
    </row>
    <row r="330" spans="1:1">
      <c r="A330" s="141"/>
    </row>
    <row r="331" spans="1:1">
      <c r="A331" s="141"/>
    </row>
    <row r="332" spans="1:1">
      <c r="A332" s="141"/>
    </row>
    <row r="333" spans="1:1">
      <c r="A333" s="141"/>
    </row>
    <row r="334" spans="1:1">
      <c r="A334" s="141"/>
    </row>
    <row r="335" spans="1:1">
      <c r="A335" s="141"/>
    </row>
    <row r="336" spans="1:1">
      <c r="A336" s="141"/>
    </row>
    <row r="337" spans="1:1">
      <c r="A337" s="141"/>
    </row>
    <row r="338" spans="1:1">
      <c r="A338" s="141"/>
    </row>
    <row r="339" spans="1:1">
      <c r="A339" s="141"/>
    </row>
    <row r="340" spans="1:1">
      <c r="A340" s="141"/>
    </row>
    <row r="341" spans="1:1">
      <c r="A341" s="141"/>
    </row>
    <row r="342" spans="1:1">
      <c r="A342" s="141"/>
    </row>
    <row r="343" spans="1:1">
      <c r="A343" s="141"/>
    </row>
    <row r="344" spans="1:1">
      <c r="A344" s="141"/>
    </row>
    <row r="345" spans="1:1">
      <c r="A345" s="141"/>
    </row>
    <row r="346" spans="1:1">
      <c r="A346" s="141"/>
    </row>
    <row r="347" spans="1:1">
      <c r="A347" s="141"/>
    </row>
    <row r="348" spans="1:1">
      <c r="A348" s="141"/>
    </row>
    <row r="349" spans="1:1">
      <c r="A349" s="141"/>
    </row>
    <row r="350" spans="1:1">
      <c r="A350" s="141"/>
    </row>
    <row r="351" spans="1:1">
      <c r="A351" s="141"/>
    </row>
    <row r="352" spans="1:1">
      <c r="A352" s="141"/>
    </row>
    <row r="353" spans="1:1">
      <c r="A353" s="141"/>
    </row>
    <row r="354" spans="1:1">
      <c r="A354" s="141"/>
    </row>
    <row r="355" spans="1:1">
      <c r="A355" s="141"/>
    </row>
    <row r="356" spans="1:1">
      <c r="A356" s="141"/>
    </row>
    <row r="357" spans="1:1">
      <c r="A357" s="141"/>
    </row>
    <row r="358" spans="1:1">
      <c r="A358" s="141"/>
    </row>
    <row r="359" spans="1:1">
      <c r="A359" s="141"/>
    </row>
    <row r="360" spans="1:1">
      <c r="A360" s="141"/>
    </row>
    <row r="361" spans="1:1">
      <c r="A361" s="141"/>
    </row>
    <row r="362" spans="1:1">
      <c r="A362" s="141"/>
    </row>
    <row r="363" spans="1:1">
      <c r="A363" s="141"/>
    </row>
    <row r="364" spans="1:1">
      <c r="A364" s="141"/>
    </row>
    <row r="365" spans="1:1">
      <c r="A365" s="141"/>
    </row>
    <row r="366" spans="1:1">
      <c r="A366" s="141"/>
    </row>
    <row r="367" spans="1:1">
      <c r="A367" s="141"/>
    </row>
    <row r="368" spans="1:1">
      <c r="A368" s="141"/>
    </row>
    <row r="369" spans="1:1">
      <c r="A369" s="141"/>
    </row>
    <row r="370" spans="1:1">
      <c r="A370" s="141"/>
    </row>
    <row r="371" spans="1:1">
      <c r="A371" s="141"/>
    </row>
    <row r="372" spans="1:1">
      <c r="A372" s="141"/>
    </row>
    <row r="373" spans="1:1">
      <c r="A373" s="141"/>
    </row>
    <row r="374" spans="1:1">
      <c r="A374" s="141"/>
    </row>
    <row r="375" spans="1:1">
      <c r="A375" s="141"/>
    </row>
    <row r="376" spans="1:1">
      <c r="A376" s="141"/>
    </row>
    <row r="377" spans="1:1">
      <c r="A377" s="141"/>
    </row>
    <row r="378" spans="1:1">
      <c r="A378" s="141"/>
    </row>
    <row r="379" spans="1:1">
      <c r="A379" s="141"/>
    </row>
    <row r="380" spans="1:1">
      <c r="A380" s="141"/>
    </row>
    <row r="381" spans="1:1">
      <c r="A381" s="141"/>
    </row>
    <row r="382" spans="1:1">
      <c r="A382" s="141"/>
    </row>
    <row r="383" spans="1:1">
      <c r="A383" s="141"/>
    </row>
    <row r="384" spans="1:1">
      <c r="A384" s="141"/>
    </row>
    <row r="385" spans="1:1">
      <c r="A385" s="141"/>
    </row>
    <row r="386" spans="1:1">
      <c r="A386" s="141"/>
    </row>
    <row r="387" spans="1:1">
      <c r="A387" s="141"/>
    </row>
    <row r="388" spans="1:1">
      <c r="A388" s="141"/>
    </row>
    <row r="389" spans="1:1">
      <c r="A389" s="141"/>
    </row>
    <row r="390" spans="1:1">
      <c r="A390" s="141"/>
    </row>
    <row r="391" spans="1:1">
      <c r="A391" s="141"/>
    </row>
    <row r="392" spans="1:1">
      <c r="A392" s="141"/>
    </row>
    <row r="393" spans="1:1">
      <c r="A393" s="141"/>
    </row>
    <row r="394" spans="1:1">
      <c r="A394" s="141"/>
    </row>
    <row r="395" spans="1:1">
      <c r="A395" s="141"/>
    </row>
    <row r="396" spans="1:1">
      <c r="A396" s="141"/>
    </row>
    <row r="397" spans="1:1">
      <c r="A397" s="141"/>
    </row>
    <row r="398" spans="1:1">
      <c r="A398" s="141"/>
    </row>
    <row r="399" spans="1:1">
      <c r="A399" s="141"/>
    </row>
    <row r="400" spans="1:1">
      <c r="A400" s="141"/>
    </row>
    <row r="401" spans="1:1">
      <c r="A401" s="141"/>
    </row>
    <row r="402" spans="1:1">
      <c r="A402" s="141"/>
    </row>
    <row r="403" spans="1:1">
      <c r="A403" s="141"/>
    </row>
    <row r="404" spans="1:1">
      <c r="A404" s="141"/>
    </row>
    <row r="405" spans="1:1">
      <c r="A405" s="141"/>
    </row>
    <row r="406" spans="1:1">
      <c r="A406" s="141"/>
    </row>
    <row r="407" spans="1:1">
      <c r="A407" s="141"/>
    </row>
    <row r="408" spans="1:1">
      <c r="A408" s="141"/>
    </row>
    <row r="409" spans="1:1">
      <c r="A409" s="141"/>
    </row>
    <row r="410" spans="1:1">
      <c r="A410" s="141"/>
    </row>
    <row r="411" spans="1:1">
      <c r="A411" s="141"/>
    </row>
    <row r="412" spans="1:1">
      <c r="A412" s="141"/>
    </row>
    <row r="413" spans="1:1">
      <c r="A413" s="141"/>
    </row>
    <row r="414" spans="1:1">
      <c r="A414" s="141"/>
    </row>
    <row r="415" spans="1:1">
      <c r="A415" s="141"/>
    </row>
    <row r="416" spans="1:1">
      <c r="A416" s="141"/>
    </row>
    <row r="417" spans="1:1">
      <c r="A417" s="141"/>
    </row>
    <row r="418" spans="1:1">
      <c r="A418" s="141"/>
    </row>
    <row r="419" spans="1:1">
      <c r="A419" s="141"/>
    </row>
    <row r="420" spans="1:1">
      <c r="A420" s="141"/>
    </row>
    <row r="421" spans="1:1">
      <c r="A421" s="141"/>
    </row>
    <row r="422" spans="1:1">
      <c r="A422" s="141"/>
    </row>
    <row r="423" spans="1:1">
      <c r="A423" s="141"/>
    </row>
    <row r="424" spans="1:1">
      <c r="A424" s="141"/>
    </row>
    <row r="425" spans="1:1">
      <c r="A425" s="141"/>
    </row>
    <row r="426" spans="1:1">
      <c r="A426" s="141"/>
    </row>
    <row r="427" spans="1:1">
      <c r="A427" s="141"/>
    </row>
    <row r="428" spans="1:1">
      <c r="A428" s="141"/>
    </row>
    <row r="429" spans="1:1">
      <c r="A429" s="141"/>
    </row>
    <row r="430" spans="1:1">
      <c r="A430" s="141"/>
    </row>
    <row r="431" spans="1:1">
      <c r="A431" s="141"/>
    </row>
    <row r="432" spans="1:1">
      <c r="A432" s="141"/>
    </row>
    <row r="433" spans="1:1">
      <c r="A433" s="141"/>
    </row>
    <row r="434" spans="1:1">
      <c r="A434" s="141"/>
    </row>
    <row r="435" spans="1:1">
      <c r="A435" s="141"/>
    </row>
    <row r="436" spans="1:1">
      <c r="A436" s="141"/>
    </row>
    <row r="437" spans="1:1">
      <c r="A437" s="141"/>
    </row>
    <row r="438" spans="1:1">
      <c r="A438" s="141"/>
    </row>
    <row r="439" spans="1:1">
      <c r="A439" s="141"/>
    </row>
    <row r="440" spans="1:1">
      <c r="A440" s="141"/>
    </row>
    <row r="441" spans="1:1">
      <c r="A441" s="141"/>
    </row>
    <row r="442" spans="1:1">
      <c r="A442" s="141"/>
    </row>
    <row r="443" spans="1:1">
      <c r="A443" s="141"/>
    </row>
    <row r="444" spans="1:1">
      <c r="A444" s="141"/>
    </row>
    <row r="445" spans="1:1">
      <c r="A445" s="141"/>
    </row>
    <row r="446" spans="1:1">
      <c r="A446" s="141"/>
    </row>
    <row r="447" spans="1:1">
      <c r="A447" s="141"/>
    </row>
    <row r="448" spans="1:1">
      <c r="A448" s="141"/>
    </row>
    <row r="449" spans="1:1">
      <c r="A449" s="141"/>
    </row>
    <row r="450" spans="1:1">
      <c r="A450" s="141"/>
    </row>
    <row r="451" spans="1:1">
      <c r="A451" s="141"/>
    </row>
    <row r="452" spans="1:1">
      <c r="A452" s="141"/>
    </row>
    <row r="453" spans="1:1">
      <c r="A453" s="141"/>
    </row>
    <row r="454" spans="1:1">
      <c r="A454" s="141"/>
    </row>
    <row r="455" spans="1:1">
      <c r="A455" s="141"/>
    </row>
    <row r="456" spans="1:1">
      <c r="A456" s="141"/>
    </row>
    <row r="457" spans="1:1">
      <c r="A457" s="141"/>
    </row>
    <row r="458" spans="1:1">
      <c r="A458" s="141"/>
    </row>
    <row r="459" spans="1:1">
      <c r="A459" s="141"/>
    </row>
    <row r="460" spans="1:1">
      <c r="A460" s="141"/>
    </row>
    <row r="461" spans="1:1">
      <c r="A461" s="141"/>
    </row>
    <row r="462" spans="1:1">
      <c r="A462" s="141"/>
    </row>
    <row r="463" spans="1:1">
      <c r="A463" s="141"/>
    </row>
    <row r="464" spans="1:1">
      <c r="A464" s="141"/>
    </row>
    <row r="465" spans="1:1">
      <c r="A465" s="141"/>
    </row>
    <row r="466" spans="1:1">
      <c r="A466" s="141"/>
    </row>
    <row r="467" spans="1:1">
      <c r="A467" s="141"/>
    </row>
    <row r="468" spans="1:1">
      <c r="A468" s="141"/>
    </row>
    <row r="469" spans="1:1">
      <c r="A469" s="141"/>
    </row>
    <row r="470" spans="1:1">
      <c r="A470" s="141"/>
    </row>
    <row r="471" spans="1:1">
      <c r="A471" s="141"/>
    </row>
    <row r="472" spans="1:1">
      <c r="A472" s="141"/>
    </row>
    <row r="473" spans="1:1">
      <c r="A473" s="141"/>
    </row>
    <row r="474" spans="1:1">
      <c r="A474" s="141"/>
    </row>
    <row r="475" spans="1:1">
      <c r="A475" s="141"/>
    </row>
    <row r="476" spans="1:1">
      <c r="A476" s="141"/>
    </row>
    <row r="477" spans="1:1">
      <c r="A477" s="141"/>
    </row>
    <row r="478" spans="1:1">
      <c r="A478" s="141"/>
    </row>
    <row r="479" spans="1:1">
      <c r="A479" s="141"/>
    </row>
    <row r="480" spans="1:1">
      <c r="A480" s="141"/>
    </row>
    <row r="481" spans="1:1">
      <c r="A481" s="141"/>
    </row>
    <row r="482" spans="1:1">
      <c r="A482" s="141"/>
    </row>
    <row r="483" spans="1:1">
      <c r="A483" s="141"/>
    </row>
    <row r="484" spans="1:1">
      <c r="A484" s="141"/>
    </row>
    <row r="485" spans="1:1">
      <c r="A485" s="141"/>
    </row>
    <row r="486" spans="1:1">
      <c r="A486" s="141"/>
    </row>
    <row r="487" spans="1:1">
      <c r="A487" s="141"/>
    </row>
    <row r="488" spans="1:1">
      <c r="A488" s="141"/>
    </row>
    <row r="489" spans="1:1">
      <c r="A489" s="141"/>
    </row>
    <row r="490" spans="1:1">
      <c r="A490" s="141"/>
    </row>
    <row r="491" spans="1:1">
      <c r="A491" s="141"/>
    </row>
    <row r="492" spans="1:1">
      <c r="A492" s="141"/>
    </row>
    <row r="493" spans="1:1">
      <c r="A493" s="141"/>
    </row>
    <row r="494" spans="1:1">
      <c r="A494" s="141"/>
    </row>
    <row r="495" spans="1:1">
      <c r="A495" s="141"/>
    </row>
    <row r="496" spans="1:1">
      <c r="A496" s="141"/>
    </row>
    <row r="497" spans="1:1">
      <c r="A497" s="141"/>
    </row>
    <row r="498" spans="1:1">
      <c r="A498" s="141"/>
    </row>
    <row r="499" spans="1:1">
      <c r="A499" s="141"/>
    </row>
    <row r="500" spans="1:1">
      <c r="A500" s="141"/>
    </row>
    <row r="501" spans="1:1">
      <c r="A501" s="141"/>
    </row>
    <row r="502" spans="1:1">
      <c r="A502" s="141"/>
    </row>
    <row r="503" spans="1:1">
      <c r="A503" s="141"/>
    </row>
    <row r="504" spans="1:1">
      <c r="A504" s="141"/>
    </row>
    <row r="505" spans="1:1">
      <c r="A505" s="141"/>
    </row>
    <row r="506" spans="1:1">
      <c r="A506" s="141"/>
    </row>
    <row r="507" spans="1:1">
      <c r="A507" s="141"/>
    </row>
    <row r="508" spans="1:1">
      <c r="A508" s="141"/>
    </row>
    <row r="509" spans="1:1">
      <c r="A509" s="141"/>
    </row>
    <row r="510" spans="1:1">
      <c r="A510" s="141"/>
    </row>
    <row r="511" spans="1:1">
      <c r="A511" s="141"/>
    </row>
    <row r="512" spans="1:1">
      <c r="A512" s="141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D0A8-764D-4C68-9074-02C3F484D56D}">
  <sheetPr>
    <tabColor theme="3"/>
  </sheetPr>
  <dimension ref="A1:M119"/>
  <sheetViews>
    <sheetView workbookViewId="0"/>
  </sheetViews>
  <sheetFormatPr defaultColWidth="9.140625" defaultRowHeight="12.75"/>
  <cols>
    <col min="1" max="1" width="9.140625" style="145"/>
    <col min="2" max="2" width="1.7109375" style="145" customWidth="1"/>
    <col min="3" max="4" width="9.140625" style="145"/>
    <col min="5" max="5" width="1.7109375" style="145" customWidth="1"/>
    <col min="6" max="7" width="9.140625" style="145"/>
    <col min="8" max="8" width="1.7109375" style="145" customWidth="1"/>
    <col min="9" max="10" width="9.140625" style="145"/>
    <col min="11" max="11" width="1.7109375" style="145" customWidth="1"/>
    <col min="12" max="16384" width="9.140625" style="145"/>
  </cols>
  <sheetData>
    <row r="1" spans="1:13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3" spans="1:13">
      <c r="A3" s="145" t="s">
        <v>126</v>
      </c>
      <c r="C3" s="146" t="s">
        <v>123</v>
      </c>
      <c r="D3" s="146" t="s">
        <v>124</v>
      </c>
      <c r="E3" s="147"/>
      <c r="F3" s="146" t="s">
        <v>123</v>
      </c>
      <c r="G3" s="146" t="s">
        <v>124</v>
      </c>
      <c r="H3" s="147"/>
      <c r="I3" s="146" t="s">
        <v>123</v>
      </c>
      <c r="J3" s="146" t="s">
        <v>124</v>
      </c>
      <c r="K3" s="147"/>
      <c r="L3" s="146" t="s">
        <v>123</v>
      </c>
      <c r="M3" s="146" t="s">
        <v>124</v>
      </c>
    </row>
    <row r="4" spans="1:13">
      <c r="A4" s="145">
        <v>-0.04</v>
      </c>
      <c r="C4" s="145">
        <v>0</v>
      </c>
      <c r="D4" s="148">
        <f t="shared" ref="D4:D67" si="0">$A$4*C4^3+$A$6*C4^2</f>
        <v>0</v>
      </c>
      <c r="F4" s="145">
        <v>20</v>
      </c>
      <c r="G4" s="145">
        <v>0</v>
      </c>
      <c r="I4" s="145">
        <v>60</v>
      </c>
      <c r="J4" s="145">
        <v>0</v>
      </c>
      <c r="L4" s="145">
        <v>100</v>
      </c>
      <c r="M4" s="145">
        <v>0</v>
      </c>
    </row>
    <row r="5" spans="1:13">
      <c r="A5" s="145" t="s">
        <v>127</v>
      </c>
      <c r="C5" s="145">
        <v>1</v>
      </c>
      <c r="D5" s="148">
        <f t="shared" si="0"/>
        <v>5.46</v>
      </c>
      <c r="F5" s="145">
        <v>20</v>
      </c>
      <c r="G5" s="145">
        <f>D24</f>
        <v>1880</v>
      </c>
      <c r="I5" s="145">
        <v>60</v>
      </c>
      <c r="J5" s="145">
        <f>D64</f>
        <v>11160</v>
      </c>
      <c r="L5" s="145">
        <v>100</v>
      </c>
      <c r="M5" s="148">
        <f>D104</f>
        <v>15000</v>
      </c>
    </row>
    <row r="6" spans="1:13">
      <c r="A6" s="145">
        <v>5.5</v>
      </c>
      <c r="C6" s="145">
        <v>2</v>
      </c>
      <c r="D6" s="148">
        <f t="shared" si="0"/>
        <v>21.68</v>
      </c>
    </row>
    <row r="7" spans="1:13">
      <c r="C7" s="145">
        <v>3</v>
      </c>
      <c r="D7" s="148">
        <f t="shared" si="0"/>
        <v>48.42</v>
      </c>
    </row>
    <row r="8" spans="1:13">
      <c r="C8" s="145">
        <v>4</v>
      </c>
      <c r="D8" s="148">
        <f t="shared" si="0"/>
        <v>85.44</v>
      </c>
    </row>
    <row r="9" spans="1:13">
      <c r="C9" s="145">
        <v>5</v>
      </c>
      <c r="D9" s="148">
        <f t="shared" si="0"/>
        <v>132.5</v>
      </c>
    </row>
    <row r="10" spans="1:13">
      <c r="C10" s="145">
        <v>6</v>
      </c>
      <c r="D10" s="148">
        <f t="shared" si="0"/>
        <v>189.36</v>
      </c>
    </row>
    <row r="11" spans="1:13">
      <c r="C11" s="145">
        <v>7</v>
      </c>
      <c r="D11" s="148">
        <f t="shared" si="0"/>
        <v>255.78</v>
      </c>
    </row>
    <row r="12" spans="1:13">
      <c r="C12" s="145">
        <v>8</v>
      </c>
      <c r="D12" s="148">
        <f t="shared" si="0"/>
        <v>331.52</v>
      </c>
    </row>
    <row r="13" spans="1:13">
      <c r="C13" s="145">
        <v>9</v>
      </c>
      <c r="D13" s="148">
        <f t="shared" si="0"/>
        <v>416.34</v>
      </c>
    </row>
    <row r="14" spans="1:13">
      <c r="C14" s="145">
        <v>10</v>
      </c>
      <c r="D14" s="148">
        <f t="shared" si="0"/>
        <v>510</v>
      </c>
    </row>
    <row r="15" spans="1:13">
      <c r="C15" s="145">
        <v>11</v>
      </c>
      <c r="D15" s="148">
        <f t="shared" si="0"/>
        <v>612.26</v>
      </c>
    </row>
    <row r="16" spans="1:13">
      <c r="C16" s="145">
        <v>12</v>
      </c>
      <c r="D16" s="148">
        <f t="shared" si="0"/>
        <v>722.88</v>
      </c>
    </row>
    <row r="17" spans="3:4">
      <c r="C17" s="145">
        <v>13</v>
      </c>
      <c r="D17" s="148">
        <f t="shared" si="0"/>
        <v>841.62</v>
      </c>
    </row>
    <row r="18" spans="3:4">
      <c r="C18" s="145">
        <v>14</v>
      </c>
      <c r="D18" s="148">
        <f t="shared" si="0"/>
        <v>968.24</v>
      </c>
    </row>
    <row r="19" spans="3:4">
      <c r="C19" s="145">
        <v>15</v>
      </c>
      <c r="D19" s="148">
        <f t="shared" si="0"/>
        <v>1102.5</v>
      </c>
    </row>
    <row r="20" spans="3:4">
      <c r="C20" s="145">
        <v>16</v>
      </c>
      <c r="D20" s="148">
        <f t="shared" si="0"/>
        <v>1244.1600000000001</v>
      </c>
    </row>
    <row r="21" spans="3:4">
      <c r="C21" s="145">
        <v>17</v>
      </c>
      <c r="D21" s="148">
        <f t="shared" si="0"/>
        <v>1392.98</v>
      </c>
    </row>
    <row r="22" spans="3:4">
      <c r="C22" s="145">
        <v>18</v>
      </c>
      <c r="D22" s="148">
        <f t="shared" si="0"/>
        <v>1548.72</v>
      </c>
    </row>
    <row r="23" spans="3:4">
      <c r="C23" s="145">
        <v>19</v>
      </c>
      <c r="D23" s="148">
        <f t="shared" si="0"/>
        <v>1711.1399999999999</v>
      </c>
    </row>
    <row r="24" spans="3:4">
      <c r="C24" s="145">
        <v>20</v>
      </c>
      <c r="D24" s="148">
        <f t="shared" si="0"/>
        <v>1880</v>
      </c>
    </row>
    <row r="25" spans="3:4">
      <c r="C25" s="145">
        <v>21</v>
      </c>
      <c r="D25" s="148">
        <f t="shared" si="0"/>
        <v>2055.06</v>
      </c>
    </row>
    <row r="26" spans="3:4">
      <c r="C26" s="145">
        <v>22</v>
      </c>
      <c r="D26" s="148">
        <f t="shared" si="0"/>
        <v>2236.08</v>
      </c>
    </row>
    <row r="27" spans="3:4">
      <c r="C27" s="145">
        <v>23</v>
      </c>
      <c r="D27" s="148">
        <f t="shared" si="0"/>
        <v>2422.8200000000002</v>
      </c>
    </row>
    <row r="28" spans="3:4">
      <c r="C28" s="145">
        <v>24</v>
      </c>
      <c r="D28" s="148">
        <f t="shared" si="0"/>
        <v>2615.04</v>
      </c>
    </row>
    <row r="29" spans="3:4">
      <c r="C29" s="145">
        <v>25</v>
      </c>
      <c r="D29" s="148">
        <f t="shared" si="0"/>
        <v>2812.5</v>
      </c>
    </row>
    <row r="30" spans="3:4">
      <c r="C30" s="145">
        <v>26</v>
      </c>
      <c r="D30" s="148">
        <f t="shared" si="0"/>
        <v>3014.96</v>
      </c>
    </row>
    <row r="31" spans="3:4">
      <c r="C31" s="145">
        <v>27</v>
      </c>
      <c r="D31" s="148">
        <f t="shared" si="0"/>
        <v>3222.18</v>
      </c>
    </row>
    <row r="32" spans="3:4">
      <c r="C32" s="145">
        <v>28</v>
      </c>
      <c r="D32" s="148">
        <f t="shared" si="0"/>
        <v>3433.92</v>
      </c>
    </row>
    <row r="33" spans="3:4">
      <c r="C33" s="145">
        <v>29</v>
      </c>
      <c r="D33" s="148">
        <f t="shared" si="0"/>
        <v>3649.94</v>
      </c>
    </row>
    <row r="34" spans="3:4">
      <c r="C34" s="145">
        <v>30</v>
      </c>
      <c r="D34" s="148">
        <f t="shared" si="0"/>
        <v>3870</v>
      </c>
    </row>
    <row r="35" spans="3:4">
      <c r="C35" s="145">
        <v>31</v>
      </c>
      <c r="D35" s="148">
        <f t="shared" si="0"/>
        <v>4093.8599999999997</v>
      </c>
    </row>
    <row r="36" spans="3:4">
      <c r="C36" s="145">
        <v>32</v>
      </c>
      <c r="D36" s="148">
        <f t="shared" si="0"/>
        <v>4321.28</v>
      </c>
    </row>
    <row r="37" spans="3:4">
      <c r="C37" s="145">
        <v>33</v>
      </c>
      <c r="D37" s="148">
        <f t="shared" si="0"/>
        <v>4552.0200000000004</v>
      </c>
    </row>
    <row r="38" spans="3:4">
      <c r="C38" s="145">
        <v>34</v>
      </c>
      <c r="D38" s="148">
        <f t="shared" si="0"/>
        <v>4785.84</v>
      </c>
    </row>
    <row r="39" spans="3:4">
      <c r="C39" s="145">
        <v>35</v>
      </c>
      <c r="D39" s="148">
        <f t="shared" si="0"/>
        <v>5022.5</v>
      </c>
    </row>
    <row r="40" spans="3:4">
      <c r="C40" s="145">
        <v>36</v>
      </c>
      <c r="D40" s="148">
        <f t="shared" si="0"/>
        <v>5261.76</v>
      </c>
    </row>
    <row r="41" spans="3:4">
      <c r="C41" s="145">
        <v>37</v>
      </c>
      <c r="D41" s="148">
        <f t="shared" si="0"/>
        <v>5503.38</v>
      </c>
    </row>
    <row r="42" spans="3:4">
      <c r="C42" s="145">
        <v>38</v>
      </c>
      <c r="D42" s="148">
        <f t="shared" si="0"/>
        <v>5747.12</v>
      </c>
    </row>
    <row r="43" spans="3:4">
      <c r="C43" s="145">
        <v>39</v>
      </c>
      <c r="D43" s="148">
        <f t="shared" si="0"/>
        <v>5992.74</v>
      </c>
    </row>
    <row r="44" spans="3:4">
      <c r="C44" s="145">
        <v>40</v>
      </c>
      <c r="D44" s="148">
        <f t="shared" si="0"/>
        <v>6240</v>
      </c>
    </row>
    <row r="45" spans="3:4">
      <c r="C45" s="145">
        <v>41</v>
      </c>
      <c r="D45" s="148">
        <f t="shared" si="0"/>
        <v>6488.66</v>
      </c>
    </row>
    <row r="46" spans="3:4">
      <c r="C46" s="145">
        <v>42</v>
      </c>
      <c r="D46" s="148">
        <f t="shared" si="0"/>
        <v>6738.48</v>
      </c>
    </row>
    <row r="47" spans="3:4">
      <c r="C47" s="145">
        <v>43</v>
      </c>
      <c r="D47" s="148">
        <f t="shared" si="0"/>
        <v>6989.2199999999993</v>
      </c>
    </row>
    <row r="48" spans="3:4">
      <c r="C48" s="145">
        <v>44</v>
      </c>
      <c r="D48" s="148">
        <f t="shared" si="0"/>
        <v>7240.6399999999994</v>
      </c>
    </row>
    <row r="49" spans="3:4">
      <c r="C49" s="145">
        <v>45</v>
      </c>
      <c r="D49" s="148">
        <f t="shared" si="0"/>
        <v>7492.5</v>
      </c>
    </row>
    <row r="50" spans="3:4">
      <c r="C50" s="145">
        <v>46</v>
      </c>
      <c r="D50" s="148">
        <f t="shared" si="0"/>
        <v>7744.5599999999995</v>
      </c>
    </row>
    <row r="51" spans="3:4">
      <c r="C51" s="145">
        <v>47</v>
      </c>
      <c r="D51" s="148">
        <f t="shared" si="0"/>
        <v>7996.58</v>
      </c>
    </row>
    <row r="52" spans="3:4">
      <c r="C52" s="145">
        <v>48</v>
      </c>
      <c r="D52" s="148">
        <f t="shared" si="0"/>
        <v>8248.32</v>
      </c>
    </row>
    <row r="53" spans="3:4">
      <c r="C53" s="145">
        <v>49</v>
      </c>
      <c r="D53" s="148">
        <f t="shared" si="0"/>
        <v>8499.5400000000009</v>
      </c>
    </row>
    <row r="54" spans="3:4">
      <c r="C54" s="145">
        <v>50</v>
      </c>
      <c r="D54" s="148">
        <f t="shared" si="0"/>
        <v>8750</v>
      </c>
    </row>
    <row r="55" spans="3:4">
      <c r="C55" s="145">
        <v>51</v>
      </c>
      <c r="D55" s="148">
        <f t="shared" si="0"/>
        <v>8999.4599999999991</v>
      </c>
    </row>
    <row r="56" spans="3:4">
      <c r="C56" s="145">
        <v>52</v>
      </c>
      <c r="D56" s="148">
        <f t="shared" si="0"/>
        <v>9247.68</v>
      </c>
    </row>
    <row r="57" spans="3:4">
      <c r="C57" s="145">
        <v>53</v>
      </c>
      <c r="D57" s="148">
        <f t="shared" si="0"/>
        <v>9494.42</v>
      </c>
    </row>
    <row r="58" spans="3:4">
      <c r="C58" s="145">
        <v>54</v>
      </c>
      <c r="D58" s="148">
        <f t="shared" si="0"/>
        <v>9739.4399999999987</v>
      </c>
    </row>
    <row r="59" spans="3:4">
      <c r="C59" s="145">
        <v>55</v>
      </c>
      <c r="D59" s="148">
        <f t="shared" si="0"/>
        <v>9982.5</v>
      </c>
    </row>
    <row r="60" spans="3:4">
      <c r="C60" s="145">
        <v>56</v>
      </c>
      <c r="D60" s="148">
        <f t="shared" si="0"/>
        <v>10223.36</v>
      </c>
    </row>
    <row r="61" spans="3:4">
      <c r="C61" s="145">
        <v>57</v>
      </c>
      <c r="D61" s="148">
        <f t="shared" si="0"/>
        <v>10461.779999999999</v>
      </c>
    </row>
    <row r="62" spans="3:4">
      <c r="C62" s="145">
        <v>58</v>
      </c>
      <c r="D62" s="148">
        <f t="shared" si="0"/>
        <v>10697.52</v>
      </c>
    </row>
    <row r="63" spans="3:4">
      <c r="C63" s="145">
        <v>59</v>
      </c>
      <c r="D63" s="148">
        <f t="shared" si="0"/>
        <v>10930.34</v>
      </c>
    </row>
    <row r="64" spans="3:4">
      <c r="C64" s="145">
        <v>60</v>
      </c>
      <c r="D64" s="148">
        <f t="shared" si="0"/>
        <v>11160</v>
      </c>
    </row>
    <row r="65" spans="3:4">
      <c r="C65" s="145">
        <v>61</v>
      </c>
      <c r="D65" s="148">
        <f t="shared" si="0"/>
        <v>11386.26</v>
      </c>
    </row>
    <row r="66" spans="3:4">
      <c r="C66" s="145">
        <v>62</v>
      </c>
      <c r="D66" s="148">
        <f t="shared" si="0"/>
        <v>11608.88</v>
      </c>
    </row>
    <row r="67" spans="3:4">
      <c r="C67" s="145">
        <v>63</v>
      </c>
      <c r="D67" s="148">
        <f t="shared" si="0"/>
        <v>11827.619999999999</v>
      </c>
    </row>
    <row r="68" spans="3:4">
      <c r="C68" s="145">
        <v>64</v>
      </c>
      <c r="D68" s="148">
        <f t="shared" ref="D68:D99" si="1">$A$4*C68^3+$A$6*C68^2</f>
        <v>12042.24</v>
      </c>
    </row>
    <row r="69" spans="3:4">
      <c r="C69" s="145">
        <v>65</v>
      </c>
      <c r="D69" s="148">
        <f t="shared" si="1"/>
        <v>12252.5</v>
      </c>
    </row>
    <row r="70" spans="3:4">
      <c r="C70" s="145">
        <v>66</v>
      </c>
      <c r="D70" s="148">
        <f t="shared" si="1"/>
        <v>12458.16</v>
      </c>
    </row>
    <row r="71" spans="3:4">
      <c r="C71" s="145">
        <v>67</v>
      </c>
      <c r="D71" s="148">
        <f t="shared" si="1"/>
        <v>12658.98</v>
      </c>
    </row>
    <row r="72" spans="3:4">
      <c r="C72" s="145">
        <v>68</v>
      </c>
      <c r="D72" s="148">
        <f t="shared" si="1"/>
        <v>12854.72</v>
      </c>
    </row>
    <row r="73" spans="3:4">
      <c r="C73" s="145">
        <v>69</v>
      </c>
      <c r="D73" s="148">
        <f t="shared" si="1"/>
        <v>13045.14</v>
      </c>
    </row>
    <row r="74" spans="3:4">
      <c r="C74" s="145">
        <v>70</v>
      </c>
      <c r="D74" s="148">
        <f t="shared" si="1"/>
        <v>13230</v>
      </c>
    </row>
    <row r="75" spans="3:4">
      <c r="C75" s="145">
        <v>71</v>
      </c>
      <c r="D75" s="148">
        <f t="shared" si="1"/>
        <v>13409.06</v>
      </c>
    </row>
    <row r="76" spans="3:4">
      <c r="C76" s="145">
        <v>72</v>
      </c>
      <c r="D76" s="148">
        <f t="shared" si="1"/>
        <v>13582.08</v>
      </c>
    </row>
    <row r="77" spans="3:4">
      <c r="C77" s="145">
        <v>73</v>
      </c>
      <c r="D77" s="148">
        <f t="shared" si="1"/>
        <v>13748.82</v>
      </c>
    </row>
    <row r="78" spans="3:4">
      <c r="C78" s="145">
        <v>74</v>
      </c>
      <c r="D78" s="148">
        <f t="shared" si="1"/>
        <v>13909.039999999999</v>
      </c>
    </row>
    <row r="79" spans="3:4">
      <c r="C79" s="145">
        <v>75</v>
      </c>
      <c r="D79" s="148">
        <f t="shared" si="1"/>
        <v>14062.5</v>
      </c>
    </row>
    <row r="80" spans="3:4">
      <c r="C80" s="145">
        <v>76</v>
      </c>
      <c r="D80" s="148">
        <f t="shared" si="1"/>
        <v>14208.96</v>
      </c>
    </row>
    <row r="81" spans="3:4">
      <c r="C81" s="145">
        <v>77</v>
      </c>
      <c r="D81" s="148">
        <f t="shared" si="1"/>
        <v>14348.18</v>
      </c>
    </row>
    <row r="82" spans="3:4">
      <c r="C82" s="145">
        <v>78</v>
      </c>
      <c r="D82" s="148">
        <f t="shared" si="1"/>
        <v>14479.919999999998</v>
      </c>
    </row>
    <row r="83" spans="3:4">
      <c r="C83" s="145">
        <v>79</v>
      </c>
      <c r="D83" s="148">
        <f t="shared" si="1"/>
        <v>14603.939999999999</v>
      </c>
    </row>
    <row r="84" spans="3:4">
      <c r="C84" s="145">
        <v>80</v>
      </c>
      <c r="D84" s="148">
        <f t="shared" si="1"/>
        <v>14720</v>
      </c>
    </row>
    <row r="85" spans="3:4">
      <c r="C85" s="145">
        <v>81</v>
      </c>
      <c r="D85" s="148">
        <f t="shared" si="1"/>
        <v>14827.86</v>
      </c>
    </row>
    <row r="86" spans="3:4">
      <c r="C86" s="145">
        <v>82</v>
      </c>
      <c r="D86" s="148">
        <f t="shared" si="1"/>
        <v>14927.279999999999</v>
      </c>
    </row>
    <row r="87" spans="3:4">
      <c r="C87" s="145">
        <v>83</v>
      </c>
      <c r="D87" s="148">
        <f t="shared" si="1"/>
        <v>15018.02</v>
      </c>
    </row>
    <row r="88" spans="3:4">
      <c r="C88" s="145">
        <v>84</v>
      </c>
      <c r="D88" s="148">
        <f t="shared" si="1"/>
        <v>15099.84</v>
      </c>
    </row>
    <row r="89" spans="3:4">
      <c r="C89" s="145">
        <v>85</v>
      </c>
      <c r="D89" s="148">
        <f t="shared" si="1"/>
        <v>15172.5</v>
      </c>
    </row>
    <row r="90" spans="3:4">
      <c r="C90" s="145">
        <v>86</v>
      </c>
      <c r="D90" s="148">
        <f t="shared" si="1"/>
        <v>15235.759999999998</v>
      </c>
    </row>
    <row r="91" spans="3:4">
      <c r="C91" s="145">
        <v>87</v>
      </c>
      <c r="D91" s="148">
        <f t="shared" si="1"/>
        <v>15289.380000000001</v>
      </c>
    </row>
    <row r="92" spans="3:4">
      <c r="C92" s="145">
        <v>88</v>
      </c>
      <c r="D92" s="148">
        <f t="shared" si="1"/>
        <v>15333.119999999999</v>
      </c>
    </row>
    <row r="93" spans="3:4">
      <c r="C93" s="145">
        <v>89</v>
      </c>
      <c r="D93" s="148">
        <f t="shared" si="1"/>
        <v>15366.739999999998</v>
      </c>
    </row>
    <row r="94" spans="3:4">
      <c r="C94" s="145">
        <v>90</v>
      </c>
      <c r="D94" s="148">
        <f t="shared" si="1"/>
        <v>15390</v>
      </c>
    </row>
    <row r="95" spans="3:4">
      <c r="C95" s="145">
        <v>91</v>
      </c>
      <c r="D95" s="148">
        <f t="shared" si="1"/>
        <v>15402.66</v>
      </c>
    </row>
    <row r="96" spans="3:4">
      <c r="C96" s="145">
        <v>92</v>
      </c>
      <c r="D96" s="148">
        <f t="shared" si="1"/>
        <v>15404.48</v>
      </c>
    </row>
    <row r="97" spans="3:4">
      <c r="C97" s="145">
        <v>93</v>
      </c>
      <c r="D97" s="148">
        <f t="shared" si="1"/>
        <v>15395.219999999998</v>
      </c>
    </row>
    <row r="98" spans="3:4">
      <c r="C98" s="145">
        <v>94</v>
      </c>
      <c r="D98" s="148">
        <f t="shared" si="1"/>
        <v>15374.64</v>
      </c>
    </row>
    <row r="99" spans="3:4">
      <c r="C99" s="145">
        <v>95</v>
      </c>
      <c r="D99" s="148">
        <f t="shared" si="1"/>
        <v>15342.5</v>
      </c>
    </row>
    <row r="100" spans="3:4">
      <c r="C100" s="145">
        <v>96</v>
      </c>
      <c r="D100" s="148">
        <f>$A$4*C100^3+$A$6*C100^2</f>
        <v>15298.559999999998</v>
      </c>
    </row>
    <row r="101" spans="3:4">
      <c r="C101" s="145">
        <v>97</v>
      </c>
      <c r="D101" s="148">
        <f>$A$4*C101^3+$A$6*C101^2</f>
        <v>15242.580000000002</v>
      </c>
    </row>
    <row r="102" spans="3:4">
      <c r="C102" s="145">
        <v>98</v>
      </c>
      <c r="D102" s="148">
        <f>$A$4*C102^3+$A$6*C102^2</f>
        <v>15174.32</v>
      </c>
    </row>
    <row r="103" spans="3:4">
      <c r="C103" s="145">
        <v>99</v>
      </c>
      <c r="D103" s="148">
        <f>$A$4*C103^3+$A$6*C103^2</f>
        <v>15093.54</v>
      </c>
    </row>
    <row r="104" spans="3:4">
      <c r="C104" s="145">
        <v>100</v>
      </c>
      <c r="D104" s="148">
        <f>$A$4*C104^3+$A$6*C104^2</f>
        <v>15000</v>
      </c>
    </row>
    <row r="105" spans="3:4">
      <c r="C105" s="145">
        <v>101</v>
      </c>
      <c r="D105" s="148">
        <f t="shared" ref="D105:D119" si="2">$A$4*C105^3+$A$6*C105^2</f>
        <v>14893.46</v>
      </c>
    </row>
    <row r="106" spans="3:4">
      <c r="C106" s="145">
        <v>102</v>
      </c>
      <c r="D106" s="148">
        <f t="shared" si="2"/>
        <v>14773.68</v>
      </c>
    </row>
    <row r="107" spans="3:4">
      <c r="C107" s="145">
        <v>103</v>
      </c>
      <c r="D107" s="148">
        <f t="shared" si="2"/>
        <v>14640.419999999998</v>
      </c>
    </row>
    <row r="108" spans="3:4">
      <c r="C108" s="145">
        <v>104</v>
      </c>
      <c r="D108" s="148">
        <f t="shared" si="2"/>
        <v>14493.440000000002</v>
      </c>
    </row>
    <row r="109" spans="3:4">
      <c r="C109" s="145">
        <v>105</v>
      </c>
      <c r="D109" s="148">
        <f t="shared" si="2"/>
        <v>14332.5</v>
      </c>
    </row>
    <row r="110" spans="3:4">
      <c r="C110" s="145">
        <v>106</v>
      </c>
      <c r="D110" s="148">
        <f t="shared" si="2"/>
        <v>14157.36</v>
      </c>
    </row>
    <row r="111" spans="3:4">
      <c r="C111" s="145">
        <v>107</v>
      </c>
      <c r="D111" s="148">
        <f t="shared" si="2"/>
        <v>13967.779999999999</v>
      </c>
    </row>
    <row r="112" spans="3:4">
      <c r="C112" s="145">
        <v>108</v>
      </c>
      <c r="D112" s="148">
        <f>$A$4*C112^3+$A$6*C112^2</f>
        <v>13763.519999999997</v>
      </c>
    </row>
    <row r="113" spans="3:4">
      <c r="C113" s="145">
        <v>109</v>
      </c>
      <c r="D113" s="148">
        <f t="shared" si="2"/>
        <v>13544.339999999997</v>
      </c>
    </row>
    <row r="114" spans="3:4">
      <c r="C114" s="145">
        <v>110</v>
      </c>
      <c r="D114" s="148">
        <f t="shared" si="2"/>
        <v>13310</v>
      </c>
    </row>
    <row r="115" spans="3:4">
      <c r="C115" s="145">
        <v>111</v>
      </c>
      <c r="D115" s="148">
        <f t="shared" si="2"/>
        <v>13060.260000000002</v>
      </c>
    </row>
    <row r="116" spans="3:4">
      <c r="C116" s="145">
        <v>112</v>
      </c>
      <c r="D116" s="148">
        <f t="shared" si="2"/>
        <v>12794.879999999997</v>
      </c>
    </row>
    <row r="117" spans="3:4">
      <c r="C117" s="145">
        <v>113</v>
      </c>
      <c r="D117" s="148">
        <f t="shared" si="2"/>
        <v>12513.619999999995</v>
      </c>
    </row>
    <row r="118" spans="3:4">
      <c r="C118" s="145">
        <v>114</v>
      </c>
      <c r="D118" s="148">
        <f t="shared" si="2"/>
        <v>12216.239999999998</v>
      </c>
    </row>
    <row r="119" spans="3:4">
      <c r="C119" s="145">
        <v>115</v>
      </c>
      <c r="D119" s="148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76C5-FE4A-47F0-AC7A-60DE529F23EB}">
  <sheetPr>
    <tabColor theme="3"/>
  </sheetPr>
  <dimension ref="A1:J22"/>
  <sheetViews>
    <sheetView workbookViewId="0"/>
  </sheetViews>
  <sheetFormatPr defaultRowHeight="15"/>
  <cols>
    <col min="1" max="1" width="4.5703125" customWidth="1"/>
    <col min="2" max="2" width="4.7109375" customWidth="1"/>
    <col min="3" max="3" width="3.85546875" customWidth="1"/>
    <col min="4" max="4" width="5.7109375" customWidth="1"/>
    <col min="5" max="5" width="8.140625" customWidth="1"/>
    <col min="6" max="6" width="8.7109375" customWidth="1"/>
    <col min="7" max="7" width="5.85546875" customWidth="1"/>
    <col min="8" max="8" width="6.140625" customWidth="1"/>
    <col min="9" max="9" width="6.28515625" customWidth="1"/>
    <col min="10" max="10" width="6" customWidth="1"/>
  </cols>
  <sheetData>
    <row r="1" spans="1:10">
      <c r="A1" t="s">
        <v>123</v>
      </c>
      <c r="B1" t="s">
        <v>124</v>
      </c>
      <c r="C1" s="206" t="s">
        <v>128</v>
      </c>
      <c r="D1" s="206"/>
      <c r="E1" t="s">
        <v>129</v>
      </c>
      <c r="F1" t="s">
        <v>130</v>
      </c>
      <c r="G1" s="206" t="s">
        <v>131</v>
      </c>
      <c r="H1" s="206"/>
      <c r="I1" s="206" t="s">
        <v>132</v>
      </c>
      <c r="J1" s="206"/>
    </row>
    <row r="2" spans="1:10">
      <c r="A2" s="24">
        <v>1</v>
      </c>
      <c r="B2" s="24">
        <v>100</v>
      </c>
      <c r="C2" s="24">
        <v>0</v>
      </c>
      <c r="D2" s="24">
        <v>100</v>
      </c>
      <c r="E2" s="24">
        <v>0</v>
      </c>
      <c r="F2" s="24">
        <v>-40</v>
      </c>
      <c r="G2" s="24">
        <v>22</v>
      </c>
      <c r="H2" s="24">
        <v>10</v>
      </c>
      <c r="I2" s="24">
        <v>22</v>
      </c>
      <c r="J2" s="24">
        <v>-5</v>
      </c>
    </row>
    <row r="3" spans="1:10">
      <c r="A3" s="24">
        <v>2</v>
      </c>
      <c r="B3" s="24">
        <v>75</v>
      </c>
      <c r="C3" s="24">
        <v>1</v>
      </c>
      <c r="D3" s="24">
        <v>100</v>
      </c>
      <c r="E3" s="24">
        <v>0</v>
      </c>
      <c r="F3" s="24">
        <v>-40</v>
      </c>
      <c r="G3" s="24">
        <v>22</v>
      </c>
      <c r="H3" s="24">
        <v>90</v>
      </c>
      <c r="I3" s="24">
        <v>22</v>
      </c>
      <c r="J3" s="24">
        <v>-35</v>
      </c>
    </row>
    <row r="4" spans="1:10">
      <c r="A4" s="24">
        <v>3</v>
      </c>
      <c r="B4" s="24">
        <v>55</v>
      </c>
      <c r="C4" s="24">
        <v>2</v>
      </c>
      <c r="D4" s="24">
        <v>100</v>
      </c>
      <c r="E4" s="24">
        <v>0</v>
      </c>
      <c r="F4" s="24">
        <v>-40</v>
      </c>
      <c r="G4" s="24"/>
      <c r="H4" s="24"/>
      <c r="I4" s="24"/>
    </row>
    <row r="5" spans="1:10">
      <c r="A5" s="24">
        <v>4</v>
      </c>
      <c r="B5" s="24">
        <v>37</v>
      </c>
      <c r="C5" s="24">
        <v>3</v>
      </c>
      <c r="D5" s="24">
        <v>100</v>
      </c>
      <c r="E5" s="24">
        <v>0</v>
      </c>
      <c r="F5" s="24">
        <v>-40</v>
      </c>
      <c r="G5" s="24"/>
      <c r="H5" s="24"/>
      <c r="I5" s="24"/>
    </row>
    <row r="6" spans="1:10">
      <c r="A6" s="24">
        <v>5</v>
      </c>
      <c r="B6" s="24">
        <v>25</v>
      </c>
      <c r="C6" s="24">
        <v>4</v>
      </c>
      <c r="D6" s="24">
        <v>100</v>
      </c>
      <c r="E6" s="24">
        <v>0</v>
      </c>
      <c r="F6" s="24">
        <v>-40</v>
      </c>
      <c r="G6" s="24"/>
      <c r="H6" s="24"/>
      <c r="I6" s="24"/>
    </row>
    <row r="7" spans="1:10">
      <c r="A7" s="24">
        <v>6</v>
      </c>
      <c r="B7" s="24">
        <v>17</v>
      </c>
      <c r="C7" s="24">
        <v>5</v>
      </c>
      <c r="D7" s="24">
        <v>100</v>
      </c>
      <c r="E7" s="24">
        <v>0</v>
      </c>
      <c r="F7" s="24">
        <v>-40</v>
      </c>
      <c r="G7" s="24"/>
      <c r="H7" s="24"/>
      <c r="I7" s="24"/>
    </row>
    <row r="8" spans="1:10">
      <c r="A8" s="24">
        <v>7</v>
      </c>
      <c r="B8" s="24">
        <v>12</v>
      </c>
      <c r="C8" s="24">
        <v>6</v>
      </c>
      <c r="D8" s="24">
        <v>100</v>
      </c>
      <c r="E8" s="24">
        <v>0</v>
      </c>
      <c r="F8" s="24">
        <v>-40</v>
      </c>
      <c r="G8" s="24"/>
      <c r="H8" s="24"/>
      <c r="I8" s="24"/>
    </row>
    <row r="9" spans="1:10">
      <c r="A9" s="24">
        <v>8</v>
      </c>
      <c r="B9" s="24">
        <v>8.25</v>
      </c>
      <c r="C9" s="24">
        <v>7</v>
      </c>
      <c r="D9" s="24">
        <v>100</v>
      </c>
      <c r="E9" s="24">
        <v>0</v>
      </c>
      <c r="F9" s="24">
        <v>-40</v>
      </c>
      <c r="G9" s="24"/>
      <c r="H9" s="24"/>
      <c r="I9" s="24"/>
    </row>
    <row r="10" spans="1:10">
      <c r="A10" s="24">
        <v>9</v>
      </c>
      <c r="B10" s="24">
        <v>5.5</v>
      </c>
      <c r="C10" s="24">
        <v>8</v>
      </c>
      <c r="D10" s="24">
        <v>100</v>
      </c>
      <c r="E10" s="24">
        <v>0</v>
      </c>
      <c r="F10" s="24">
        <v>-40</v>
      </c>
      <c r="G10" s="24"/>
      <c r="H10" s="24"/>
      <c r="I10" s="24"/>
    </row>
    <row r="11" spans="1:10">
      <c r="A11" s="24">
        <v>10</v>
      </c>
      <c r="B11" s="24">
        <v>4</v>
      </c>
      <c r="C11" s="24">
        <v>9</v>
      </c>
      <c r="D11" s="24">
        <v>100</v>
      </c>
      <c r="E11" s="24">
        <v>0</v>
      </c>
      <c r="F11" s="24">
        <v>-40</v>
      </c>
      <c r="G11" s="24"/>
      <c r="H11" s="24"/>
      <c r="I11" s="24"/>
    </row>
    <row r="12" spans="1:10">
      <c r="A12" s="24">
        <v>11</v>
      </c>
      <c r="B12" s="24">
        <v>3.2</v>
      </c>
      <c r="C12" s="24">
        <v>10</v>
      </c>
      <c r="D12" s="24">
        <v>100</v>
      </c>
      <c r="E12" s="24">
        <v>0</v>
      </c>
      <c r="F12" s="24">
        <v>-40</v>
      </c>
      <c r="G12" s="24"/>
      <c r="H12" s="24"/>
      <c r="I12" s="24"/>
    </row>
    <row r="13" spans="1:10">
      <c r="A13" s="24">
        <v>12</v>
      </c>
      <c r="B13" s="24">
        <v>2.7</v>
      </c>
      <c r="C13" s="24">
        <v>11</v>
      </c>
      <c r="D13" s="24">
        <v>100</v>
      </c>
      <c r="E13" s="24">
        <v>0</v>
      </c>
      <c r="F13" s="24">
        <v>-40</v>
      </c>
      <c r="G13" s="24"/>
      <c r="H13" s="24"/>
      <c r="I13" s="24"/>
    </row>
    <row r="14" spans="1:10">
      <c r="A14" s="24">
        <v>13</v>
      </c>
      <c r="B14" s="24">
        <v>2.2999999999999998</v>
      </c>
      <c r="C14" s="24">
        <v>12</v>
      </c>
      <c r="D14" s="24">
        <v>100</v>
      </c>
      <c r="E14" s="24">
        <v>0</v>
      </c>
      <c r="F14" s="24">
        <v>-40</v>
      </c>
      <c r="G14" s="24"/>
      <c r="H14" s="24"/>
      <c r="I14" s="24"/>
    </row>
    <row r="15" spans="1:10">
      <c r="A15" s="24">
        <v>14</v>
      </c>
      <c r="B15" s="24">
        <v>1.9</v>
      </c>
      <c r="C15" s="24">
        <v>13</v>
      </c>
      <c r="D15" s="24">
        <v>100</v>
      </c>
      <c r="E15" s="24">
        <v>0</v>
      </c>
      <c r="F15" s="24">
        <v>-40</v>
      </c>
      <c r="G15" s="24"/>
      <c r="H15" s="24"/>
      <c r="I15" s="24"/>
    </row>
    <row r="16" spans="1:10">
      <c r="A16" s="24">
        <v>15</v>
      </c>
      <c r="B16" s="24">
        <v>1.7</v>
      </c>
      <c r="C16" s="24">
        <v>14</v>
      </c>
      <c r="D16" s="24">
        <v>100</v>
      </c>
      <c r="E16" s="24">
        <v>0</v>
      </c>
      <c r="F16" s="24">
        <v>-40</v>
      </c>
      <c r="G16" s="24"/>
      <c r="H16" s="24"/>
      <c r="I16" s="24"/>
    </row>
    <row r="17" spans="1:9">
      <c r="A17" s="24">
        <v>16</v>
      </c>
      <c r="B17" s="24">
        <v>1.5</v>
      </c>
      <c r="C17" s="24">
        <v>15</v>
      </c>
      <c r="D17" s="24">
        <v>100</v>
      </c>
      <c r="E17" s="24">
        <v>0</v>
      </c>
      <c r="F17" s="24">
        <v>-40</v>
      </c>
      <c r="G17" s="24"/>
      <c r="H17" s="24"/>
      <c r="I17" s="24"/>
    </row>
    <row r="18" spans="1:9">
      <c r="A18" s="24">
        <v>17</v>
      </c>
      <c r="B18" s="24">
        <v>1.3</v>
      </c>
      <c r="C18" s="24">
        <v>16</v>
      </c>
      <c r="D18" s="24">
        <v>100</v>
      </c>
      <c r="E18" s="24">
        <v>0</v>
      </c>
      <c r="F18" s="24">
        <v>-40</v>
      </c>
      <c r="G18" s="24"/>
      <c r="H18" s="24"/>
      <c r="I18" s="24"/>
    </row>
    <row r="19" spans="1:9">
      <c r="A19" s="24">
        <v>18</v>
      </c>
      <c r="B19" s="24">
        <v>1.2</v>
      </c>
      <c r="C19" s="24">
        <v>17</v>
      </c>
      <c r="D19" s="24">
        <v>100</v>
      </c>
      <c r="E19" s="24">
        <v>0</v>
      </c>
      <c r="F19" s="24">
        <v>-40</v>
      </c>
      <c r="G19" s="24"/>
      <c r="H19" s="24"/>
      <c r="I19" s="24"/>
    </row>
    <row r="20" spans="1:9">
      <c r="A20" s="24">
        <v>19</v>
      </c>
      <c r="B20" s="24">
        <v>1.1000000000000001</v>
      </c>
      <c r="C20" s="24">
        <v>18</v>
      </c>
      <c r="D20" s="24">
        <v>100</v>
      </c>
      <c r="E20" s="24">
        <v>0</v>
      </c>
      <c r="F20" s="24">
        <v>-40</v>
      </c>
      <c r="G20" s="24"/>
      <c r="H20" s="24"/>
      <c r="I20" s="24"/>
    </row>
    <row r="21" spans="1:9">
      <c r="A21" s="24">
        <v>20</v>
      </c>
      <c r="B21" s="24">
        <v>1</v>
      </c>
      <c r="C21" s="24">
        <v>19</v>
      </c>
      <c r="D21" s="24">
        <v>100</v>
      </c>
      <c r="E21" s="24">
        <v>0</v>
      </c>
      <c r="F21" s="24">
        <v>-40</v>
      </c>
      <c r="G21" s="24"/>
      <c r="H21" s="24"/>
      <c r="I21" s="24"/>
    </row>
    <row r="22" spans="1:9">
      <c r="A22" s="24"/>
      <c r="B22" s="24"/>
      <c r="C22" s="24">
        <v>20</v>
      </c>
      <c r="D22" s="24">
        <v>100</v>
      </c>
      <c r="E22" s="24">
        <v>0</v>
      </c>
      <c r="F22" s="24">
        <v>-40</v>
      </c>
      <c r="G22" s="24"/>
      <c r="H22" s="24"/>
      <c r="I22" s="24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I49"/>
  <sheetViews>
    <sheetView zoomScale="80" zoomScaleNormal="80" workbookViewId="0"/>
  </sheetViews>
  <sheetFormatPr defaultRowHeight="15"/>
  <cols>
    <col min="1" max="1" width="20.28515625" customWidth="1"/>
    <col min="2" max="3" width="7.7109375" customWidth="1"/>
    <col min="4" max="8" width="7.7109375" style="162" customWidth="1"/>
    <col min="9" max="10" width="7.7109375" customWidth="1"/>
    <col min="11" max="12" width="12.7109375" customWidth="1"/>
  </cols>
  <sheetData>
    <row r="1" spans="1:9" ht="18.75">
      <c r="A1" s="47"/>
      <c r="B1" s="47"/>
      <c r="C1" s="47"/>
      <c r="D1" s="163"/>
      <c r="E1" s="163"/>
      <c r="F1" s="163"/>
      <c r="G1" s="163"/>
      <c r="H1" s="163"/>
      <c r="I1" s="47"/>
    </row>
    <row r="2" spans="1:9">
      <c r="B2" s="5"/>
      <c r="C2" s="5"/>
      <c r="D2" s="5"/>
      <c r="E2" s="5"/>
      <c r="F2" s="5"/>
      <c r="G2" s="5"/>
      <c r="H2" s="5"/>
      <c r="I2" s="5"/>
    </row>
    <row r="3" spans="1:9" ht="19.899999999999999" customHeight="1">
      <c r="A3" s="1" t="s">
        <v>1</v>
      </c>
      <c r="B3" s="156" t="s">
        <v>11</v>
      </c>
      <c r="C3" s="156" t="str">
        <f>'2 Proxy Sum'!C6</f>
        <v>ATO</v>
      </c>
      <c r="D3" s="156" t="str">
        <f>'2 Proxy Sum'!C7</f>
        <v>NJR</v>
      </c>
      <c r="E3" s="156" t="str">
        <f>'2 Proxy Sum'!C8</f>
        <v>NWN</v>
      </c>
      <c r="F3" s="156" t="str">
        <f>'2 Proxy Sum'!C9</f>
        <v>OGS</v>
      </c>
      <c r="G3" s="156" t="str">
        <f>'2 Proxy Sum'!C10</f>
        <v>SJI</v>
      </c>
      <c r="H3" s="156" t="str">
        <f>'2 Proxy Sum'!C11</f>
        <v>SWX</v>
      </c>
      <c r="I3" s="156" t="str">
        <f>'2 Proxy Sum'!C12</f>
        <v>SR</v>
      </c>
    </row>
    <row r="4" spans="1:9" ht="19.899999999999999" customHeight="1">
      <c r="C4" s="1"/>
    </row>
    <row r="5" spans="1:9" ht="19.899999999999999" customHeight="1">
      <c r="A5" s="2" t="s">
        <v>9</v>
      </c>
      <c r="B5" s="20">
        <f>AVERAGE(B8:B37)</f>
        <v>3137.037695333333</v>
      </c>
      <c r="C5" s="19">
        <f t="shared" ref="C5:I5" si="0">AVERAGE(C8:C37)</f>
        <v>100.25099966666666</v>
      </c>
      <c r="D5" s="19">
        <f t="shared" si="0"/>
        <v>31.821309566666663</v>
      </c>
      <c r="E5" s="19">
        <f t="shared" si="0"/>
        <v>55.187999966666652</v>
      </c>
      <c r="F5" s="19">
        <f t="shared" si="0"/>
        <v>76.185666766666657</v>
      </c>
      <c r="G5" s="19">
        <f t="shared" si="0"/>
        <v>24.399000033333333</v>
      </c>
      <c r="H5" s="19">
        <f t="shared" si="0"/>
        <v>68.722332866666648</v>
      </c>
      <c r="I5" s="19">
        <f t="shared" si="0"/>
        <v>66.159899733333333</v>
      </c>
    </row>
    <row r="6" spans="1:9" ht="19.899999999999999" customHeight="1">
      <c r="A6" s="42" t="s">
        <v>8</v>
      </c>
      <c r="B6" s="43">
        <f>STDEV(B8:B37)</f>
        <v>68.93512269814174</v>
      </c>
      <c r="C6" s="44">
        <f t="shared" ref="C6:I6" si="1">STDEV(C8:C37)</f>
        <v>1.6435757821678449</v>
      </c>
      <c r="D6" s="44">
        <f t="shared" si="1"/>
        <v>1.0441207122895884</v>
      </c>
      <c r="E6" s="44">
        <f t="shared" si="1"/>
        <v>2.9437586863245668</v>
      </c>
      <c r="F6" s="44">
        <f t="shared" si="1"/>
        <v>2.2467470444669111</v>
      </c>
      <c r="G6" s="44">
        <f t="shared" si="1"/>
        <v>1.2337225466604351</v>
      </c>
      <c r="H6" s="44">
        <f t="shared" si="1"/>
        <v>2.2400673987099773</v>
      </c>
      <c r="I6" s="44">
        <f t="shared" si="1"/>
        <v>2.6326020309830214</v>
      </c>
    </row>
    <row r="7" spans="1:9" ht="19.899999999999999" customHeight="1">
      <c r="A7" s="18"/>
      <c r="C7" s="1"/>
    </row>
    <row r="8" spans="1:9" ht="19.899999999999999" customHeight="1">
      <c r="A8" s="182">
        <v>43991</v>
      </c>
      <c r="B8" s="21">
        <v>3207.179932</v>
      </c>
      <c r="C8" s="3">
        <v>104.32</v>
      </c>
      <c r="D8" s="3">
        <v>35.693035000000002</v>
      </c>
      <c r="E8" s="3">
        <v>64.040001000000004</v>
      </c>
      <c r="F8" s="3">
        <v>83.949996999999996</v>
      </c>
      <c r="G8" s="3">
        <v>28.09</v>
      </c>
      <c r="H8" s="3">
        <v>74.510002</v>
      </c>
      <c r="I8" s="3">
        <v>74.457001000000005</v>
      </c>
    </row>
    <row r="9" spans="1:9" ht="19.899999999999999" customHeight="1">
      <c r="A9" s="38">
        <v>43992</v>
      </c>
      <c r="B9" s="21">
        <v>3190.139893</v>
      </c>
      <c r="C9" s="3">
        <v>103.739998</v>
      </c>
      <c r="D9" s="3">
        <v>34.217789000000003</v>
      </c>
      <c r="E9" s="3">
        <v>61.990001999999997</v>
      </c>
      <c r="F9" s="3">
        <v>82.480002999999996</v>
      </c>
      <c r="G9" s="3">
        <v>27.42</v>
      </c>
      <c r="H9" s="3">
        <v>71.059997999999993</v>
      </c>
      <c r="I9" s="3">
        <v>72.599997999999999</v>
      </c>
    </row>
    <row r="10" spans="1:9" ht="19.899999999999999" customHeight="1">
      <c r="A10" s="38">
        <v>43993</v>
      </c>
      <c r="B10" s="21">
        <v>3002.1000979999999</v>
      </c>
      <c r="C10" s="3">
        <v>99.269997000000004</v>
      </c>
      <c r="D10" s="3">
        <v>31.851451999999998</v>
      </c>
      <c r="E10" s="3">
        <v>57.619999</v>
      </c>
      <c r="F10" s="3">
        <v>76.709998999999996</v>
      </c>
      <c r="G10" s="3">
        <v>25.129999000000002</v>
      </c>
      <c r="H10" s="3">
        <v>67.099997999999999</v>
      </c>
      <c r="I10" s="3">
        <v>67.690002000000007</v>
      </c>
    </row>
    <row r="11" spans="1:9" ht="19.899999999999999" customHeight="1">
      <c r="A11" s="38">
        <v>43994</v>
      </c>
      <c r="B11" s="21">
        <v>3041.3100589999999</v>
      </c>
      <c r="C11" s="3">
        <v>100.43</v>
      </c>
      <c r="D11" s="3">
        <v>31.297001000000002</v>
      </c>
      <c r="E11" s="3">
        <v>57.130001</v>
      </c>
      <c r="F11" s="3">
        <v>76.930000000000007</v>
      </c>
      <c r="G11" s="3">
        <v>25.059999000000001</v>
      </c>
      <c r="H11" s="3">
        <v>66.779999000000004</v>
      </c>
      <c r="I11" s="3">
        <v>67.629997000000003</v>
      </c>
    </row>
    <row r="12" spans="1:9" ht="19.899999999999999" customHeight="1">
      <c r="A12" s="38">
        <v>43997</v>
      </c>
      <c r="B12" s="21">
        <v>3066.5900879999999</v>
      </c>
      <c r="C12" s="3">
        <v>101.08000199999999</v>
      </c>
      <c r="D12" s="3">
        <v>31.559999000000001</v>
      </c>
      <c r="E12" s="3">
        <v>58.48</v>
      </c>
      <c r="F12" s="3">
        <v>77.620002999999997</v>
      </c>
      <c r="G12" s="3">
        <v>25.190000999999999</v>
      </c>
      <c r="H12" s="3">
        <v>68.669998000000007</v>
      </c>
      <c r="I12" s="3">
        <v>68.839995999999999</v>
      </c>
    </row>
    <row r="13" spans="1:9" ht="19.899999999999999" customHeight="1">
      <c r="A13" s="38">
        <v>43998</v>
      </c>
      <c r="B13" s="21">
        <v>3124.73999</v>
      </c>
      <c r="C13" s="3">
        <v>102.260002</v>
      </c>
      <c r="D13" s="3">
        <v>32.599997999999999</v>
      </c>
      <c r="E13" s="3">
        <v>58.799999</v>
      </c>
      <c r="F13" s="3">
        <v>78.449996999999996</v>
      </c>
      <c r="G13" s="3">
        <v>26.15</v>
      </c>
      <c r="H13" s="3">
        <v>69.019997000000004</v>
      </c>
      <c r="I13" s="3">
        <v>69.660004000000001</v>
      </c>
    </row>
    <row r="14" spans="1:9" ht="19.899999999999999" customHeight="1">
      <c r="A14" s="38">
        <v>43999</v>
      </c>
      <c r="B14" s="21">
        <v>3113.48999</v>
      </c>
      <c r="C14" s="3">
        <v>101.18</v>
      </c>
      <c r="D14" s="3">
        <v>31.58</v>
      </c>
      <c r="E14" s="3">
        <v>57</v>
      </c>
      <c r="F14" s="3">
        <v>76.220000999999996</v>
      </c>
      <c r="G14" s="3">
        <v>25.280000999999999</v>
      </c>
      <c r="H14" s="3">
        <v>67.220000999999996</v>
      </c>
      <c r="I14" s="3">
        <v>67.290001000000004</v>
      </c>
    </row>
    <row r="15" spans="1:9" ht="19.899999999999999" customHeight="1">
      <c r="A15" s="38">
        <v>44000</v>
      </c>
      <c r="B15" s="21">
        <v>3115.3400879999999</v>
      </c>
      <c r="C15" s="3">
        <v>101.449997</v>
      </c>
      <c r="D15" s="3">
        <v>31.65</v>
      </c>
      <c r="E15" s="3">
        <v>57.07</v>
      </c>
      <c r="F15" s="3">
        <v>76.349997999999999</v>
      </c>
      <c r="G15" s="3">
        <v>25.15</v>
      </c>
      <c r="H15" s="3">
        <v>68.610000999999997</v>
      </c>
      <c r="I15" s="3">
        <v>66.629997000000003</v>
      </c>
    </row>
    <row r="16" spans="1:9" ht="19.899999999999999" customHeight="1">
      <c r="A16" s="38">
        <v>44001</v>
      </c>
      <c r="B16" s="21">
        <v>3097.73999</v>
      </c>
      <c r="C16" s="3">
        <v>99.720000999999996</v>
      </c>
      <c r="D16" s="3">
        <v>31.629999000000002</v>
      </c>
      <c r="E16" s="3">
        <v>54.849997999999999</v>
      </c>
      <c r="F16" s="3">
        <v>74.510002</v>
      </c>
      <c r="G16" s="3">
        <v>24.67</v>
      </c>
      <c r="H16" s="3">
        <v>66.059997999999993</v>
      </c>
      <c r="I16" s="3">
        <v>65.459998999999996</v>
      </c>
    </row>
    <row r="17" spans="1:9" ht="19.899999999999999" customHeight="1">
      <c r="A17" s="38">
        <v>44004</v>
      </c>
      <c r="B17" s="21">
        <v>3117.860107</v>
      </c>
      <c r="C17" s="3">
        <v>100.120003</v>
      </c>
      <c r="D17" s="3">
        <v>31.620000999999998</v>
      </c>
      <c r="E17" s="3">
        <v>55.810001</v>
      </c>
      <c r="F17" s="3">
        <v>75.739998</v>
      </c>
      <c r="G17" s="3">
        <v>24.67</v>
      </c>
      <c r="H17" s="3">
        <v>66.690002000000007</v>
      </c>
      <c r="I17" s="3">
        <v>66.080001999999993</v>
      </c>
    </row>
    <row r="18" spans="1:9" ht="19.899999999999999" customHeight="1">
      <c r="A18" s="38">
        <v>44005</v>
      </c>
      <c r="B18" s="21">
        <v>3131.290039</v>
      </c>
      <c r="C18" s="3">
        <v>98.839995999999999</v>
      </c>
      <c r="D18" s="3">
        <v>31.190000999999999</v>
      </c>
      <c r="E18" s="3">
        <v>55.830002</v>
      </c>
      <c r="F18" s="3">
        <v>75.419998000000007</v>
      </c>
      <c r="G18" s="3">
        <v>24.389999</v>
      </c>
      <c r="H18" s="3">
        <v>66.269997000000004</v>
      </c>
      <c r="I18" s="3">
        <v>65.650002000000001</v>
      </c>
    </row>
    <row r="19" spans="1:9" ht="19.899999999999999" customHeight="1">
      <c r="A19" s="38">
        <v>44006</v>
      </c>
      <c r="B19" s="21">
        <v>3050.330078</v>
      </c>
      <c r="C19" s="3">
        <v>98.959998999999996</v>
      </c>
      <c r="D19" s="3">
        <v>30.940000999999999</v>
      </c>
      <c r="E19" s="3">
        <v>54.43</v>
      </c>
      <c r="F19" s="3">
        <v>74.959998999999996</v>
      </c>
      <c r="G19" s="3">
        <v>24.17</v>
      </c>
      <c r="H19" s="3">
        <v>65.690002000000007</v>
      </c>
      <c r="I19" s="3">
        <v>64.430000000000007</v>
      </c>
    </row>
    <row r="20" spans="1:9" ht="19.899999999999999" customHeight="1">
      <c r="A20" s="38">
        <v>44007</v>
      </c>
      <c r="B20" s="21">
        <v>3083.76001</v>
      </c>
      <c r="C20" s="3">
        <v>97.07</v>
      </c>
      <c r="D20" s="3">
        <v>31.030000999999999</v>
      </c>
      <c r="E20" s="3">
        <v>53.889999000000003</v>
      </c>
      <c r="F20" s="3">
        <v>74.050003000000004</v>
      </c>
      <c r="G20" s="3">
        <v>23.85</v>
      </c>
      <c r="H20" s="3">
        <v>65.370002999999997</v>
      </c>
      <c r="I20" s="3">
        <v>63.959999000000003</v>
      </c>
    </row>
    <row r="21" spans="1:9" ht="19.899999999999999" customHeight="1">
      <c r="A21" s="38">
        <v>44008</v>
      </c>
      <c r="B21" s="21">
        <v>3009.0500489999999</v>
      </c>
      <c r="C21" s="3">
        <v>97.459998999999996</v>
      </c>
      <c r="D21" s="3">
        <v>31.26</v>
      </c>
      <c r="E21" s="3">
        <v>52.959999000000003</v>
      </c>
      <c r="F21" s="3">
        <v>73.510002</v>
      </c>
      <c r="G21" s="3">
        <v>23.65</v>
      </c>
      <c r="H21" s="3">
        <v>65.519997000000004</v>
      </c>
      <c r="I21" s="3">
        <v>62.169998</v>
      </c>
    </row>
    <row r="22" spans="1:9" ht="19.899999999999999" customHeight="1">
      <c r="A22" s="38">
        <v>44011</v>
      </c>
      <c r="B22" s="21">
        <v>3053.23999</v>
      </c>
      <c r="C22" s="3">
        <v>98.379997000000003</v>
      </c>
      <c r="D22" s="3">
        <v>32.229999999999997</v>
      </c>
      <c r="E22" s="3">
        <v>55</v>
      </c>
      <c r="F22" s="3">
        <v>74.849997999999999</v>
      </c>
      <c r="G22" s="3">
        <v>24.559999000000001</v>
      </c>
      <c r="H22" s="3">
        <v>67.519997000000004</v>
      </c>
      <c r="I22" s="3">
        <v>64.389999000000003</v>
      </c>
    </row>
    <row r="23" spans="1:9" ht="19.899999999999999" customHeight="1">
      <c r="A23" s="38">
        <v>44012</v>
      </c>
      <c r="B23" s="21">
        <v>3100.290039</v>
      </c>
      <c r="C23" s="3">
        <v>99.580001999999993</v>
      </c>
      <c r="D23" s="3">
        <v>32.650002000000001</v>
      </c>
      <c r="E23" s="3">
        <v>55.790000999999997</v>
      </c>
      <c r="F23" s="3">
        <v>77.050003000000004</v>
      </c>
      <c r="G23" s="3">
        <v>24.99</v>
      </c>
      <c r="H23" s="3">
        <v>69.050003000000004</v>
      </c>
      <c r="I23" s="3">
        <v>65.709998999999996</v>
      </c>
    </row>
    <row r="24" spans="1:9" ht="19.899999999999999" customHeight="1">
      <c r="A24" s="38">
        <v>44013</v>
      </c>
      <c r="B24" s="21">
        <v>3115.860107</v>
      </c>
      <c r="C24" s="3">
        <v>100.69000200000001</v>
      </c>
      <c r="D24" s="3">
        <v>32.220001000000003</v>
      </c>
      <c r="E24" s="3">
        <v>55.75</v>
      </c>
      <c r="F24" s="3">
        <v>77</v>
      </c>
      <c r="G24" s="3">
        <v>24.610001</v>
      </c>
      <c r="H24" s="3">
        <v>67.800003000000004</v>
      </c>
      <c r="I24" s="3">
        <v>66.589995999999999</v>
      </c>
    </row>
    <row r="25" spans="1:9" ht="19.899999999999999" customHeight="1">
      <c r="A25" s="38">
        <v>44014</v>
      </c>
      <c r="B25" s="21">
        <v>3130.01001</v>
      </c>
      <c r="C25" s="3">
        <v>101.18</v>
      </c>
      <c r="D25" s="3">
        <v>32.400002000000001</v>
      </c>
      <c r="E25" s="3">
        <v>55.68</v>
      </c>
      <c r="F25" s="3">
        <v>77.349997999999999</v>
      </c>
      <c r="G25" s="3">
        <v>24.530000999999999</v>
      </c>
      <c r="H25" s="3">
        <v>68.459998999999996</v>
      </c>
      <c r="I25" s="3">
        <v>67.169998000000007</v>
      </c>
    </row>
    <row r="26" spans="1:9" ht="19.899999999999999" customHeight="1">
      <c r="A26" s="38">
        <v>44018</v>
      </c>
      <c r="B26" s="21">
        <v>3179.719971</v>
      </c>
      <c r="C26" s="3">
        <v>101.239998</v>
      </c>
      <c r="D26" s="3">
        <v>32.450001</v>
      </c>
      <c r="E26" s="3">
        <v>54.619999</v>
      </c>
      <c r="F26" s="3">
        <v>76.389999000000003</v>
      </c>
      <c r="G26" s="3">
        <v>23.99</v>
      </c>
      <c r="H26" s="3">
        <v>69.459998999999996</v>
      </c>
      <c r="I26" s="3">
        <v>67.069999999999993</v>
      </c>
    </row>
    <row r="27" spans="1:9" ht="19.899999999999999" customHeight="1">
      <c r="A27" s="38">
        <v>44019</v>
      </c>
      <c r="B27" s="21">
        <v>3145.320068</v>
      </c>
      <c r="C27" s="3">
        <v>100.07</v>
      </c>
      <c r="D27" s="3">
        <v>31.9</v>
      </c>
      <c r="E27" s="3">
        <v>53.360000999999997</v>
      </c>
      <c r="F27" s="3">
        <v>75.370002999999997</v>
      </c>
      <c r="G27" s="3">
        <v>23.6</v>
      </c>
      <c r="H27" s="3">
        <v>68.870002999999997</v>
      </c>
      <c r="I27" s="3">
        <v>66.349997999999999</v>
      </c>
    </row>
    <row r="28" spans="1:9" ht="19.899999999999999" customHeight="1">
      <c r="A28" s="38">
        <v>44020</v>
      </c>
      <c r="B28" s="21">
        <v>3169.9399410000001</v>
      </c>
      <c r="C28" s="3">
        <v>99.379997000000003</v>
      </c>
      <c r="D28" s="3">
        <v>31.25</v>
      </c>
      <c r="E28" s="3">
        <v>52.610000999999997</v>
      </c>
      <c r="F28" s="3">
        <v>75.419998000000007</v>
      </c>
      <c r="G28" s="3">
        <v>23.450001</v>
      </c>
      <c r="H28" s="3">
        <v>68.269997000000004</v>
      </c>
      <c r="I28" s="3">
        <v>65.319999999999993</v>
      </c>
    </row>
    <row r="29" spans="1:9" ht="19.899999999999999" customHeight="1">
      <c r="A29" s="38">
        <v>44021</v>
      </c>
      <c r="B29" s="21">
        <v>3152.0500489999999</v>
      </c>
      <c r="C29" s="3">
        <v>97.690002000000007</v>
      </c>
      <c r="D29" s="3">
        <v>30.17</v>
      </c>
      <c r="E29" s="3">
        <v>51.02</v>
      </c>
      <c r="F29" s="3">
        <v>74.069999999999993</v>
      </c>
      <c r="G29" s="3">
        <v>22.68</v>
      </c>
      <c r="H29" s="3">
        <v>66.949996999999996</v>
      </c>
      <c r="I29" s="3">
        <v>63.220001000000003</v>
      </c>
    </row>
    <row r="30" spans="1:9" ht="19.899999999999999" customHeight="1">
      <c r="A30" s="38">
        <v>44022</v>
      </c>
      <c r="B30" s="21">
        <v>3185.040039</v>
      </c>
      <c r="C30" s="3">
        <v>99.089995999999999</v>
      </c>
      <c r="D30" s="3">
        <v>31.030000999999999</v>
      </c>
      <c r="E30" s="3">
        <v>52.84</v>
      </c>
      <c r="F30" s="3">
        <v>75.139999000000003</v>
      </c>
      <c r="G30" s="3">
        <v>23.27</v>
      </c>
      <c r="H30" s="3">
        <v>68.989998</v>
      </c>
      <c r="I30" s="3">
        <v>65.550003000000004</v>
      </c>
    </row>
    <row r="31" spans="1:9" ht="19.899999999999999" customHeight="1">
      <c r="A31" s="38">
        <v>44025</v>
      </c>
      <c r="B31" s="21">
        <v>3155.219971</v>
      </c>
      <c r="C31" s="3">
        <v>99.690002000000007</v>
      </c>
      <c r="D31" s="3">
        <v>31.290001</v>
      </c>
      <c r="E31" s="3">
        <v>52.349997999999999</v>
      </c>
      <c r="F31" s="3">
        <v>75.690002000000007</v>
      </c>
      <c r="G31" s="3">
        <v>23.24</v>
      </c>
      <c r="H31" s="3">
        <v>69.720000999999996</v>
      </c>
      <c r="I31" s="3">
        <v>65.260002</v>
      </c>
    </row>
    <row r="32" spans="1:9" ht="19.899999999999999" customHeight="1">
      <c r="A32" s="38">
        <v>44026</v>
      </c>
      <c r="B32" s="21">
        <v>3197.5200199999999</v>
      </c>
      <c r="C32" s="3">
        <v>100.43</v>
      </c>
      <c r="D32" s="3">
        <v>31.42</v>
      </c>
      <c r="E32" s="3">
        <v>52.32</v>
      </c>
      <c r="F32" s="3">
        <v>75.300003000000004</v>
      </c>
      <c r="G32" s="3">
        <v>23.280000999999999</v>
      </c>
      <c r="H32" s="3">
        <v>71.069999999999993</v>
      </c>
      <c r="I32" s="3">
        <v>64.930000000000007</v>
      </c>
    </row>
    <row r="33" spans="1:9" ht="19.899999999999999" customHeight="1">
      <c r="A33" s="38">
        <v>44027</v>
      </c>
      <c r="B33" s="21">
        <v>3226.5600589999999</v>
      </c>
      <c r="C33" s="3">
        <v>100.639999</v>
      </c>
      <c r="D33" s="3">
        <v>32.060001</v>
      </c>
      <c r="E33" s="3">
        <v>52.75</v>
      </c>
      <c r="F33" s="3">
        <v>75.440002000000007</v>
      </c>
      <c r="G33" s="3">
        <v>23.34</v>
      </c>
      <c r="H33" s="3">
        <v>71.809997999999993</v>
      </c>
      <c r="I33" s="3">
        <v>64.910004000000001</v>
      </c>
    </row>
    <row r="34" spans="1:9" ht="19.899999999999999" customHeight="1">
      <c r="A34" s="38">
        <v>44028</v>
      </c>
      <c r="B34" s="21">
        <v>3215.570068</v>
      </c>
      <c r="C34" s="3">
        <v>100.550003</v>
      </c>
      <c r="D34" s="3">
        <v>31.440000999999999</v>
      </c>
      <c r="E34" s="3">
        <v>52.57</v>
      </c>
      <c r="F34" s="3">
        <v>74.779999000000004</v>
      </c>
      <c r="G34" s="3">
        <v>23.43</v>
      </c>
      <c r="H34" s="3">
        <v>71.129997000000003</v>
      </c>
      <c r="I34" s="3">
        <v>64.470000999999996</v>
      </c>
    </row>
    <row r="35" spans="1:9" ht="19.899999999999999" customHeight="1">
      <c r="A35" s="38">
        <v>44029</v>
      </c>
      <c r="B35" s="21">
        <v>3224.7299800000001</v>
      </c>
      <c r="C35" s="3">
        <v>101.05999799999999</v>
      </c>
      <c r="D35" s="3">
        <v>31.92</v>
      </c>
      <c r="E35" s="3">
        <v>53.439999</v>
      </c>
      <c r="F35" s="3">
        <v>75.050003000000004</v>
      </c>
      <c r="G35" s="3">
        <v>23.629999000000002</v>
      </c>
      <c r="H35" s="3">
        <v>72.069999999999993</v>
      </c>
      <c r="I35" s="3">
        <v>64.519997000000004</v>
      </c>
    </row>
    <row r="36" spans="1:9" ht="19.899999999999999" customHeight="1">
      <c r="A36" s="38">
        <v>44032</v>
      </c>
      <c r="B36" s="21">
        <v>3251.8400879999999</v>
      </c>
      <c r="C36" s="3">
        <v>99.809997999999993</v>
      </c>
      <c r="D36" s="3">
        <v>30.620000999999998</v>
      </c>
      <c r="E36" s="3">
        <v>52.25</v>
      </c>
      <c r="F36" s="3">
        <v>73.889999000000003</v>
      </c>
      <c r="G36" s="3">
        <v>23.07</v>
      </c>
      <c r="H36" s="3">
        <v>70.569999999999993</v>
      </c>
      <c r="I36" s="3">
        <v>62.73</v>
      </c>
    </row>
    <row r="37" spans="1:9" ht="19.899999999999999" customHeight="1">
      <c r="A37" s="38">
        <v>44033</v>
      </c>
      <c r="B37" s="21">
        <v>3257.3000489999999</v>
      </c>
      <c r="C37" s="3">
        <v>102.150002</v>
      </c>
      <c r="D37" s="3">
        <v>31.469999000000001</v>
      </c>
      <c r="E37" s="3">
        <v>53.389999000000003</v>
      </c>
      <c r="F37" s="3">
        <v>75.879997000000003</v>
      </c>
      <c r="G37" s="3">
        <v>23.43</v>
      </c>
      <c r="H37" s="3">
        <v>71.360000999999997</v>
      </c>
      <c r="I37" s="3">
        <v>64.059997999999993</v>
      </c>
    </row>
    <row r="38" spans="1:9">
      <c r="A38" s="51"/>
      <c r="B38" s="51"/>
      <c r="C38" s="19"/>
      <c r="D38" s="15"/>
      <c r="E38" s="15"/>
      <c r="F38" s="15"/>
      <c r="G38" s="15"/>
      <c r="H38" s="15"/>
      <c r="I38" s="15"/>
    </row>
    <row r="39" spans="1:9">
      <c r="A39" s="52"/>
      <c r="B39" s="52"/>
      <c r="C39" s="3"/>
    </row>
    <row r="40" spans="1:9">
      <c r="A40" s="6"/>
      <c r="B40" s="6"/>
    </row>
    <row r="41" spans="1:9" s="53" customFormat="1" ht="14.45" customHeight="1">
      <c r="A41" s="195" t="s">
        <v>90</v>
      </c>
      <c r="B41" s="195"/>
      <c r="C41" s="195"/>
      <c r="D41" s="195"/>
      <c r="E41" s="195"/>
      <c r="F41" s="195"/>
      <c r="G41" s="195"/>
      <c r="H41" s="195"/>
      <c r="I41" s="195"/>
    </row>
    <row r="42" spans="1:9">
      <c r="A42" s="6"/>
      <c r="B42" s="6"/>
    </row>
    <row r="43" spans="1:9">
      <c r="A43" s="6"/>
      <c r="B43" s="6"/>
    </row>
    <row r="44" spans="1:9">
      <c r="A44" s="6"/>
      <c r="B44" s="6"/>
    </row>
    <row r="45" spans="1:9">
      <c r="A45" s="6"/>
      <c r="B45" s="6"/>
    </row>
    <row r="46" spans="1:9">
      <c r="A46" s="6"/>
      <c r="B46" s="6"/>
    </row>
    <row r="47" spans="1:9">
      <c r="A47" s="6"/>
      <c r="B47" s="6"/>
    </row>
    <row r="48" spans="1:9">
      <c r="A48" s="6"/>
      <c r="B48" s="6"/>
    </row>
    <row r="49" spans="1:2">
      <c r="A49" s="6"/>
      <c r="B49" s="6"/>
    </row>
  </sheetData>
  <mergeCells count="1">
    <mergeCell ref="A41:I41"/>
  </mergeCells>
  <printOptions horizontalCentered="1"/>
  <pageMargins left="0.7" right="0.7" top="0.75" bottom="0.75" header="0.3" footer="0.3"/>
  <pageSetup scale="66" orientation="landscape" r:id="rId1"/>
  <headerFooter scaleWithDoc="0">
    <oddHeader>&amp;C&amp;"-,Bold"&amp;14DCF Stock and Index Prices&amp;RExhibit DJG-3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I23"/>
  <sheetViews>
    <sheetView zoomScaleNormal="100" workbookViewId="0">
      <selection sqref="A1:I1"/>
    </sheetView>
  </sheetViews>
  <sheetFormatPr defaultColWidth="8.85546875" defaultRowHeight="15"/>
  <cols>
    <col min="1" max="1" width="36.140625" bestFit="1" customWidth="1"/>
    <col min="2" max="2" width="2.7109375" customWidth="1"/>
    <col min="3" max="3" width="6.7109375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</cols>
  <sheetData>
    <row r="1" spans="1:9" ht="18.75">
      <c r="A1" s="197"/>
      <c r="B1" s="197"/>
      <c r="C1" s="197"/>
      <c r="D1" s="197"/>
      <c r="E1" s="197"/>
      <c r="F1" s="197"/>
      <c r="G1" s="197"/>
      <c r="H1" s="197"/>
      <c r="I1" s="197"/>
    </row>
    <row r="3" spans="1:9" ht="19.899999999999999" customHeight="1">
      <c r="E3" s="1" t="s">
        <v>3</v>
      </c>
      <c r="F3" s="1"/>
      <c r="G3" s="1" t="s">
        <v>4</v>
      </c>
      <c r="H3" s="1"/>
      <c r="I3" s="1" t="s">
        <v>5</v>
      </c>
    </row>
    <row r="4" spans="1:9" ht="19.899999999999999" customHeight="1">
      <c r="E4" s="1"/>
      <c r="F4" s="1"/>
      <c r="G4" s="1"/>
      <c r="H4" s="1"/>
      <c r="I4" s="1"/>
    </row>
    <row r="5" spans="1:9" ht="19.899999999999999" customHeight="1">
      <c r="C5" s="1"/>
      <c r="D5" s="1"/>
      <c r="E5" s="1"/>
      <c r="F5" s="1"/>
      <c r="G5" s="1" t="s">
        <v>94</v>
      </c>
      <c r="H5" s="1"/>
      <c r="I5" s="1" t="s">
        <v>57</v>
      </c>
    </row>
    <row r="6" spans="1:9" ht="19.899999999999999" customHeight="1">
      <c r="A6" s="2" t="s">
        <v>0</v>
      </c>
      <c r="B6" s="1"/>
      <c r="C6" s="2" t="s">
        <v>1</v>
      </c>
      <c r="D6" s="1"/>
      <c r="E6" s="152" t="s">
        <v>57</v>
      </c>
      <c r="F6" s="5"/>
      <c r="G6" s="152" t="s">
        <v>2</v>
      </c>
      <c r="H6" s="5"/>
      <c r="I6" s="152" t="s">
        <v>93</v>
      </c>
    </row>
    <row r="7" spans="1:9" ht="19.899999999999999" customHeight="1">
      <c r="A7" s="1"/>
      <c r="B7" s="1"/>
      <c r="C7" s="1"/>
      <c r="D7" s="1"/>
      <c r="E7" s="5"/>
      <c r="F7" s="5"/>
      <c r="G7" s="5"/>
      <c r="H7" s="5"/>
      <c r="I7" s="5"/>
    </row>
    <row r="8" spans="1:9" ht="19.899999999999999" customHeight="1">
      <c r="A8" t="str">
        <f>'2 Proxy Sum'!A6</f>
        <v>Atmos Energy Corporation</v>
      </c>
      <c r="C8" s="39" t="str">
        <f>'2 Proxy Sum'!C6</f>
        <v>ATO</v>
      </c>
      <c r="D8" s="1"/>
      <c r="E8" s="89">
        <v>0.57499999999999996</v>
      </c>
      <c r="F8" s="71"/>
      <c r="G8" s="70">
        <f>'3 Stock Price'!C5</f>
        <v>100.25099966666666</v>
      </c>
      <c r="H8" s="8"/>
      <c r="I8" s="22">
        <f>E8/G8</f>
        <v>5.735603653947271E-3</v>
      </c>
    </row>
    <row r="9" spans="1:9" s="162" customFormat="1" ht="19.899999999999999" customHeight="1">
      <c r="A9" s="162" t="str">
        <f>'2 Proxy Sum'!A7</f>
        <v>New Jersey Resources Corporation</v>
      </c>
      <c r="C9" s="39" t="str">
        <f>'2 Proxy Sum'!C7</f>
        <v>NJR</v>
      </c>
      <c r="D9" s="161"/>
      <c r="E9" s="89">
        <v>0.313</v>
      </c>
      <c r="F9" s="71"/>
      <c r="G9" s="70">
        <f>'3 Stock Price'!D5</f>
        <v>31.821309566666663</v>
      </c>
      <c r="H9" s="8"/>
      <c r="I9" s="159">
        <f t="shared" ref="I9:I14" si="0">E9/G9</f>
        <v>9.8361759544890806E-3</v>
      </c>
    </row>
    <row r="10" spans="1:9" s="162" customFormat="1" ht="19.899999999999999" customHeight="1">
      <c r="A10" s="162" t="str">
        <f>'2 Proxy Sum'!A8</f>
        <v>Northwest Natural Holding Company</v>
      </c>
      <c r="C10" s="39" t="str">
        <f>'2 Proxy Sum'!C8</f>
        <v>NWN</v>
      </c>
      <c r="D10" s="161"/>
      <c r="E10" s="89">
        <v>0.47699999999999998</v>
      </c>
      <c r="F10" s="71"/>
      <c r="G10" s="70">
        <f>'3 Stock Price'!E5</f>
        <v>55.187999966666652</v>
      </c>
      <c r="H10" s="8"/>
      <c r="I10" s="159">
        <f t="shared" si="0"/>
        <v>8.6431833059379976E-3</v>
      </c>
    </row>
    <row r="11" spans="1:9" s="162" customFormat="1" ht="19.899999999999999" customHeight="1">
      <c r="A11" s="162" t="str">
        <f>'2 Proxy Sum'!A9</f>
        <v>ONE Gas, Inc.</v>
      </c>
      <c r="C11" s="39" t="str">
        <f>'2 Proxy Sum'!C9</f>
        <v>OGS</v>
      </c>
      <c r="D11" s="161"/>
      <c r="E11" s="89">
        <v>0.54</v>
      </c>
      <c r="F11" s="71"/>
      <c r="G11" s="70">
        <f>'3 Stock Price'!F5</f>
        <v>76.185666766666657</v>
      </c>
      <c r="H11" s="8"/>
      <c r="I11" s="159">
        <f t="shared" si="0"/>
        <v>7.0879474173777927E-3</v>
      </c>
    </row>
    <row r="12" spans="1:9" s="162" customFormat="1" ht="19.899999999999999" customHeight="1">
      <c r="A12" s="162" t="str">
        <f>'2 Proxy Sum'!A10</f>
        <v>South Jersey Industries, Inc.</v>
      </c>
      <c r="C12" s="39" t="str">
        <f>'2 Proxy Sum'!C10</f>
        <v>SJI</v>
      </c>
      <c r="D12" s="161"/>
      <c r="E12" s="89">
        <v>0.29499999999999998</v>
      </c>
      <c r="F12" s="71"/>
      <c r="G12" s="70">
        <f>'3 Stock Price'!G5</f>
        <v>24.399000033333333</v>
      </c>
      <c r="H12" s="8"/>
      <c r="I12" s="159">
        <f t="shared" si="0"/>
        <v>1.2090659436738309E-2</v>
      </c>
    </row>
    <row r="13" spans="1:9" s="162" customFormat="1" ht="19.899999999999999" customHeight="1">
      <c r="A13" s="162" t="str">
        <f>'2 Proxy Sum'!A11</f>
        <v>Southwest Gas Holdings, Inc.</v>
      </c>
      <c r="C13" s="39" t="str">
        <f>'2 Proxy Sum'!C11</f>
        <v>SWX</v>
      </c>
      <c r="D13" s="161"/>
      <c r="E13" s="89">
        <v>0.56999999999999995</v>
      </c>
      <c r="F13" s="71"/>
      <c r="G13" s="70">
        <f>'3 Stock Price'!H5</f>
        <v>68.722332866666648</v>
      </c>
      <c r="H13" s="8"/>
      <c r="I13" s="159">
        <f t="shared" si="0"/>
        <v>8.2942469532560799E-3</v>
      </c>
    </row>
    <row r="14" spans="1:9" ht="19.899999999999999" customHeight="1">
      <c r="A14" s="15" t="str">
        <f>'2 Proxy Sum'!A12</f>
        <v>Spire Inc.</v>
      </c>
      <c r="C14" s="39" t="str">
        <f>'2 Proxy Sum'!C12</f>
        <v>SR</v>
      </c>
      <c r="D14" s="1"/>
      <c r="E14" s="90">
        <v>0.623</v>
      </c>
      <c r="F14" s="71"/>
      <c r="G14" s="74">
        <f>'3 Stock Price'!I5</f>
        <v>66.159899733333333</v>
      </c>
      <c r="H14" s="8"/>
      <c r="I14" s="17">
        <f t="shared" si="0"/>
        <v>9.4165801718425826E-3</v>
      </c>
    </row>
    <row r="15" spans="1:9" ht="19.899999999999999" customHeight="1">
      <c r="C15" s="1"/>
      <c r="D15" s="1"/>
      <c r="E15" s="69"/>
      <c r="F15" s="71"/>
      <c r="G15" s="70"/>
      <c r="H15" s="8"/>
      <c r="I15" s="9"/>
    </row>
    <row r="16" spans="1:9">
      <c r="A16" s="13" t="s">
        <v>65</v>
      </c>
      <c r="B16" s="13"/>
      <c r="C16" s="1"/>
      <c r="D16" s="1"/>
      <c r="E16" s="75">
        <f>AVERAGE(E8:E14)</f>
        <v>0.48471428571428571</v>
      </c>
      <c r="F16" s="72"/>
      <c r="G16" s="75">
        <f>AVERAGE(G8:G14)</f>
        <v>60.389601228571415</v>
      </c>
      <c r="H16" s="72"/>
      <c r="I16" s="26">
        <f>AVERAGE(I8:I14)</f>
        <v>8.7291995562270176E-3</v>
      </c>
    </row>
    <row r="17" spans="1:9">
      <c r="A17" s="48"/>
      <c r="B17" s="48"/>
      <c r="C17" s="2"/>
      <c r="D17" s="2"/>
      <c r="E17" s="54"/>
      <c r="F17" s="54"/>
      <c r="G17" s="55"/>
      <c r="H17" s="55"/>
      <c r="I17" s="56"/>
    </row>
    <row r="18" spans="1:9">
      <c r="A18" s="13"/>
      <c r="B18" s="13"/>
      <c r="C18" s="1"/>
      <c r="D18" s="1"/>
      <c r="E18" s="7"/>
      <c r="F18" s="7"/>
      <c r="G18" s="8"/>
      <c r="H18" s="8"/>
      <c r="I18" s="9"/>
    </row>
    <row r="19" spans="1:9" s="53" customFormat="1" ht="14.45" customHeight="1">
      <c r="A19"/>
      <c r="B19"/>
      <c r="C19"/>
      <c r="D19"/>
      <c r="E19"/>
      <c r="F19"/>
      <c r="G19"/>
      <c r="H19"/>
      <c r="I19"/>
    </row>
    <row r="20" spans="1:9" s="53" customFormat="1" ht="14.45" customHeight="1">
      <c r="A20" s="193" t="s">
        <v>147</v>
      </c>
      <c r="B20" s="193"/>
      <c r="C20" s="193"/>
      <c r="D20" s="193"/>
      <c r="E20" s="193"/>
      <c r="F20" s="193"/>
      <c r="G20" s="193"/>
      <c r="H20" s="193"/>
      <c r="I20" s="193"/>
    </row>
    <row r="21" spans="1:9" s="53" customFormat="1" ht="14.45" customHeight="1">
      <c r="A21" s="193" t="s">
        <v>108</v>
      </c>
      <c r="B21" s="193"/>
      <c r="C21" s="193"/>
      <c r="D21" s="193"/>
      <c r="E21" s="193"/>
      <c r="F21" s="193"/>
      <c r="G21" s="193"/>
      <c r="H21" s="193"/>
      <c r="I21" s="193"/>
    </row>
    <row r="22" spans="1:9">
      <c r="A22" s="193" t="s">
        <v>148</v>
      </c>
      <c r="B22" s="193"/>
      <c r="C22" s="193"/>
      <c r="D22" s="193"/>
      <c r="E22" s="193"/>
      <c r="F22" s="193"/>
      <c r="G22" s="193"/>
      <c r="H22" s="193"/>
      <c r="I22" s="193"/>
    </row>
    <row r="23" spans="1:9">
      <c r="A23" s="196"/>
      <c r="B23" s="196"/>
      <c r="C23" s="196"/>
      <c r="D23" s="196"/>
      <c r="E23" s="196"/>
      <c r="F23" s="196"/>
      <c r="G23" s="196"/>
      <c r="H23" s="196"/>
      <c r="I23" s="196"/>
    </row>
  </sheetData>
  <sortState xmlns:xlrd2="http://schemas.microsoft.com/office/spreadsheetml/2017/richdata2" ref="A8:L18">
    <sortCondition ref="A8"/>
  </sortState>
  <mergeCells count="5">
    <mergeCell ref="A23:I23"/>
    <mergeCell ref="A1:I1"/>
    <mergeCell ref="A20:I20"/>
    <mergeCell ref="A21:I21"/>
    <mergeCell ref="A22:I22"/>
  </mergeCells>
  <printOptions horizontalCentered="1"/>
  <pageMargins left="0.7" right="0.7" top="0.75" bottom="0.75" header="0.3" footer="0.3"/>
  <pageSetup orientation="portrait" r:id="rId1"/>
  <headerFooter scaleWithDoc="0">
    <oddHeader>&amp;C&amp;"-,Bold"&amp;14DCF Dividend Yields&amp;RExhibit DJG-4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F16"/>
  <sheetViews>
    <sheetView workbookViewId="0"/>
  </sheetViews>
  <sheetFormatPr defaultRowHeight="15"/>
  <cols>
    <col min="1" max="1" width="30.85546875" bestFit="1" customWidth="1"/>
    <col min="2" max="2" width="2.7109375" customWidth="1"/>
    <col min="3" max="3" width="12.7109375" customWidth="1"/>
    <col min="4" max="4" width="4.7109375" customWidth="1"/>
  </cols>
  <sheetData>
    <row r="1" spans="1:6">
      <c r="A1" s="15"/>
      <c r="B1" s="15"/>
      <c r="C1" s="15"/>
    </row>
    <row r="3" spans="1:6">
      <c r="A3" s="178" t="s">
        <v>149</v>
      </c>
      <c r="B3" s="1"/>
      <c r="C3" s="178" t="s">
        <v>18</v>
      </c>
    </row>
    <row r="5" spans="1:6">
      <c r="A5" t="s">
        <v>92</v>
      </c>
      <c r="B5" s="1"/>
      <c r="C5" s="16">
        <v>3.9E-2</v>
      </c>
      <c r="D5" s="1" t="s">
        <v>3</v>
      </c>
    </row>
    <row r="6" spans="1:6">
      <c r="B6" s="1"/>
      <c r="C6" s="16"/>
      <c r="D6" s="1"/>
    </row>
    <row r="7" spans="1:6">
      <c r="A7" t="s">
        <v>95</v>
      </c>
      <c r="B7" s="1"/>
      <c r="C7" s="16">
        <v>0.02</v>
      </c>
      <c r="D7" s="1" t="s">
        <v>4</v>
      </c>
    </row>
    <row r="8" spans="1:6" s="165" customFormat="1">
      <c r="B8" s="166"/>
      <c r="C8" s="16"/>
      <c r="D8" s="166"/>
    </row>
    <row r="9" spans="1:6">
      <c r="A9" s="15" t="s">
        <v>70</v>
      </c>
      <c r="B9" s="1"/>
      <c r="C9" s="91">
        <f>'7 Risk Free Rate'!E35</f>
        <v>1.4126666666666664E-2</v>
      </c>
      <c r="D9" s="1" t="s">
        <v>5</v>
      </c>
    </row>
    <row r="10" spans="1:6">
      <c r="C10" s="157"/>
    </row>
    <row r="11" spans="1:6">
      <c r="A11" s="13" t="s">
        <v>119</v>
      </c>
      <c r="C11" s="158">
        <f>MAX(C5:C9)</f>
        <v>3.9E-2</v>
      </c>
    </row>
    <row r="12" spans="1:6">
      <c r="A12" s="15"/>
      <c r="B12" s="15"/>
      <c r="C12" s="15"/>
    </row>
    <row r="13" spans="1:6" s="174" customFormat="1">
      <c r="A13" s="171"/>
      <c r="B13" s="171"/>
      <c r="C13" s="171"/>
    </row>
    <row r="14" spans="1:6">
      <c r="E14" s="53"/>
      <c r="F14" s="53"/>
    </row>
    <row r="15" spans="1:6">
      <c r="A15" s="193" t="s">
        <v>172</v>
      </c>
      <c r="B15" s="193"/>
      <c r="C15" s="193"/>
      <c r="D15" s="193"/>
      <c r="E15" s="53"/>
      <c r="F15" s="53"/>
    </row>
    <row r="16" spans="1:6" s="165" customFormat="1">
      <c r="A16" s="193" t="s">
        <v>173</v>
      </c>
      <c r="B16" s="193"/>
      <c r="C16" s="193"/>
      <c r="D16" s="193"/>
      <c r="E16" s="164"/>
      <c r="F16" s="164"/>
    </row>
  </sheetData>
  <mergeCells count="2">
    <mergeCell ref="A15:D15"/>
    <mergeCell ref="A16:D16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&amp;C&amp;"-,Bold"&amp;14DCF Terminal Growth Rate Determinants&amp;RExhibit DJG-5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L14"/>
  <sheetViews>
    <sheetView workbookViewId="0"/>
  </sheetViews>
  <sheetFormatPr defaultRowHeight="15"/>
  <cols>
    <col min="1" max="1" width="11.7109375" customWidth="1"/>
    <col min="2" max="2" width="2.7109375" customWidth="1"/>
    <col min="3" max="3" width="11.7109375" customWidth="1"/>
    <col min="4" max="4" width="2.7109375" customWidth="1"/>
    <col min="5" max="5" width="13" customWidth="1"/>
    <col min="6" max="7" width="2.7109375" customWidth="1"/>
    <col min="8" max="8" width="11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</row>
    <row r="3" spans="1:12">
      <c r="A3" s="1" t="s">
        <v>3</v>
      </c>
      <c r="C3" s="1" t="s">
        <v>4</v>
      </c>
      <c r="D3" s="1"/>
      <c r="E3" s="1" t="s">
        <v>5</v>
      </c>
      <c r="F3" s="1"/>
      <c r="G3" s="1"/>
      <c r="H3" s="1" t="s">
        <v>6</v>
      </c>
    </row>
    <row r="5" spans="1:12">
      <c r="A5" s="1" t="s">
        <v>57</v>
      </c>
      <c r="B5" s="1"/>
      <c r="C5" s="1" t="s">
        <v>58</v>
      </c>
      <c r="D5" s="1"/>
      <c r="E5" s="1" t="s">
        <v>29</v>
      </c>
      <c r="F5" s="40"/>
      <c r="G5" s="1"/>
      <c r="H5" s="13" t="s">
        <v>86</v>
      </c>
    </row>
    <row r="6" spans="1:12" ht="18">
      <c r="A6" s="4" t="s">
        <v>59</v>
      </c>
      <c r="B6" s="5"/>
      <c r="C6" s="4" t="s">
        <v>60</v>
      </c>
      <c r="D6" s="5"/>
      <c r="E6" s="4" t="s">
        <v>61</v>
      </c>
      <c r="F6" s="25"/>
      <c r="G6" s="5"/>
      <c r="H6" s="76" t="s">
        <v>83</v>
      </c>
    </row>
    <row r="7" spans="1:12">
      <c r="A7" s="5"/>
      <c r="B7" s="5"/>
      <c r="C7" s="5"/>
      <c r="D7" s="5"/>
      <c r="E7" s="5"/>
      <c r="F7" s="25"/>
      <c r="G7" s="5"/>
      <c r="H7" s="5"/>
    </row>
    <row r="8" spans="1:12">
      <c r="A8" s="77">
        <f>'4 Div Yields'!E16</f>
        <v>0.48471428571428571</v>
      </c>
      <c r="B8" s="71"/>
      <c r="C8" s="77">
        <f>'4 Div Yields'!G16</f>
        <v>60.389601228571415</v>
      </c>
      <c r="D8" s="78"/>
      <c r="E8" s="28">
        <f>'5 Growth Determinants'!C5</f>
        <v>3.9E-2</v>
      </c>
      <c r="F8" s="73"/>
      <c r="G8" s="37"/>
      <c r="H8" s="84">
        <f t="shared" ref="H8" si="0">(A8*(1+E8)^0.25/C8+(1+E8)^0.25)^4-1</f>
        <v>7.2761710199244822E-2</v>
      </c>
    </row>
    <row r="9" spans="1:12">
      <c r="A9" s="15"/>
      <c r="B9" s="15"/>
      <c r="C9" s="15"/>
      <c r="D9" s="15"/>
      <c r="E9" s="15"/>
      <c r="F9" s="15"/>
      <c r="G9" s="15"/>
      <c r="H9" s="15"/>
    </row>
    <row r="11" spans="1:12">
      <c r="A11" s="193" t="s">
        <v>109</v>
      </c>
      <c r="B11" s="193"/>
      <c r="C11" s="193"/>
      <c r="D11" s="193"/>
      <c r="E11" s="193"/>
      <c r="F11" s="193"/>
      <c r="G11" s="193"/>
      <c r="H11" s="193"/>
    </row>
    <row r="12" spans="1:12">
      <c r="A12" s="193" t="s">
        <v>110</v>
      </c>
      <c r="B12" s="193"/>
      <c r="C12" s="193"/>
      <c r="D12" s="193"/>
      <c r="E12" s="193"/>
      <c r="F12" s="193"/>
      <c r="G12" s="193"/>
      <c r="H12" s="193"/>
    </row>
    <row r="13" spans="1:12">
      <c r="A13" s="193" t="s">
        <v>111</v>
      </c>
      <c r="B13" s="193"/>
      <c r="C13" s="193"/>
      <c r="D13" s="193"/>
      <c r="E13" s="193"/>
      <c r="F13" s="193"/>
      <c r="G13" s="193"/>
      <c r="H13" s="193"/>
    </row>
    <row r="14" spans="1:12">
      <c r="A14" s="193" t="s">
        <v>112</v>
      </c>
      <c r="B14" s="193"/>
      <c r="C14" s="193"/>
      <c r="D14" s="193"/>
      <c r="E14" s="193"/>
      <c r="F14" s="193"/>
      <c r="G14" s="193"/>
      <c r="H14" s="193"/>
      <c r="I14" s="53"/>
      <c r="J14" s="53"/>
      <c r="K14" s="53"/>
      <c r="L14" s="53"/>
    </row>
  </sheetData>
  <mergeCells count="4">
    <mergeCell ref="A11:H11"/>
    <mergeCell ref="A12:H12"/>
    <mergeCell ref="A13:H13"/>
    <mergeCell ref="A14:H14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&amp;C&amp;"-,Bold"&amp;14DCF Final Results&amp;RExhibit DJG-6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H40"/>
  <sheetViews>
    <sheetView zoomScaleNormal="100" workbookViewId="0"/>
  </sheetViews>
  <sheetFormatPr defaultRowHeight="15"/>
  <cols>
    <col min="1" max="2" width="8.85546875"/>
    <col min="3" max="3" width="12.42578125" customWidth="1"/>
    <col min="4" max="4" width="2.7109375" customWidth="1"/>
    <col min="5" max="5" width="11.42578125" customWidth="1"/>
    <col min="7" max="7" width="10.7109375" bestFit="1" customWidth="1"/>
  </cols>
  <sheetData>
    <row r="1" spans="1:8">
      <c r="A1" s="15"/>
      <c r="B1" s="15"/>
      <c r="C1" s="15"/>
      <c r="D1" s="15"/>
      <c r="E1" s="15"/>
      <c r="F1" s="15"/>
      <c r="G1" s="15"/>
    </row>
    <row r="3" spans="1:8">
      <c r="C3" s="167" t="s">
        <v>10</v>
      </c>
      <c r="D3" s="1"/>
      <c r="E3" s="167" t="s">
        <v>18</v>
      </c>
    </row>
    <row r="4" spans="1:8">
      <c r="C4" s="38">
        <v>43991</v>
      </c>
      <c r="D4" s="38"/>
      <c r="E4" s="22">
        <v>1.5900000000000001E-2</v>
      </c>
      <c r="G4" s="38"/>
      <c r="H4" s="38"/>
    </row>
    <row r="5" spans="1:8">
      <c r="C5" s="38">
        <v>43992</v>
      </c>
      <c r="D5" s="38"/>
      <c r="E5" s="154">
        <v>1.5300000000000001E-2</v>
      </c>
      <c r="G5" s="38"/>
      <c r="H5" s="38"/>
    </row>
    <row r="6" spans="1:8">
      <c r="C6" s="38">
        <v>43993</v>
      </c>
      <c r="D6" s="38"/>
      <c r="E6" s="154">
        <v>1.41E-2</v>
      </c>
      <c r="G6" s="38"/>
      <c r="H6" s="38"/>
    </row>
    <row r="7" spans="1:8">
      <c r="C7" s="38">
        <v>43994</v>
      </c>
      <c r="D7" s="38"/>
      <c r="E7" s="154">
        <v>1.4499999999999999E-2</v>
      </c>
      <c r="G7" s="38"/>
      <c r="H7" s="38"/>
    </row>
    <row r="8" spans="1:8">
      <c r="C8" s="38">
        <v>43997</v>
      </c>
      <c r="D8" s="38"/>
      <c r="E8" s="154">
        <v>1.4499999999999999E-2</v>
      </c>
      <c r="G8" s="38"/>
      <c r="H8" s="38"/>
    </row>
    <row r="9" spans="1:8">
      <c r="C9" s="38">
        <v>43998</v>
      </c>
      <c r="D9" s="38"/>
      <c r="E9" s="154">
        <v>1.54E-2</v>
      </c>
      <c r="G9" s="38"/>
      <c r="H9" s="38"/>
    </row>
    <row r="10" spans="1:8">
      <c r="C10" s="38">
        <v>43999</v>
      </c>
      <c r="D10" s="38"/>
      <c r="E10" s="154">
        <v>1.52E-2</v>
      </c>
      <c r="G10" s="38"/>
      <c r="H10" s="38"/>
    </row>
    <row r="11" spans="1:8">
      <c r="C11" s="38">
        <v>44000</v>
      </c>
      <c r="D11" s="38"/>
      <c r="E11" s="154">
        <v>1.47E-2</v>
      </c>
      <c r="G11" s="38"/>
      <c r="H11" s="38"/>
    </row>
    <row r="12" spans="1:8">
      <c r="C12" s="38">
        <v>44001</v>
      </c>
      <c r="D12" s="38"/>
      <c r="E12" s="154">
        <v>1.47E-2</v>
      </c>
      <c r="G12" s="38"/>
      <c r="H12" s="38"/>
    </row>
    <row r="13" spans="1:8">
      <c r="C13" s="38">
        <v>44004</v>
      </c>
      <c r="D13" s="38"/>
      <c r="E13" s="154">
        <v>1.46E-2</v>
      </c>
      <c r="G13" s="38"/>
      <c r="H13" s="38"/>
    </row>
    <row r="14" spans="1:8">
      <c r="C14" s="38">
        <v>44005</v>
      </c>
      <c r="D14" s="38"/>
      <c r="E14" s="154">
        <v>1.49E-2</v>
      </c>
      <c r="G14" s="38"/>
      <c r="H14" s="38"/>
    </row>
    <row r="15" spans="1:8">
      <c r="C15" s="38">
        <v>44006</v>
      </c>
      <c r="D15" s="38"/>
      <c r="E15" s="154">
        <v>1.44E-2</v>
      </c>
      <c r="G15" s="38"/>
      <c r="H15" s="38"/>
    </row>
    <row r="16" spans="1:8">
      <c r="C16" s="38">
        <v>44007</v>
      </c>
      <c r="D16" s="38"/>
      <c r="E16" s="154">
        <v>1.43E-2</v>
      </c>
      <c r="G16" s="38"/>
      <c r="H16" s="38"/>
    </row>
    <row r="17" spans="3:8">
      <c r="C17" s="38">
        <v>44008</v>
      </c>
      <c r="D17" s="38"/>
      <c r="E17" s="154">
        <v>1.37E-2</v>
      </c>
      <c r="G17" s="38"/>
      <c r="H17" s="38"/>
    </row>
    <row r="18" spans="3:8">
      <c r="C18" s="38">
        <v>44011</v>
      </c>
      <c r="D18" s="38"/>
      <c r="E18" s="154">
        <v>1.3899999999999999E-2</v>
      </c>
      <c r="G18" s="38"/>
      <c r="H18" s="38"/>
    </row>
    <row r="19" spans="3:8">
      <c r="C19" s="38">
        <v>44012</v>
      </c>
      <c r="D19" s="38"/>
      <c r="E19" s="154">
        <v>1.41E-2</v>
      </c>
      <c r="G19" s="38"/>
      <c r="H19" s="38"/>
    </row>
    <row r="20" spans="3:8">
      <c r="C20" s="38">
        <v>44013</v>
      </c>
      <c r="D20" s="38"/>
      <c r="E20" s="154">
        <v>1.43E-2</v>
      </c>
      <c r="G20" s="38"/>
      <c r="H20" s="38"/>
    </row>
    <row r="21" spans="3:8">
      <c r="C21" s="38">
        <v>44014</v>
      </c>
      <c r="D21" s="38"/>
      <c r="E21" s="154">
        <v>1.43E-2</v>
      </c>
      <c r="G21" s="38"/>
      <c r="H21" s="38"/>
    </row>
    <row r="22" spans="3:8">
      <c r="C22" s="38">
        <v>44018</v>
      </c>
      <c r="D22" s="38"/>
      <c r="E22" s="154">
        <v>1.4499999999999999E-2</v>
      </c>
      <c r="G22" s="38"/>
      <c r="H22" s="38"/>
    </row>
    <row r="23" spans="3:8">
      <c r="C23" s="38">
        <v>44019</v>
      </c>
      <c r="D23" s="38"/>
      <c r="E23" s="154">
        <v>1.38E-2</v>
      </c>
      <c r="G23" s="38"/>
      <c r="H23" s="38"/>
    </row>
    <row r="24" spans="3:8">
      <c r="C24" s="38">
        <v>44020</v>
      </c>
      <c r="D24" s="38"/>
      <c r="E24" s="154">
        <v>1.3899999999999999E-2</v>
      </c>
      <c r="G24" s="38"/>
      <c r="H24" s="38"/>
    </row>
    <row r="25" spans="3:8">
      <c r="C25" s="38">
        <v>44021</v>
      </c>
      <c r="D25" s="38"/>
      <c r="E25" s="154">
        <v>1.32E-2</v>
      </c>
      <c r="G25" s="38"/>
      <c r="H25" s="38"/>
    </row>
    <row r="26" spans="3:8">
      <c r="C26" s="38">
        <v>44022</v>
      </c>
      <c r="D26" s="38"/>
      <c r="E26" s="154">
        <v>1.3300000000000001E-2</v>
      </c>
      <c r="G26" s="38"/>
      <c r="H26" s="38"/>
    </row>
    <row r="27" spans="3:8">
      <c r="C27" s="38">
        <v>44025</v>
      </c>
      <c r="D27" s="38"/>
      <c r="E27" s="154">
        <v>1.3300000000000001E-2</v>
      </c>
      <c r="G27" s="38"/>
      <c r="H27" s="38"/>
    </row>
    <row r="28" spans="3:8">
      <c r="C28" s="38">
        <v>44026</v>
      </c>
      <c r="D28" s="38"/>
      <c r="E28" s="154">
        <v>1.3000000000000001E-2</v>
      </c>
      <c r="G28" s="38"/>
      <c r="H28" s="38"/>
    </row>
    <row r="29" spans="3:8">
      <c r="C29" s="38">
        <v>44027</v>
      </c>
      <c r="D29" s="38"/>
      <c r="E29" s="154">
        <v>1.3300000000000001E-2</v>
      </c>
      <c r="G29" s="38"/>
      <c r="H29" s="38"/>
    </row>
    <row r="30" spans="3:8">
      <c r="C30" s="38">
        <v>44028</v>
      </c>
      <c r="D30" s="38"/>
      <c r="E30" s="154">
        <v>1.3100000000000001E-2</v>
      </c>
      <c r="G30" s="38"/>
      <c r="H30" s="38"/>
    </row>
    <row r="31" spans="3:8">
      <c r="C31" s="38">
        <v>44029</v>
      </c>
      <c r="D31" s="38"/>
      <c r="E31" s="154">
        <v>1.3300000000000001E-2</v>
      </c>
      <c r="G31" s="38"/>
      <c r="H31" s="38"/>
    </row>
    <row r="32" spans="3:8">
      <c r="C32" s="38">
        <v>44032</v>
      </c>
      <c r="D32" s="38"/>
      <c r="E32" s="154">
        <v>1.32E-2</v>
      </c>
      <c r="G32" s="38"/>
      <c r="H32" s="38"/>
    </row>
    <row r="33" spans="1:8">
      <c r="C33" s="45">
        <v>44033</v>
      </c>
      <c r="D33" s="38"/>
      <c r="E33" s="17">
        <v>1.3100000000000001E-2</v>
      </c>
      <c r="G33" s="38"/>
      <c r="H33" s="38"/>
    </row>
    <row r="34" spans="1:8">
      <c r="E34" s="1"/>
    </row>
    <row r="35" spans="1:8">
      <c r="C35" s="13" t="s">
        <v>65</v>
      </c>
      <c r="D35" s="13"/>
      <c r="E35" s="26">
        <f>AVERAGE(E4:E33)</f>
        <v>1.4126666666666664E-2</v>
      </c>
    </row>
    <row r="36" spans="1:8">
      <c r="A36" s="15"/>
      <c r="B36" s="15"/>
      <c r="C36" s="48"/>
      <c r="D36" s="48"/>
      <c r="E36" s="57"/>
      <c r="F36" s="15"/>
      <c r="G36" s="15"/>
    </row>
    <row r="39" spans="1:8" s="53" customFormat="1" ht="28.15" customHeight="1">
      <c r="A39" s="198" t="s">
        <v>98</v>
      </c>
      <c r="B39" s="198"/>
      <c r="C39" s="198"/>
      <c r="D39" s="198"/>
      <c r="E39" s="198"/>
      <c r="F39" s="198"/>
      <c r="G39" s="198"/>
    </row>
    <row r="40" spans="1:8">
      <c r="A40" s="198"/>
      <c r="B40" s="198"/>
      <c r="C40" s="198"/>
      <c r="D40" s="198"/>
      <c r="E40" s="198"/>
      <c r="F40" s="198"/>
      <c r="G40" s="198"/>
    </row>
  </sheetData>
  <sortState xmlns:xlrd2="http://schemas.microsoft.com/office/spreadsheetml/2017/richdata2" ref="H4:H33">
    <sortCondition ref="H4"/>
  </sortState>
  <mergeCells count="1">
    <mergeCell ref="A39:G40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&amp;C&amp;"-,Bold"&amp;14CAPM Risk-Free Rate&amp;RExhibit DJG-7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E18"/>
  <sheetViews>
    <sheetView zoomScaleNormal="100" workbookViewId="0"/>
  </sheetViews>
  <sheetFormatPr defaultRowHeight="15"/>
  <cols>
    <col min="1" max="1" width="36.140625" bestFit="1" customWidth="1"/>
    <col min="2" max="2" width="2.7109375" customWidth="1"/>
    <col min="3" max="3" width="6.7109375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2" spans="1:5" ht="19.899999999999999" customHeight="1"/>
    <row r="3" spans="1:5" ht="19.899999999999999" customHeight="1">
      <c r="A3" s="2" t="s">
        <v>0</v>
      </c>
      <c r="B3" s="1"/>
      <c r="C3" s="2" t="s">
        <v>1</v>
      </c>
      <c r="D3" s="1"/>
      <c r="E3" s="152" t="s">
        <v>52</v>
      </c>
    </row>
    <row r="4" spans="1:5" ht="19.899999999999999" customHeight="1">
      <c r="A4" s="1"/>
      <c r="B4" s="1"/>
      <c r="C4" s="1"/>
      <c r="D4" s="1"/>
      <c r="E4" s="5"/>
    </row>
    <row r="5" spans="1:5" ht="19.899999999999999" customHeight="1">
      <c r="A5" t="str">
        <f>'2 Proxy Sum'!A6</f>
        <v>Atmos Energy Corporation</v>
      </c>
      <c r="C5" s="39" t="str">
        <f>'2 Proxy Sum'!C6</f>
        <v>ATO</v>
      </c>
      <c r="D5" s="1"/>
      <c r="E5" s="67">
        <v>0.8</v>
      </c>
    </row>
    <row r="6" spans="1:5" s="162" customFormat="1" ht="19.899999999999999" customHeight="1">
      <c r="A6" s="162" t="str">
        <f>'2 Proxy Sum'!A7</f>
        <v>New Jersey Resources Corporation</v>
      </c>
      <c r="C6" s="39" t="str">
        <f>'2 Proxy Sum'!C7</f>
        <v>NJR</v>
      </c>
      <c r="D6" s="161"/>
      <c r="E6" s="68">
        <v>0.9</v>
      </c>
    </row>
    <row r="7" spans="1:5" s="162" customFormat="1" ht="19.899999999999999" customHeight="1">
      <c r="A7" s="162" t="str">
        <f>'2 Proxy Sum'!A8</f>
        <v>Northwest Natural Holding Company</v>
      </c>
      <c r="C7" s="39" t="str">
        <f>'2 Proxy Sum'!C8</f>
        <v>NWN</v>
      </c>
      <c r="D7" s="161"/>
      <c r="E7" s="68">
        <v>0.8</v>
      </c>
    </row>
    <row r="8" spans="1:5" s="162" customFormat="1" ht="19.899999999999999" customHeight="1">
      <c r="A8" s="162" t="str">
        <f>'2 Proxy Sum'!A9</f>
        <v>ONE Gas, Inc.</v>
      </c>
      <c r="C8" s="39" t="str">
        <f>'2 Proxy Sum'!C9</f>
        <v>OGS</v>
      </c>
      <c r="D8" s="161"/>
      <c r="E8" s="68">
        <v>0.8</v>
      </c>
    </row>
    <row r="9" spans="1:5" s="162" customFormat="1" ht="19.899999999999999" customHeight="1">
      <c r="A9" s="162" t="str">
        <f>'2 Proxy Sum'!A10</f>
        <v>South Jersey Industries, Inc.</v>
      </c>
      <c r="C9" s="39" t="str">
        <f>'2 Proxy Sum'!C10</f>
        <v>SJI</v>
      </c>
      <c r="D9" s="161"/>
      <c r="E9" s="68">
        <v>0.95</v>
      </c>
    </row>
    <row r="10" spans="1:5" s="162" customFormat="1" ht="19.899999999999999" customHeight="1">
      <c r="A10" s="162" t="str">
        <f>'2 Proxy Sum'!A11</f>
        <v>Southwest Gas Holdings, Inc.</v>
      </c>
      <c r="C10" s="39" t="str">
        <f>'2 Proxy Sum'!C11</f>
        <v>SWX</v>
      </c>
      <c r="D10" s="161"/>
      <c r="E10" s="68">
        <v>0.9</v>
      </c>
    </row>
    <row r="11" spans="1:5" ht="19.899999999999999" customHeight="1">
      <c r="A11" s="15" t="str">
        <f>'2 Proxy Sum'!A12</f>
        <v>Spire Inc.</v>
      </c>
      <c r="C11" s="39" t="str">
        <f>'2 Proxy Sum'!C12</f>
        <v>SR</v>
      </c>
      <c r="D11" s="1"/>
      <c r="E11" s="79">
        <v>0.8</v>
      </c>
    </row>
    <row r="12" spans="1:5" ht="19.899999999999999" customHeight="1">
      <c r="C12" s="1"/>
      <c r="D12" s="1"/>
      <c r="E12" s="7"/>
    </row>
    <row r="13" spans="1:5">
      <c r="A13" s="1" t="s">
        <v>65</v>
      </c>
      <c r="B13" s="11"/>
      <c r="C13" s="1"/>
      <c r="D13" s="1"/>
      <c r="E13" s="68">
        <f>AVERAGE(E5:E11)</f>
        <v>0.85</v>
      </c>
    </row>
    <row r="14" spans="1:5">
      <c r="A14" s="2"/>
      <c r="B14" s="15"/>
      <c r="C14" s="2"/>
      <c r="D14" s="2"/>
      <c r="E14" s="46"/>
    </row>
    <row r="15" spans="1:5">
      <c r="C15" s="1"/>
      <c r="D15" s="1"/>
      <c r="E15" s="7"/>
    </row>
    <row r="16" spans="1:5" s="53" customFormat="1" ht="14.45" customHeight="1">
      <c r="A16"/>
      <c r="B16"/>
      <c r="C16"/>
      <c r="D16"/>
      <c r="E16"/>
    </row>
    <row r="17" spans="1:5">
      <c r="A17" s="193" t="s">
        <v>152</v>
      </c>
      <c r="B17" s="193"/>
      <c r="C17" s="193"/>
      <c r="D17" s="193"/>
      <c r="E17" s="193"/>
    </row>
    <row r="18" spans="1:5">
      <c r="A18" s="193" t="s">
        <v>157</v>
      </c>
      <c r="B18" s="193"/>
      <c r="C18" s="193"/>
      <c r="D18" s="193"/>
      <c r="E18" s="193"/>
    </row>
  </sheetData>
  <mergeCells count="2">
    <mergeCell ref="A17:E17"/>
    <mergeCell ref="A18:E18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Beta Coefficient&amp;RExhibit DJG-8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  <pageSetUpPr fitToPage="1"/>
  </sheetPr>
  <dimension ref="A1:Q144"/>
  <sheetViews>
    <sheetView zoomScaleNormal="100" workbookViewId="0"/>
  </sheetViews>
  <sheetFormatPr defaultRowHeight="15"/>
  <cols>
    <col min="1" max="1" width="25.2851562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0" width="2.7109375" customWidth="1"/>
    <col min="11" max="11" width="10.7109375" customWidth="1"/>
    <col min="12" max="12" width="2.7109375" customWidth="1"/>
    <col min="13" max="13" width="10.7109375" customWidth="1"/>
    <col min="14" max="14" width="2.7109375" customWidth="1"/>
    <col min="15" max="15" width="10.7109375" customWidth="1"/>
    <col min="16" max="16" width="2.7109375" customWidth="1"/>
    <col min="17" max="18" width="10.7109375" customWidth="1"/>
  </cols>
  <sheetData>
    <row r="1" spans="1:17" ht="18.7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3" spans="1:17">
      <c r="C3" s="1" t="s">
        <v>3</v>
      </c>
      <c r="D3" s="1"/>
      <c r="E3" s="1" t="s">
        <v>4</v>
      </c>
      <c r="F3" s="1"/>
      <c r="G3" s="1" t="s">
        <v>5</v>
      </c>
      <c r="H3" s="1"/>
      <c r="I3" s="1" t="s">
        <v>6</v>
      </c>
      <c r="J3" s="1"/>
      <c r="K3" s="1" t="s">
        <v>7</v>
      </c>
      <c r="L3" s="1"/>
      <c r="M3" s="1" t="s">
        <v>14</v>
      </c>
      <c r="N3" s="1"/>
      <c r="O3" s="1" t="s">
        <v>15</v>
      </c>
      <c r="P3" s="1"/>
      <c r="Q3" s="1" t="s">
        <v>16</v>
      </c>
    </row>
    <row r="5" spans="1:17" ht="30">
      <c r="A5" s="2" t="s">
        <v>25</v>
      </c>
      <c r="B5" s="1"/>
      <c r="C5" s="4" t="s">
        <v>150</v>
      </c>
      <c r="D5" s="5"/>
      <c r="E5" s="4" t="s">
        <v>23</v>
      </c>
      <c r="F5" s="5"/>
      <c r="G5" s="4" t="s">
        <v>20</v>
      </c>
      <c r="H5" s="5"/>
      <c r="I5" s="4" t="s">
        <v>24</v>
      </c>
      <c r="J5" s="5"/>
      <c r="K5" s="4" t="s">
        <v>26</v>
      </c>
      <c r="L5" s="5"/>
      <c r="M5" s="4" t="s">
        <v>22</v>
      </c>
      <c r="N5" s="5"/>
      <c r="O5" s="4" t="s">
        <v>21</v>
      </c>
      <c r="P5" s="5"/>
      <c r="Q5" s="4" t="s">
        <v>27</v>
      </c>
    </row>
    <row r="6" spans="1:17">
      <c r="A6" s="1">
        <v>2014</v>
      </c>
      <c r="B6" s="1"/>
      <c r="C6" s="32">
        <v>18245.162915721601</v>
      </c>
      <c r="D6" s="32"/>
      <c r="E6" s="34">
        <v>1004.2233066862408</v>
      </c>
      <c r="F6" s="34"/>
      <c r="G6" s="34">
        <v>350.43209036038417</v>
      </c>
      <c r="H6" s="34"/>
      <c r="I6" s="34">
        <v>553.27531399999998</v>
      </c>
      <c r="J6" s="34"/>
      <c r="K6" s="22">
        <f t="shared" ref="K6:K7" si="0">E6/C6</f>
        <v>5.5040522867620748E-2</v>
      </c>
      <c r="L6" s="22"/>
      <c r="M6" s="22">
        <f t="shared" ref="M6:M7" si="1">G6/C6</f>
        <v>1.9206849068934415E-2</v>
      </c>
      <c r="N6" s="22"/>
      <c r="O6" s="22">
        <f t="shared" ref="O6:O7" si="2">I6/C6</f>
        <v>3.0324492938522921E-2</v>
      </c>
      <c r="P6" s="22"/>
      <c r="Q6" s="28">
        <f t="shared" ref="Q6:Q7" si="3">M6+O6</f>
        <v>4.9531342007457332E-2</v>
      </c>
    </row>
    <row r="7" spans="1:17">
      <c r="A7" s="1">
        <v>2015</v>
      </c>
      <c r="B7" s="1"/>
      <c r="C7" s="32">
        <v>17899.5562447142</v>
      </c>
      <c r="D7" s="32"/>
      <c r="E7" s="34">
        <v>885.38</v>
      </c>
      <c r="F7" s="34"/>
      <c r="G7" s="34">
        <v>382.32</v>
      </c>
      <c r="H7" s="34"/>
      <c r="I7" s="34">
        <v>572.16</v>
      </c>
      <c r="J7" s="34"/>
      <c r="K7" s="22">
        <f t="shared" si="0"/>
        <v>4.9463796079383573E-2</v>
      </c>
      <c r="L7" s="22"/>
      <c r="M7" s="22">
        <f t="shared" si="1"/>
        <v>2.1359188729212233E-2</v>
      </c>
      <c r="N7" s="22"/>
      <c r="O7" s="22">
        <f t="shared" si="2"/>
        <v>3.1965038248865013E-2</v>
      </c>
      <c r="P7" s="22"/>
      <c r="Q7" s="28">
        <f t="shared" si="3"/>
        <v>5.3324226978077247E-2</v>
      </c>
    </row>
    <row r="8" spans="1:17">
      <c r="A8" s="161">
        <v>2016</v>
      </c>
      <c r="B8" s="1"/>
      <c r="C8" s="32">
        <v>19268</v>
      </c>
      <c r="D8" s="32"/>
      <c r="E8" s="34">
        <v>919.85</v>
      </c>
      <c r="F8" s="34"/>
      <c r="G8" s="34">
        <v>397.22</v>
      </c>
      <c r="H8" s="34"/>
      <c r="I8" s="34">
        <v>536.38</v>
      </c>
      <c r="J8" s="34"/>
      <c r="K8" s="22">
        <f t="shared" ref="K8" si="4">E8/C8</f>
        <v>4.7739775794062696E-2</v>
      </c>
      <c r="L8" s="22"/>
      <c r="M8" s="22">
        <f t="shared" ref="M8" si="5">G8/C8</f>
        <v>2.06155283371393E-2</v>
      </c>
      <c r="N8" s="22"/>
      <c r="O8" s="22">
        <f t="shared" ref="O8" si="6">I8/C8</f>
        <v>2.7837865891633798E-2</v>
      </c>
      <c r="P8" s="22"/>
      <c r="Q8" s="28">
        <f t="shared" ref="Q8" si="7">M8+O8</f>
        <v>4.8453394228773095E-2</v>
      </c>
    </row>
    <row r="9" spans="1:17">
      <c r="A9" s="161">
        <v>2017</v>
      </c>
      <c r="B9" s="1"/>
      <c r="C9" s="32">
        <v>22821.240334090373</v>
      </c>
      <c r="D9" s="32"/>
      <c r="E9" s="34">
        <v>1065.995204191086</v>
      </c>
      <c r="F9" s="34"/>
      <c r="G9" s="34">
        <v>419.77</v>
      </c>
      <c r="H9" s="34"/>
      <c r="I9" s="34">
        <v>519.4</v>
      </c>
      <c r="J9" s="34"/>
      <c r="K9" s="22">
        <f t="shared" ref="K9:K10" si="8">E9/C9</f>
        <v>4.671066027023528E-2</v>
      </c>
      <c r="L9" s="22"/>
      <c r="M9" s="22">
        <f t="shared" ref="M9:M10" si="9">G9/C9</f>
        <v>1.8393829338581018E-2</v>
      </c>
      <c r="N9" s="22"/>
      <c r="O9" s="22">
        <f t="shared" ref="O9:O10" si="10">I9/C9</f>
        <v>2.2759499150627679E-2</v>
      </c>
      <c r="P9" s="22"/>
      <c r="Q9" s="28">
        <f t="shared" ref="Q9:Q10" si="11">M9+O9</f>
        <v>4.1153328489208697E-2</v>
      </c>
    </row>
    <row r="10" spans="1:17" s="162" customFormat="1">
      <c r="A10" s="161">
        <v>2018</v>
      </c>
      <c r="B10" s="161"/>
      <c r="C10" s="32">
        <v>21026.901634051301</v>
      </c>
      <c r="D10" s="32"/>
      <c r="E10" s="34">
        <v>1281.6600000000001</v>
      </c>
      <c r="F10" s="34"/>
      <c r="G10" s="34">
        <v>456.31</v>
      </c>
      <c r="H10" s="34"/>
      <c r="I10" s="34">
        <v>806.41</v>
      </c>
      <c r="J10" s="34"/>
      <c r="K10" s="159">
        <f t="shared" si="8"/>
        <v>6.0953345495489426E-2</v>
      </c>
      <c r="L10" s="159"/>
      <c r="M10" s="159">
        <f t="shared" si="9"/>
        <v>2.1701247665564017E-2</v>
      </c>
      <c r="N10" s="159"/>
      <c r="O10" s="159">
        <f t="shared" si="10"/>
        <v>3.8351346957085045E-2</v>
      </c>
      <c r="P10" s="159"/>
      <c r="Q10" s="160">
        <f t="shared" si="11"/>
        <v>6.0052594622649058E-2</v>
      </c>
    </row>
    <row r="11" spans="1:17" s="155" customFormat="1">
      <c r="A11" s="156">
        <v>2019</v>
      </c>
      <c r="B11" s="156"/>
      <c r="C11" s="183">
        <v>26759.6867868843</v>
      </c>
      <c r="D11" s="183"/>
      <c r="E11" s="184">
        <v>1304.5899999999999</v>
      </c>
      <c r="F11" s="184"/>
      <c r="G11" s="184">
        <v>485.48</v>
      </c>
      <c r="H11" s="184"/>
      <c r="I11" s="184">
        <v>728.74</v>
      </c>
      <c r="J11" s="184"/>
      <c r="K11" s="185">
        <f t="shared" ref="K11" si="12">E11/C11</f>
        <v>4.8752065388127687E-2</v>
      </c>
      <c r="L11" s="185"/>
      <c r="M11" s="185">
        <f t="shared" ref="M11" si="13">G11/C11</f>
        <v>1.8142215335567674E-2</v>
      </c>
      <c r="N11" s="185"/>
      <c r="O11" s="185">
        <f t="shared" ref="O11" si="14">I11/C11</f>
        <v>2.7232755218838237E-2</v>
      </c>
      <c r="P11" s="185"/>
      <c r="Q11" s="186">
        <f t="shared" ref="Q11" si="15">M11+O11</f>
        <v>4.5374970554405911E-2</v>
      </c>
    </row>
    <row r="12" spans="1:1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>
      <c r="A13" s="13"/>
      <c r="B13" s="13"/>
      <c r="Q13" s="30"/>
    </row>
    <row r="14" spans="1:17">
      <c r="A14" s="24" t="s">
        <v>28</v>
      </c>
      <c r="B14" s="24"/>
      <c r="C14" s="28">
        <f>AVERAGE(Q6:Q9)</f>
        <v>4.8115572925879091E-2</v>
      </c>
      <c r="D14" s="12"/>
      <c r="E14" s="1" t="s">
        <v>19</v>
      </c>
      <c r="Q14" s="30"/>
    </row>
    <row r="15" spans="1:17">
      <c r="A15" s="24" t="s">
        <v>29</v>
      </c>
      <c r="B15" s="24"/>
      <c r="C15" s="22">
        <f>(E11/E6)^(1/5)-1</f>
        <v>5.3728556392918403E-2</v>
      </c>
      <c r="D15" s="27"/>
      <c r="E15" s="1" t="s">
        <v>30</v>
      </c>
      <c r="Q15" s="30"/>
    </row>
    <row r="16" spans="1:17">
      <c r="A16" s="24" t="s">
        <v>31</v>
      </c>
      <c r="B16" s="24"/>
      <c r="C16" s="22">
        <f>'7 Risk Free Rate'!E35</f>
        <v>1.4126666666666664E-2</v>
      </c>
      <c r="E16" s="1" t="s">
        <v>32</v>
      </c>
      <c r="Q16" s="30"/>
    </row>
    <row r="17" spans="1:17">
      <c r="A17" s="24" t="s">
        <v>33</v>
      </c>
      <c r="B17" s="24"/>
      <c r="C17" s="33">
        <f>'3 Stock Price'!B5</f>
        <v>3137.037695333333</v>
      </c>
      <c r="E17" s="1" t="s">
        <v>38</v>
      </c>
      <c r="Q17" s="30"/>
    </row>
    <row r="18" spans="1:17">
      <c r="A18" s="35"/>
      <c r="B18" s="3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6"/>
    </row>
    <row r="19" spans="1:17">
      <c r="A19" s="24"/>
      <c r="B19" s="24"/>
      <c r="Q19" s="30"/>
    </row>
    <row r="20" spans="1:17">
      <c r="A20" s="24"/>
      <c r="B20" s="24"/>
      <c r="C20" s="1" t="s">
        <v>39</v>
      </c>
      <c r="D20" s="1"/>
      <c r="E20" s="1" t="s">
        <v>40</v>
      </c>
      <c r="F20" s="1"/>
      <c r="G20" s="1" t="s">
        <v>41</v>
      </c>
      <c r="H20" s="1"/>
      <c r="I20" s="1" t="s">
        <v>42</v>
      </c>
      <c r="J20" s="1"/>
      <c r="K20" s="1" t="s">
        <v>43</v>
      </c>
      <c r="Q20" s="30"/>
    </row>
    <row r="21" spans="1:17">
      <c r="A21" s="24"/>
      <c r="B21" s="24"/>
      <c r="C21" s="1"/>
      <c r="D21" s="1"/>
      <c r="E21" s="1"/>
      <c r="F21" s="1"/>
      <c r="G21" s="1"/>
      <c r="H21" s="1"/>
      <c r="I21" s="1"/>
      <c r="J21" s="1"/>
      <c r="K21" s="1"/>
      <c r="Q21" s="30"/>
    </row>
    <row r="22" spans="1:17">
      <c r="A22" s="2" t="s">
        <v>25</v>
      </c>
      <c r="B22" s="24"/>
      <c r="C22" s="2">
        <v>1</v>
      </c>
      <c r="D22" s="1"/>
      <c r="E22" s="2">
        <v>2</v>
      </c>
      <c r="F22" s="1"/>
      <c r="G22" s="2">
        <v>3</v>
      </c>
      <c r="H22" s="1"/>
      <c r="I22" s="2">
        <v>4</v>
      </c>
      <c r="J22" s="1"/>
      <c r="K22" s="2">
        <v>5</v>
      </c>
      <c r="Q22" s="30"/>
    </row>
    <row r="23" spans="1:17">
      <c r="A23" s="24"/>
      <c r="B23" s="13"/>
      <c r="Q23" s="30"/>
    </row>
    <row r="24" spans="1:17">
      <c r="A24" s="24" t="s">
        <v>34</v>
      </c>
      <c r="B24" s="13"/>
      <c r="C24" s="21">
        <f>$C$14*$C$17*(1+$C$15)^C22</f>
        <v>159.05017396769742</v>
      </c>
      <c r="D24" s="21"/>
      <c r="E24" s="21">
        <f t="shared" ref="E24:K24" si="16">$C$14*$C$17*(1+$C$15)^E22</f>
        <v>167.59571020902433</v>
      </c>
      <c r="F24" s="21"/>
      <c r="G24" s="21">
        <f t="shared" si="16"/>
        <v>176.60038577620114</v>
      </c>
      <c r="H24" s="21"/>
      <c r="I24" s="21">
        <f t="shared" si="16"/>
        <v>186.08886956238888</v>
      </c>
      <c r="J24" s="21"/>
      <c r="K24" s="85">
        <f t="shared" si="16"/>
        <v>196.08715588476613</v>
      </c>
      <c r="Q24" s="30"/>
    </row>
    <row r="25" spans="1:17">
      <c r="A25" s="24" t="s">
        <v>35</v>
      </c>
      <c r="B25" s="13"/>
      <c r="C25" s="86"/>
      <c r="D25" s="86"/>
      <c r="E25" s="86"/>
      <c r="F25" s="86"/>
      <c r="G25" s="86"/>
      <c r="H25" s="86"/>
      <c r="I25" s="86"/>
      <c r="J25" s="86"/>
      <c r="K25" s="87">
        <f>K24*(1+C16)/C32</f>
        <v>3428.4623094777558</v>
      </c>
      <c r="Q25" s="30"/>
    </row>
    <row r="26" spans="1:17">
      <c r="A26" s="24" t="s">
        <v>36</v>
      </c>
      <c r="B26" s="13"/>
      <c r="C26" s="20">
        <f>C24/(1+$C$16+$C$32)^C22</f>
        <v>148.3499123673221</v>
      </c>
      <c r="D26" s="21"/>
      <c r="E26" s="20">
        <f t="shared" ref="E26:I26" si="17">E24/(1+$C$16+$C$32)^E22</f>
        <v>145.8039163575377</v>
      </c>
      <c r="F26" s="21"/>
      <c r="G26" s="20">
        <f t="shared" si="17"/>
        <v>143.30161498550808</v>
      </c>
      <c r="H26" s="21"/>
      <c r="I26" s="20">
        <f t="shared" si="17"/>
        <v>140.84225835949678</v>
      </c>
      <c r="J26" s="21"/>
      <c r="K26" s="87">
        <f>(K24+K25)/(1+$C$16+C32)^K22</f>
        <v>2558.7022985417912</v>
      </c>
      <c r="Q26" s="30"/>
    </row>
    <row r="27" spans="1:17">
      <c r="A27" s="24"/>
      <c r="B27" s="13"/>
      <c r="Q27" s="30"/>
    </row>
    <row r="28" spans="1:17">
      <c r="A28" s="24" t="s">
        <v>37</v>
      </c>
      <c r="B28" s="13"/>
      <c r="C28" s="20">
        <f>SUM(C26,E26,G26,I26,K26)</f>
        <v>3137.0000006116561</v>
      </c>
      <c r="E28" s="1" t="s">
        <v>50</v>
      </c>
      <c r="Q28" s="30"/>
    </row>
    <row r="29" spans="1:17">
      <c r="A29" s="24"/>
      <c r="B29" s="13"/>
      <c r="C29" s="21"/>
      <c r="E29" s="1"/>
      <c r="Q29" s="30"/>
    </row>
    <row r="30" spans="1:17">
      <c r="A30" s="24" t="s">
        <v>63</v>
      </c>
      <c r="B30" s="13"/>
      <c r="C30" s="28">
        <f>C32+C16</f>
        <v>7.2128533341367276E-2</v>
      </c>
      <c r="E30" s="1" t="s">
        <v>51</v>
      </c>
      <c r="Q30" s="30"/>
    </row>
    <row r="31" spans="1:17" ht="15.75" thickBot="1">
      <c r="A31" s="24"/>
      <c r="B31" s="13"/>
      <c r="Q31" s="30"/>
    </row>
    <row r="32" spans="1:17" ht="15.75" thickBot="1">
      <c r="A32" s="31" t="s">
        <v>44</v>
      </c>
      <c r="B32" s="13"/>
      <c r="C32" s="173">
        <v>5.8001866674700607E-2</v>
      </c>
      <c r="E32" s="1" t="s">
        <v>64</v>
      </c>
      <c r="Q32" s="30"/>
    </row>
    <row r="33" spans="1:17">
      <c r="A33" s="35"/>
      <c r="B33" s="4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36"/>
    </row>
    <row r="34" spans="1:17">
      <c r="Q34" s="30"/>
    </row>
    <row r="35" spans="1:17">
      <c r="A35" s="24"/>
    </row>
    <row r="36" spans="1:17" s="61" customFormat="1" ht="14.45" customHeight="1">
      <c r="A36" s="199" t="s">
        <v>118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</row>
    <row r="37" spans="1:17" s="61" customFormat="1" ht="14.45" customHeight="1">
      <c r="A37" s="199" t="s">
        <v>68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</row>
    <row r="38" spans="1:17" s="61" customFormat="1" ht="14.45" customHeight="1">
      <c r="A38" s="199" t="s">
        <v>45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</row>
    <row r="39" spans="1:17" s="61" customFormat="1" ht="14.45" customHeight="1">
      <c r="A39" s="199" t="s">
        <v>46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</row>
    <row r="40" spans="1:17" s="61" customFormat="1" ht="14.45" customHeight="1">
      <c r="A40" s="199" t="s">
        <v>47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</row>
    <row r="41" spans="1:17" s="61" customFormat="1" ht="14.45" customHeight="1">
      <c r="A41" s="199" t="s">
        <v>48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</row>
    <row r="42" spans="1:17" s="61" customFormat="1" ht="14.45" customHeight="1">
      <c r="A42" s="199" t="s">
        <v>49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</row>
    <row r="43" spans="1:17" s="61" customFormat="1" ht="14.45" customHeight="1">
      <c r="A43" s="199" t="s">
        <v>91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</row>
    <row r="44" spans="1:17" s="61" customFormat="1" ht="14.45" customHeight="1">
      <c r="A44" s="199" t="s">
        <v>113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</row>
    <row r="45" spans="1:17" s="61" customFormat="1" ht="14.45" customHeight="1">
      <c r="A45" s="199" t="s">
        <v>114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</row>
    <row r="46" spans="1:17" s="61" customFormat="1" ht="14.45" customHeight="1">
      <c r="A46" s="199" t="s">
        <v>71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</row>
    <row r="47" spans="1:17" s="61" customFormat="1" ht="14.45" customHeight="1">
      <c r="A47" s="199" t="s">
        <v>72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</row>
    <row r="48" spans="1:17" s="61" customFormat="1" ht="14.45" customHeight="1">
      <c r="A48" s="199" t="s">
        <v>73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</row>
    <row r="49" spans="1:17" s="61" customFormat="1" ht="14.45" customHeight="1">
      <c r="A49" s="199" t="s">
        <v>67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</row>
    <row r="50" spans="1:17" s="61" customFormat="1" ht="14.45" customHeight="1">
      <c r="A50" s="199" t="s">
        <v>74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</row>
    <row r="51" spans="1:17">
      <c r="A51" s="24"/>
    </row>
    <row r="52" spans="1:17">
      <c r="A52" s="24"/>
    </row>
    <row r="53" spans="1:17">
      <c r="A53" s="24"/>
    </row>
    <row r="54" spans="1:17">
      <c r="A54" s="24"/>
    </row>
    <row r="55" spans="1:17">
      <c r="A55" s="24"/>
    </row>
    <row r="56" spans="1:17">
      <c r="A56" s="24"/>
    </row>
    <row r="57" spans="1:17">
      <c r="A57" s="24"/>
    </row>
    <row r="58" spans="1:17">
      <c r="A58" s="24"/>
    </row>
    <row r="59" spans="1:17">
      <c r="A59" s="24"/>
    </row>
    <row r="60" spans="1:17">
      <c r="A60" s="24"/>
    </row>
    <row r="61" spans="1:17">
      <c r="A61" s="24"/>
    </row>
    <row r="62" spans="1:17">
      <c r="A62" s="24"/>
    </row>
    <row r="63" spans="1:17">
      <c r="A63" s="24"/>
    </row>
    <row r="64" spans="1:17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  <row r="75" spans="1:1">
      <c r="A75" s="24"/>
    </row>
    <row r="76" spans="1:1">
      <c r="A76" s="24"/>
    </row>
    <row r="77" spans="1:1">
      <c r="A77" s="24"/>
    </row>
    <row r="78" spans="1:1">
      <c r="A78" s="24"/>
    </row>
    <row r="79" spans="1:1">
      <c r="A79" s="24"/>
    </row>
    <row r="80" spans="1:1">
      <c r="A80" s="24"/>
    </row>
    <row r="81" spans="1:1">
      <c r="A81" s="24"/>
    </row>
    <row r="82" spans="1:1">
      <c r="A82" s="24"/>
    </row>
    <row r="83" spans="1:1">
      <c r="A83" s="24"/>
    </row>
    <row r="84" spans="1:1">
      <c r="A84" s="24"/>
    </row>
    <row r="85" spans="1:1">
      <c r="A85" s="24"/>
    </row>
    <row r="86" spans="1:1">
      <c r="A86" s="24"/>
    </row>
    <row r="87" spans="1:1">
      <c r="A87" s="24"/>
    </row>
    <row r="88" spans="1:1">
      <c r="A88" s="24"/>
    </row>
    <row r="89" spans="1:1">
      <c r="A89" s="24"/>
    </row>
    <row r="90" spans="1:1">
      <c r="A90" s="24"/>
    </row>
    <row r="91" spans="1:1">
      <c r="A91" s="24"/>
    </row>
    <row r="92" spans="1:1">
      <c r="A92" s="24"/>
    </row>
    <row r="93" spans="1:1">
      <c r="A93" s="24"/>
    </row>
    <row r="94" spans="1:1">
      <c r="A94" s="24"/>
    </row>
    <row r="95" spans="1:1">
      <c r="A95" s="24"/>
    </row>
    <row r="96" spans="1:1">
      <c r="A96" s="24"/>
    </row>
    <row r="97" spans="1:1">
      <c r="A97" s="24"/>
    </row>
    <row r="98" spans="1:1">
      <c r="A98" s="24"/>
    </row>
    <row r="99" spans="1:1">
      <c r="A99" s="24"/>
    </row>
    <row r="100" spans="1:1">
      <c r="A100" s="24"/>
    </row>
    <row r="101" spans="1:1">
      <c r="A101" s="24"/>
    </row>
    <row r="102" spans="1:1">
      <c r="A102" s="24"/>
    </row>
    <row r="103" spans="1:1">
      <c r="A103" s="24"/>
    </row>
    <row r="104" spans="1:1">
      <c r="A104" s="24"/>
    </row>
    <row r="105" spans="1:1">
      <c r="A105" s="24"/>
    </row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1">
      <c r="A113" s="24"/>
    </row>
    <row r="114" spans="1:1">
      <c r="A114" s="24"/>
    </row>
    <row r="115" spans="1:1">
      <c r="A115" s="24"/>
    </row>
    <row r="116" spans="1:1">
      <c r="A116" s="24"/>
    </row>
    <row r="117" spans="1:1">
      <c r="A117" s="24"/>
    </row>
    <row r="118" spans="1:1">
      <c r="A118" s="24"/>
    </row>
    <row r="119" spans="1:1">
      <c r="A119" s="24"/>
    </row>
    <row r="120" spans="1:1">
      <c r="A120" s="24"/>
    </row>
    <row r="121" spans="1:1">
      <c r="A121" s="24"/>
    </row>
    <row r="122" spans="1:1">
      <c r="A122" s="24"/>
    </row>
    <row r="123" spans="1:1">
      <c r="A123" s="24"/>
    </row>
    <row r="124" spans="1:1">
      <c r="A124" s="24"/>
    </row>
    <row r="125" spans="1:1">
      <c r="A125" s="24"/>
    </row>
    <row r="126" spans="1:1">
      <c r="A126" s="24"/>
    </row>
    <row r="127" spans="1:1">
      <c r="A127" s="24"/>
    </row>
    <row r="128" spans="1:1">
      <c r="A128" s="24"/>
    </row>
    <row r="129" spans="1:1">
      <c r="A129" s="24"/>
    </row>
    <row r="130" spans="1:1">
      <c r="A130" s="24"/>
    </row>
    <row r="131" spans="1:1">
      <c r="A131" s="24"/>
    </row>
    <row r="132" spans="1:1">
      <c r="A132" s="24"/>
    </row>
    <row r="133" spans="1:1">
      <c r="A133" s="24"/>
    </row>
    <row r="134" spans="1:1">
      <c r="A134" s="24"/>
    </row>
    <row r="135" spans="1:1">
      <c r="A135" s="24"/>
    </row>
    <row r="136" spans="1:1">
      <c r="A136" s="24"/>
    </row>
    <row r="137" spans="1:1">
      <c r="A137" s="24"/>
    </row>
    <row r="138" spans="1:1">
      <c r="A138" s="24"/>
    </row>
    <row r="139" spans="1:1">
      <c r="A139" s="24"/>
    </row>
    <row r="140" spans="1:1">
      <c r="A140" s="24"/>
    </row>
    <row r="141" spans="1:1">
      <c r="A141" s="24"/>
    </row>
    <row r="142" spans="1:1">
      <c r="A142" s="24"/>
    </row>
    <row r="143" spans="1:1">
      <c r="A143" s="24"/>
    </row>
    <row r="144" spans="1:1">
      <c r="A144" s="24"/>
    </row>
  </sheetData>
  <mergeCells count="15">
    <mergeCell ref="A48:Q48"/>
    <mergeCell ref="A50:Q50"/>
    <mergeCell ref="A42:Q42"/>
    <mergeCell ref="A43:Q43"/>
    <mergeCell ref="A44:Q44"/>
    <mergeCell ref="A45:Q45"/>
    <mergeCell ref="A46:Q46"/>
    <mergeCell ref="A47:Q47"/>
    <mergeCell ref="A49:Q49"/>
    <mergeCell ref="A41:Q41"/>
    <mergeCell ref="A36:Q36"/>
    <mergeCell ref="A38:Q38"/>
    <mergeCell ref="A39:Q39"/>
    <mergeCell ref="A40:Q40"/>
    <mergeCell ref="A37:Q37"/>
  </mergeCells>
  <printOptions horizontalCentered="1"/>
  <pageMargins left="0.7" right="0.7" top="0.75" bottom="0.75" header="0.3" footer="0.3"/>
  <pageSetup scale="68" orientation="landscape" r:id="rId1"/>
  <headerFooter scaleWithDoc="0">
    <oddHeader>&amp;C&amp;"-,Bold"&amp;14CAPM Implied Equity Risk Premium Estimate&amp;RExhibit DJG-9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R44"/>
  <sheetViews>
    <sheetView zoomScale="90" zoomScaleNormal="90" workbookViewId="0"/>
  </sheetViews>
  <sheetFormatPr defaultRowHeight="15"/>
  <cols>
    <col min="1" max="1" width="29.7109375" style="94" customWidth="1"/>
    <col min="2" max="2" width="2.7109375" style="94" customWidth="1"/>
    <col min="3" max="3" width="10.7109375" style="94" customWidth="1"/>
    <col min="4" max="4" width="2.7109375" style="94" customWidth="1"/>
    <col min="5" max="5" width="3.28515625" style="94" customWidth="1"/>
    <col min="6" max="7" width="9.140625" style="94"/>
    <col min="8" max="8" width="17.85546875" style="94" customWidth="1"/>
    <col min="9" max="16384" width="9.140625" style="94"/>
  </cols>
  <sheetData>
    <row r="1" spans="1:10">
      <c r="A1" s="93"/>
      <c r="B1" s="93"/>
      <c r="C1" s="93"/>
      <c r="D1" s="93"/>
      <c r="E1" s="93"/>
    </row>
    <row r="3" spans="1:10">
      <c r="A3" s="187"/>
      <c r="B3" s="188"/>
      <c r="C3" s="189"/>
      <c r="D3" s="189"/>
      <c r="E3" s="190"/>
      <c r="H3" s="94" t="s">
        <v>82</v>
      </c>
      <c r="I3" s="135">
        <v>0.1348</v>
      </c>
    </row>
    <row r="4" spans="1:10">
      <c r="A4" s="95" t="s">
        <v>102</v>
      </c>
      <c r="C4" s="168">
        <v>5.6000000000000001E-2</v>
      </c>
      <c r="D4" s="100"/>
      <c r="E4" s="97" t="s">
        <v>3</v>
      </c>
      <c r="I4" s="98"/>
      <c r="J4" s="98"/>
    </row>
    <row r="5" spans="1:10">
      <c r="A5" s="101"/>
      <c r="C5" s="99"/>
      <c r="D5" s="100"/>
      <c r="E5" s="97"/>
      <c r="I5" s="98"/>
      <c r="J5" s="98"/>
    </row>
    <row r="6" spans="1:10">
      <c r="A6" s="95" t="s">
        <v>103</v>
      </c>
      <c r="C6" s="168">
        <v>4.4200000000000003E-2</v>
      </c>
      <c r="D6" s="100"/>
      <c r="E6" s="97" t="s">
        <v>4</v>
      </c>
      <c r="I6" s="102"/>
    </row>
    <row r="7" spans="1:10">
      <c r="C7" s="99"/>
      <c r="E7" s="97"/>
      <c r="I7" s="98"/>
    </row>
    <row r="8" spans="1:10">
      <c r="A8" s="94" t="s">
        <v>104</v>
      </c>
      <c r="C8" s="168">
        <v>0.06</v>
      </c>
      <c r="E8" s="97" t="s">
        <v>5</v>
      </c>
      <c r="I8" s="98"/>
    </row>
    <row r="9" spans="1:10">
      <c r="A9" s="103"/>
      <c r="C9" s="99"/>
      <c r="E9" s="97"/>
      <c r="I9" s="98"/>
    </row>
    <row r="10" spans="1:10">
      <c r="A10" s="95" t="s">
        <v>75</v>
      </c>
      <c r="C10" s="168">
        <v>5.6800000000000003E-2</v>
      </c>
      <c r="D10" s="100"/>
      <c r="E10" s="97" t="s">
        <v>6</v>
      </c>
      <c r="I10" s="98"/>
    </row>
    <row r="11" spans="1:10">
      <c r="A11" s="95"/>
      <c r="C11" s="168"/>
      <c r="D11" s="100"/>
      <c r="E11" s="97"/>
      <c r="I11" s="98"/>
    </row>
    <row r="12" spans="1:10">
      <c r="A12" s="95" t="s">
        <v>96</v>
      </c>
      <c r="C12" s="104">
        <f>'9 Implied ERP'!C32</f>
        <v>5.8001866674700607E-2</v>
      </c>
      <c r="D12" s="100"/>
      <c r="E12" s="169" t="s">
        <v>7</v>
      </c>
      <c r="I12" s="98"/>
    </row>
    <row r="13" spans="1:10">
      <c r="C13" s="105"/>
      <c r="D13" s="96"/>
      <c r="E13" s="97"/>
      <c r="I13" s="98"/>
    </row>
    <row r="14" spans="1:10">
      <c r="A14" s="13" t="s">
        <v>65</v>
      </c>
      <c r="C14" s="106">
        <f>AVERAGE(C4:C12)</f>
        <v>5.5000373334940122E-2</v>
      </c>
      <c r="D14" s="96"/>
      <c r="E14" s="97"/>
      <c r="I14" s="98"/>
    </row>
    <row r="15" spans="1:10">
      <c r="C15" s="105"/>
      <c r="D15" s="96"/>
      <c r="E15" s="97"/>
    </row>
    <row r="16" spans="1:10">
      <c r="A16" s="191" t="s">
        <v>119</v>
      </c>
      <c r="C16" s="192">
        <f>MAX(C4:C12)</f>
        <v>0.06</v>
      </c>
      <c r="D16" s="107"/>
      <c r="E16" s="97"/>
    </row>
    <row r="17" spans="1:14">
      <c r="A17" s="108"/>
      <c r="B17" s="93"/>
      <c r="C17" s="109"/>
      <c r="D17" s="109"/>
      <c r="E17" s="110"/>
      <c r="I17" s="102"/>
    </row>
    <row r="19" spans="1:14">
      <c r="G19" s="94">
        <v>1.4E-2</v>
      </c>
    </row>
    <row r="20" spans="1:14">
      <c r="A20" s="200" t="s">
        <v>174</v>
      </c>
      <c r="B20" s="201"/>
      <c r="C20" s="201"/>
      <c r="D20" s="201"/>
      <c r="E20" s="201"/>
      <c r="G20" s="94">
        <v>1</v>
      </c>
    </row>
    <row r="21" spans="1:14">
      <c r="A21" s="202" t="s">
        <v>151</v>
      </c>
      <c r="B21" s="203"/>
      <c r="C21" s="203"/>
      <c r="D21" s="203"/>
      <c r="E21" s="203"/>
      <c r="G21" s="94">
        <v>0.06</v>
      </c>
    </row>
    <row r="22" spans="1:14">
      <c r="A22" s="202" t="s">
        <v>175</v>
      </c>
      <c r="B22" s="203"/>
      <c r="C22" s="203"/>
      <c r="D22" s="203"/>
      <c r="E22" s="203"/>
      <c r="G22" s="98">
        <f>G19+G20*G21</f>
        <v>7.3999999999999996E-2</v>
      </c>
    </row>
    <row r="23" spans="1:14" ht="14.25" customHeight="1">
      <c r="A23" s="202" t="s">
        <v>185</v>
      </c>
      <c r="B23" s="203"/>
      <c r="C23" s="203"/>
      <c r="D23" s="203"/>
      <c r="E23" s="203"/>
    </row>
    <row r="24" spans="1:14" s="111" customFormat="1" ht="14.25" customHeight="1">
      <c r="A24" s="202" t="s">
        <v>186</v>
      </c>
      <c r="B24" s="203"/>
      <c r="C24" s="203"/>
      <c r="D24" s="203"/>
      <c r="E24" s="203"/>
      <c r="H24" s="94"/>
      <c r="I24" s="94"/>
      <c r="J24" s="94"/>
      <c r="K24" s="94"/>
      <c r="L24" s="94"/>
      <c r="M24" s="94"/>
      <c r="N24" s="94"/>
    </row>
    <row r="25" spans="1:14" s="111" customFormat="1" ht="14.25" customHeight="1">
      <c r="A25" s="94"/>
      <c r="B25" s="94"/>
      <c r="C25" s="94"/>
      <c r="D25" s="94"/>
      <c r="E25" s="94"/>
      <c r="H25" s="94"/>
      <c r="I25" s="94"/>
      <c r="J25" s="94"/>
      <c r="K25" s="94"/>
      <c r="L25" s="94"/>
      <c r="M25" s="94"/>
      <c r="N25" s="94"/>
    </row>
    <row r="26" spans="1:14" s="111" customFormat="1" ht="14.25" customHeight="1">
      <c r="A26" s="94"/>
      <c r="B26" s="94"/>
      <c r="C26" s="94"/>
      <c r="D26" s="94"/>
      <c r="E26" s="94"/>
      <c r="H26" s="94"/>
      <c r="I26" s="94"/>
      <c r="J26" s="94"/>
      <c r="K26" s="94"/>
      <c r="L26" s="94"/>
      <c r="M26" s="94"/>
      <c r="N26" s="94"/>
    </row>
    <row r="27" spans="1:14" s="112" customFormat="1" ht="14.25" customHeight="1">
      <c r="A27" s="94"/>
      <c r="B27" s="94"/>
      <c r="C27" s="94"/>
      <c r="D27" s="94"/>
      <c r="E27" s="94"/>
      <c r="H27" s="94"/>
      <c r="I27" s="94"/>
      <c r="J27" s="94"/>
      <c r="K27" s="94"/>
      <c r="L27" s="94"/>
      <c r="M27" s="94"/>
      <c r="N27" s="94"/>
    </row>
    <row r="28" spans="1:14" s="112" customFormat="1" ht="14.25" customHeight="1">
      <c r="A28" s="94"/>
      <c r="B28" s="94"/>
      <c r="C28" s="94"/>
      <c r="D28" s="94"/>
      <c r="E28" s="94"/>
      <c r="H28" s="94"/>
      <c r="I28" s="94"/>
      <c r="J28" s="94"/>
      <c r="K28" s="94"/>
      <c r="L28" s="94"/>
      <c r="M28" s="94"/>
      <c r="N28" s="94"/>
    </row>
    <row r="29" spans="1:14" s="112" customFormat="1" ht="14.25" customHeight="1">
      <c r="A29" s="94"/>
      <c r="B29" s="94"/>
      <c r="C29" s="94"/>
      <c r="D29" s="94"/>
      <c r="E29" s="94"/>
      <c r="H29" s="94"/>
      <c r="I29" s="94"/>
      <c r="J29" s="94"/>
      <c r="K29" s="94"/>
      <c r="L29" s="94"/>
      <c r="M29" s="94"/>
      <c r="N29" s="94"/>
    </row>
    <row r="30" spans="1:14" s="112" customFormat="1" ht="14.25" customHeight="1">
      <c r="A30" s="94"/>
      <c r="B30" s="94"/>
      <c r="C30" s="94"/>
      <c r="D30" s="94"/>
      <c r="E30" s="94"/>
      <c r="H30" s="94"/>
      <c r="I30" s="94"/>
      <c r="J30" s="94"/>
      <c r="K30" s="94"/>
      <c r="L30" s="94"/>
      <c r="M30" s="94"/>
      <c r="N30" s="94"/>
    </row>
    <row r="31" spans="1:14" s="112" customFormat="1" ht="14.25" customHeight="1">
      <c r="A31" s="94"/>
      <c r="B31" s="94"/>
      <c r="C31" s="94"/>
      <c r="D31" s="94"/>
      <c r="E31" s="94"/>
      <c r="H31" s="94"/>
      <c r="I31" s="94"/>
      <c r="J31" s="94"/>
      <c r="K31" s="94"/>
      <c r="L31" s="94"/>
      <c r="M31" s="94"/>
      <c r="N31" s="94"/>
    </row>
    <row r="32" spans="1:14" s="112" customFormat="1" ht="14.25" customHeight="1">
      <c r="A32" s="94"/>
      <c r="B32" s="94"/>
      <c r="C32" s="94"/>
      <c r="D32" s="94"/>
      <c r="E32" s="94"/>
      <c r="H32" s="111"/>
      <c r="I32" s="111"/>
      <c r="J32" s="94"/>
      <c r="K32" s="94"/>
      <c r="L32" s="94"/>
      <c r="M32" s="94"/>
      <c r="N32" s="94"/>
    </row>
    <row r="33" spans="1:18" s="112" customFormat="1" ht="14.45" customHeight="1">
      <c r="A33" s="94"/>
      <c r="B33" s="94"/>
      <c r="C33" s="94"/>
      <c r="D33" s="94"/>
      <c r="E33" s="94"/>
      <c r="H33" s="111"/>
      <c r="I33" s="111"/>
      <c r="J33" s="111"/>
      <c r="K33" s="111"/>
      <c r="L33" s="111"/>
      <c r="M33" s="111"/>
      <c r="N33" s="111"/>
      <c r="R33" s="172"/>
    </row>
    <row r="34" spans="1:18" s="112" customFormat="1" ht="14.45" customHeight="1">
      <c r="A34" s="94"/>
      <c r="B34" s="94"/>
      <c r="C34" s="94"/>
      <c r="D34" s="94"/>
      <c r="E34" s="94"/>
      <c r="I34" s="111"/>
      <c r="J34" s="111"/>
      <c r="K34" s="111"/>
      <c r="L34" s="111"/>
      <c r="M34" s="111"/>
      <c r="N34" s="111"/>
    </row>
    <row r="35" spans="1:18" s="112" customFormat="1" ht="14.45" customHeight="1">
      <c r="A35" s="94"/>
      <c r="B35" s="94"/>
      <c r="C35" s="94"/>
      <c r="D35" s="94"/>
      <c r="E35" s="94"/>
      <c r="J35" s="111"/>
      <c r="K35" s="111"/>
      <c r="L35" s="111"/>
      <c r="M35" s="111"/>
      <c r="N35" s="111"/>
    </row>
    <row r="36" spans="1:18">
      <c r="H36" s="112"/>
      <c r="I36" s="112"/>
      <c r="J36" s="112"/>
      <c r="K36" s="112"/>
      <c r="L36" s="112"/>
      <c r="M36" s="112"/>
      <c r="N36" s="112"/>
    </row>
    <row r="37" spans="1:18">
      <c r="H37" s="112"/>
      <c r="I37" s="112"/>
      <c r="J37" s="112"/>
      <c r="K37" s="112"/>
      <c r="L37" s="112"/>
      <c r="M37" s="112"/>
      <c r="N37" s="112"/>
    </row>
    <row r="38" spans="1:18">
      <c r="H38" s="112"/>
      <c r="I38" s="112"/>
      <c r="J38" s="112"/>
      <c r="K38" s="112"/>
      <c r="L38" s="112"/>
      <c r="M38" s="112"/>
      <c r="N38" s="112"/>
    </row>
    <row r="39" spans="1:18">
      <c r="H39" s="112"/>
      <c r="I39" s="112"/>
      <c r="J39" s="112"/>
      <c r="K39" s="112"/>
      <c r="L39" s="112"/>
      <c r="M39" s="112"/>
      <c r="N39" s="112"/>
    </row>
    <row r="40" spans="1:18">
      <c r="H40" s="112"/>
      <c r="I40" s="112"/>
      <c r="J40" s="112"/>
      <c r="K40" s="112"/>
      <c r="L40" s="112"/>
      <c r="M40" s="112"/>
      <c r="N40" s="112"/>
    </row>
    <row r="41" spans="1:18">
      <c r="H41" s="112"/>
      <c r="I41" s="112"/>
      <c r="J41" s="112"/>
      <c r="K41" s="112"/>
      <c r="L41" s="112"/>
      <c r="M41" s="112"/>
      <c r="N41" s="112"/>
    </row>
    <row r="42" spans="1:18">
      <c r="H42" s="112"/>
      <c r="I42" s="112"/>
      <c r="J42" s="112"/>
      <c r="K42" s="112"/>
      <c r="L42" s="112"/>
      <c r="M42" s="112"/>
      <c r="N42" s="112"/>
    </row>
    <row r="43" spans="1:18">
      <c r="I43" s="112"/>
      <c r="J43" s="112"/>
      <c r="K43" s="112"/>
      <c r="L43" s="112"/>
      <c r="M43" s="112"/>
      <c r="N43" s="112"/>
    </row>
    <row r="44" spans="1:18">
      <c r="J44" s="112"/>
      <c r="K44" s="112"/>
      <c r="L44" s="112"/>
      <c r="M44" s="112"/>
      <c r="N44" s="112"/>
    </row>
  </sheetData>
  <mergeCells count="5">
    <mergeCell ref="A20:E20"/>
    <mergeCell ref="A21:E21"/>
    <mergeCell ref="A22:E22"/>
    <mergeCell ref="A23:E23"/>
    <mergeCell ref="A24:E24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Equity Risk Premium Results&amp;RExhibit DJG-10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2 Proxy Sum</vt:lpstr>
      <vt:lpstr>3 Stock Price</vt:lpstr>
      <vt:lpstr>4 Div Yields</vt:lpstr>
      <vt:lpstr>5 Growth Determinants</vt:lpstr>
      <vt:lpstr>6 DCF Result</vt:lpstr>
      <vt:lpstr>7 Risk Free Rate</vt:lpstr>
      <vt:lpstr>8 Beta</vt:lpstr>
      <vt:lpstr>9 Implied ERP</vt:lpstr>
      <vt:lpstr>10 ERP Result</vt:lpstr>
      <vt:lpstr>11 CAPM Result</vt:lpstr>
      <vt:lpstr>12 COE Summary</vt:lpstr>
      <vt:lpstr>13 Market COE</vt:lpstr>
      <vt:lpstr>14 Historic Trends</vt:lpstr>
      <vt:lpstr>Fig Industry Betas</vt:lpstr>
      <vt:lpstr>Fig CAPM Graph</vt:lpstr>
      <vt:lpstr>Fig Bus Cycle</vt:lpstr>
      <vt:lpstr>Fig Diversify</vt:lpstr>
      <vt:lpstr>'10 ERP Result'!Print_Area</vt:lpstr>
      <vt:lpstr>'14 Historic Trends'!Print_Area</vt:lpstr>
      <vt:lpstr>'Fig Bus Cycle'!Print_Area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2020-09-01T20:39:37Z</dcterms:modified>
</cp:coreProperties>
</file>