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jared_deason_ad_corixgroup_com/Documents/Desktop/"/>
    </mc:Choice>
  </mc:AlternateContent>
  <xr:revisionPtr revIDLastSave="0" documentId="8_{56DDA7E2-7893-4907-9220-D795B2E647BF}" xr6:coauthVersionLast="45" xr6:coauthVersionMax="45" xr10:uidLastSave="{00000000-0000-0000-0000-000000000000}"/>
  <bookViews>
    <workbookView xWindow="-110" yWindow="-110" windowWidth="19420" windowHeight="10420" xr2:uid="{97C59B36-83D3-4442-BDC3-B7B8EF4867CD}"/>
  </bookViews>
  <sheets>
    <sheet name="Lake Placid" sheetId="1" r:id="rId1"/>
    <sheet name="Cypress Lakes" sheetId="2" r:id="rId2"/>
    <sheet name="LUSI" sheetId="3" r:id="rId3"/>
    <sheet name="Golden Hills" sheetId="4" r:id="rId4"/>
    <sheet name="Crescent Heights" sheetId="5" r:id="rId5"/>
    <sheet name="Davis Shores" sheetId="6" r:id="rId6"/>
    <sheet name="Orangewood" sheetId="7" r:id="rId7"/>
    <sheet name="Summertree" sheetId="8" r:id="rId8"/>
    <sheet name="Lake Tarpon" sheetId="9" r:id="rId9"/>
    <sheet name="Bear Lake" sheetId="10" r:id="rId10"/>
    <sheet name="Jansen" sheetId="11" r:id="rId11"/>
    <sheet name="Little Wekiva" sheetId="12" r:id="rId12"/>
    <sheet name="Oakland Shores" sheetId="13" r:id="rId13"/>
    <sheet name="Park Ridge" sheetId="14" r:id="rId14"/>
    <sheet name="Ravenna Park" sheetId="15" r:id="rId15"/>
    <sheet name="Weathersfield" sheetId="16" r:id="rId16"/>
    <sheet name="Sanlando" sheetId="17" r:id="rId17"/>
    <sheet name="Labrador" sheetId="18" r:id="rId18"/>
    <sheet name="Pennbrooke" sheetId="19" r:id="rId19"/>
    <sheet name="Tierra Verde" sheetId="27" r:id="rId20"/>
    <sheet name="Eagle Ridge" sheetId="20" r:id="rId21"/>
    <sheet name="Cross Creek" sheetId="21" r:id="rId22"/>
    <sheet name="Mid County" sheetId="22" r:id="rId23"/>
    <sheet name="Lake Groves" sheetId="23" r:id="rId24"/>
    <sheet name="Barrington" sheetId="24" r:id="rId25"/>
    <sheet name="Lincoln Heights" sheetId="25" r:id="rId26"/>
    <sheet name="Sandalhaven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2" l="1"/>
  <c r="G8" i="16"/>
  <c r="G8" i="15"/>
  <c r="G8" i="14"/>
  <c r="G8" i="13"/>
  <c r="G8" i="12"/>
  <c r="G8" i="11"/>
  <c r="G8" i="10"/>
  <c r="G8" i="17"/>
  <c r="G8" i="8"/>
  <c r="F8" i="8"/>
  <c r="G8" i="7"/>
  <c r="G8" i="1"/>
  <c r="G8" i="18"/>
  <c r="F18" i="8"/>
  <c r="F18" i="19"/>
  <c r="G18" i="19"/>
  <c r="J8" i="16"/>
  <c r="F8" i="16"/>
  <c r="J8" i="15"/>
  <c r="F8" i="15"/>
  <c r="J8" i="14"/>
  <c r="F8" i="14"/>
  <c r="J8" i="13"/>
  <c r="F8" i="13"/>
  <c r="J8" i="12"/>
  <c r="F8" i="12"/>
  <c r="J8" i="11"/>
  <c r="F8" i="11"/>
  <c r="F8" i="10"/>
  <c r="J8" i="10"/>
  <c r="J8" i="8"/>
  <c r="J8" i="7"/>
  <c r="F8" i="7"/>
  <c r="F8" i="9"/>
  <c r="F8" i="6"/>
  <c r="F8" i="5"/>
  <c r="F8" i="17"/>
  <c r="F8" i="18"/>
  <c r="F8" i="4"/>
  <c r="F8" i="1"/>
  <c r="C13" i="2"/>
  <c r="G18" i="2"/>
  <c r="F18" i="2"/>
  <c r="F8" i="2"/>
  <c r="B52" i="27"/>
  <c r="B45" i="27"/>
  <c r="B38" i="27"/>
  <c r="B31" i="27"/>
  <c r="B24" i="27"/>
  <c r="B17" i="27"/>
  <c r="B10" i="27"/>
  <c r="B4" i="27"/>
  <c r="B4" i="26"/>
  <c r="B52" i="26" s="1"/>
  <c r="B4" i="25"/>
  <c r="B52" i="25" s="1"/>
  <c r="B4" i="24"/>
  <c r="B52" i="24" s="1"/>
  <c r="B52" i="23"/>
  <c r="B45" i="23"/>
  <c r="B38" i="23"/>
  <c r="B31" i="23"/>
  <c r="B24" i="23"/>
  <c r="B17" i="23"/>
  <c r="B10" i="23"/>
  <c r="B4" i="23"/>
  <c r="B52" i="22"/>
  <c r="B45" i="22"/>
  <c r="B38" i="22"/>
  <c r="B31" i="22"/>
  <c r="B24" i="22"/>
  <c r="B17" i="22"/>
  <c r="B10" i="22"/>
  <c r="B4" i="22"/>
  <c r="B10" i="21"/>
  <c r="B4" i="21"/>
  <c r="B52" i="21" s="1"/>
  <c r="B10" i="20"/>
  <c r="B4" i="20"/>
  <c r="B52" i="20" s="1"/>
  <c r="B13" i="17"/>
  <c r="B73" i="19"/>
  <c r="B63" i="19"/>
  <c r="B53" i="19"/>
  <c r="B43" i="19"/>
  <c r="B33" i="19"/>
  <c r="B23" i="19"/>
  <c r="C13" i="19"/>
  <c r="B13" i="19"/>
  <c r="B4" i="19"/>
  <c r="C73" i="19" s="1"/>
  <c r="C13" i="18"/>
  <c r="B73" i="18"/>
  <c r="B63" i="18"/>
  <c r="B53" i="18"/>
  <c r="B43" i="18"/>
  <c r="B33" i="18"/>
  <c r="B23" i="18"/>
  <c r="B13" i="18"/>
  <c r="B4" i="18"/>
  <c r="C63" i="18" s="1"/>
  <c r="C73" i="17"/>
  <c r="B73" i="17"/>
  <c r="C63" i="17"/>
  <c r="B63" i="17"/>
  <c r="C53" i="17"/>
  <c r="B53" i="17"/>
  <c r="C43" i="17"/>
  <c r="B43" i="17"/>
  <c r="C33" i="17"/>
  <c r="B33" i="17"/>
  <c r="C23" i="17"/>
  <c r="B23" i="17"/>
  <c r="C13" i="17"/>
  <c r="B3" i="17"/>
  <c r="B4" i="17"/>
  <c r="B73" i="16"/>
  <c r="B63" i="16"/>
  <c r="B53" i="16"/>
  <c r="B43" i="16"/>
  <c r="B33" i="16"/>
  <c r="B23" i="16"/>
  <c r="C13" i="16"/>
  <c r="B13" i="16"/>
  <c r="B4" i="16"/>
  <c r="C73" i="16" s="1"/>
  <c r="B73" i="15"/>
  <c r="B63" i="15"/>
  <c r="B53" i="15"/>
  <c r="B43" i="15"/>
  <c r="B33" i="15"/>
  <c r="B23" i="15"/>
  <c r="B13" i="15"/>
  <c r="B4" i="15"/>
  <c r="B73" i="14"/>
  <c r="B63" i="14"/>
  <c r="B53" i="14"/>
  <c r="B43" i="14"/>
  <c r="B33" i="14"/>
  <c r="B23" i="14"/>
  <c r="B13" i="14"/>
  <c r="B4" i="14"/>
  <c r="B73" i="13"/>
  <c r="B63" i="13"/>
  <c r="B53" i="13"/>
  <c r="B43" i="13"/>
  <c r="B33" i="13"/>
  <c r="B23" i="13"/>
  <c r="B13" i="13"/>
  <c r="B4" i="13"/>
  <c r="B73" i="12"/>
  <c r="B63" i="12"/>
  <c r="B53" i="12"/>
  <c r="B43" i="12"/>
  <c r="B33" i="12"/>
  <c r="B23" i="12"/>
  <c r="B13" i="12"/>
  <c r="B4" i="12"/>
  <c r="B73" i="11"/>
  <c r="B63" i="11"/>
  <c r="B53" i="11"/>
  <c r="B43" i="11"/>
  <c r="B33" i="11"/>
  <c r="B23" i="11"/>
  <c r="B13" i="11"/>
  <c r="B4" i="11"/>
  <c r="B73" i="10"/>
  <c r="B63" i="10"/>
  <c r="B53" i="10"/>
  <c r="B43" i="10"/>
  <c r="B33" i="10"/>
  <c r="B23" i="10"/>
  <c r="B13" i="10"/>
  <c r="B4" i="10"/>
  <c r="B73" i="6"/>
  <c r="B63" i="6"/>
  <c r="B53" i="6"/>
  <c r="B43" i="6"/>
  <c r="B33" i="6"/>
  <c r="B23" i="6"/>
  <c r="B13" i="6"/>
  <c r="B73" i="9"/>
  <c r="B63" i="9"/>
  <c r="B53" i="9"/>
  <c r="B43" i="9"/>
  <c r="B33" i="9"/>
  <c r="B23" i="9"/>
  <c r="B13" i="9"/>
  <c r="B4" i="9"/>
  <c r="B73" i="8"/>
  <c r="B63" i="8"/>
  <c r="B53" i="8"/>
  <c r="B43" i="8"/>
  <c r="B33" i="8"/>
  <c r="B23" i="8"/>
  <c r="B13" i="8"/>
  <c r="B4" i="8"/>
  <c r="C73" i="8" s="1"/>
  <c r="C13" i="7"/>
  <c r="B73" i="7"/>
  <c r="B63" i="7"/>
  <c r="B53" i="7"/>
  <c r="B43" i="7"/>
  <c r="B33" i="7"/>
  <c r="B23" i="7"/>
  <c r="B13" i="7"/>
  <c r="B4" i="7"/>
  <c r="C73" i="7" s="1"/>
  <c r="B4" i="6"/>
  <c r="B73" i="5"/>
  <c r="B63" i="5"/>
  <c r="B53" i="5"/>
  <c r="B43" i="5"/>
  <c r="B33" i="5"/>
  <c r="B23" i="5"/>
  <c r="B13" i="5"/>
  <c r="B4" i="5"/>
  <c r="B73" i="4"/>
  <c r="B63" i="4"/>
  <c r="B53" i="4"/>
  <c r="B43" i="4"/>
  <c r="B33" i="4"/>
  <c r="B23" i="4"/>
  <c r="C13" i="4"/>
  <c r="B13" i="4"/>
  <c r="B4" i="4"/>
  <c r="C73" i="4" s="1"/>
  <c r="B73" i="2"/>
  <c r="B63" i="2"/>
  <c r="B53" i="2"/>
  <c r="B43" i="2"/>
  <c r="B33" i="2"/>
  <c r="B23" i="2"/>
  <c r="B13" i="2"/>
  <c r="B73" i="3"/>
  <c r="B63" i="3"/>
  <c r="B53" i="3"/>
  <c r="B43" i="3"/>
  <c r="B33" i="3"/>
  <c r="B23" i="3"/>
  <c r="B13" i="3"/>
  <c r="B3" i="3"/>
  <c r="B4" i="3"/>
  <c r="B4" i="2"/>
  <c r="C73" i="2" s="1"/>
  <c r="C73" i="1"/>
  <c r="B73" i="1"/>
  <c r="C63" i="1"/>
  <c r="B63" i="1"/>
  <c r="C53" i="1"/>
  <c r="B53" i="1"/>
  <c r="C43" i="1"/>
  <c r="C33" i="1"/>
  <c r="B43" i="1"/>
  <c r="B33" i="1"/>
  <c r="C23" i="1"/>
  <c r="B23" i="1"/>
  <c r="C13" i="1"/>
  <c r="B13" i="1"/>
  <c r="B4" i="1"/>
  <c r="F5" i="25" l="1"/>
  <c r="F5" i="26"/>
  <c r="B31" i="26"/>
  <c r="B10" i="26"/>
  <c r="B38" i="26"/>
  <c r="B17" i="26"/>
  <c r="B45" i="26"/>
  <c r="B24" i="26"/>
  <c r="B31" i="25"/>
  <c r="B10" i="25"/>
  <c r="B38" i="25"/>
  <c r="B17" i="25"/>
  <c r="B45" i="25"/>
  <c r="B24" i="25"/>
  <c r="B31" i="24"/>
  <c r="B10" i="24"/>
  <c r="B38" i="24"/>
  <c r="B17" i="24"/>
  <c r="B45" i="24"/>
  <c r="B24" i="24"/>
  <c r="B31" i="21"/>
  <c r="B38" i="21"/>
  <c r="B17" i="21"/>
  <c r="B45" i="21"/>
  <c r="B24" i="21"/>
  <c r="B17" i="20"/>
  <c r="B31" i="20"/>
  <c r="B45" i="20"/>
  <c r="B24" i="20"/>
  <c r="B38" i="20"/>
  <c r="C23" i="19"/>
  <c r="C43" i="19"/>
  <c r="C63" i="19"/>
  <c r="C33" i="19"/>
  <c r="C53" i="19"/>
  <c r="C53" i="18"/>
  <c r="C33" i="18"/>
  <c r="C73" i="18"/>
  <c r="C23" i="18"/>
  <c r="C43" i="18"/>
  <c r="C23" i="16"/>
  <c r="C43" i="16"/>
  <c r="C63" i="16"/>
  <c r="C33" i="16"/>
  <c r="C53" i="16"/>
  <c r="C23" i="8"/>
  <c r="C43" i="8"/>
  <c r="C63" i="8"/>
  <c r="C13" i="8"/>
  <c r="C33" i="8"/>
  <c r="C53" i="8"/>
  <c r="C43" i="7"/>
  <c r="C53" i="7"/>
  <c r="C23" i="7"/>
  <c r="C63" i="7"/>
  <c r="C33" i="7"/>
  <c r="C43" i="4"/>
  <c r="C23" i="4"/>
  <c r="C63" i="4"/>
  <c r="C33" i="4"/>
  <c r="C53" i="4"/>
  <c r="C63" i="2"/>
  <c r="C23" i="2"/>
  <c r="C43" i="2"/>
  <c r="C33" i="2"/>
  <c r="C53" i="2"/>
</calcChain>
</file>

<file path=xl/sharedStrings.xml><?xml version="1.0" encoding="utf-8"?>
<sst xmlns="http://schemas.openxmlformats.org/spreadsheetml/2006/main" count="1761" uniqueCount="38">
  <si>
    <t>Water Sold-</t>
  </si>
  <si>
    <t>Residentail Customers</t>
  </si>
  <si>
    <t>Avg Consumption Per Month</t>
  </si>
  <si>
    <t>Base</t>
  </si>
  <si>
    <t>Water Gallonage 0-4</t>
  </si>
  <si>
    <t>Water Gallonage 4-12</t>
  </si>
  <si>
    <t>Water Gallonage Over 12</t>
  </si>
  <si>
    <t>8,000 Cap</t>
  </si>
  <si>
    <t xml:space="preserve">Water </t>
  </si>
  <si>
    <t xml:space="preserve">Wastewater </t>
  </si>
  <si>
    <t>Rates Effective 5/31/2020:</t>
  </si>
  <si>
    <t>Average Bill 5/31/2020:</t>
  </si>
  <si>
    <t>Average Usage:</t>
  </si>
  <si>
    <t>Rates Effective 1/1/2020:</t>
  </si>
  <si>
    <t>Average Bill 1/1/2020:</t>
  </si>
  <si>
    <t>Rates Effective 10/5/2019:</t>
  </si>
  <si>
    <t>Average Bill 10/5/2019:</t>
  </si>
  <si>
    <t>Rates Effective 5/31/2019:</t>
  </si>
  <si>
    <t>Average Bill 5/31/2019:</t>
  </si>
  <si>
    <t>Rates Effective 6/29/2018:</t>
  </si>
  <si>
    <t>Average Bill 6/29/2018:</t>
  </si>
  <si>
    <t>Rates Effective 1/21/2018:</t>
  </si>
  <si>
    <t>Average Bill 1/21/2018:</t>
  </si>
  <si>
    <t>Rates Effective 9/5/2017:</t>
  </si>
  <si>
    <t>Average Bill 9/5/2017:</t>
  </si>
  <si>
    <t>Average Unamortized RCE on bill:</t>
  </si>
  <si>
    <t>ROE Credit efffective 9/5/2017:</t>
  </si>
  <si>
    <t>Average ROE Credit on bill:</t>
  </si>
  <si>
    <t>Unamortized RCE until 2/15/2018:</t>
  </si>
  <si>
    <t>Unamortized RCE until 2/7/2021:</t>
  </si>
  <si>
    <t>Unamortized RCE until 7/27/2018:</t>
  </si>
  <si>
    <t>Unamortized RCE until 10/10/2018:</t>
  </si>
  <si>
    <t>Unamortized RCE until 8/18/2020:</t>
  </si>
  <si>
    <t>Unamortized RCE until 6/30/2019:</t>
  </si>
  <si>
    <t>Unamortized RCE until 6/23/2019:</t>
  </si>
  <si>
    <t>Wastewater</t>
  </si>
  <si>
    <t>8,000 gallon cap</t>
  </si>
  <si>
    <t>Unamortized RCE until 2/09/2020: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</si>
</sst>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4" fontId="0" fillId="0" borderId="0" xfId="1" applyFont="1"/>
    <xf numFmtId="44" fontId="0" fillId="0" borderId="0" xfId="0" applyNumberFormat="1"/>
    <xf numFmtId="44" fontId="3" fillId="0" borderId="0" xfId="0" applyNumberFormat="1" applyFont="1"/>
    <xf numFmtId="0" fontId="2" fillId="0" borderId="0" xfId="0" applyFont="1"/>
    <xf numFmtId="44" fontId="2" fillId="0" borderId="0" xfId="1" applyFont="1"/>
    <xf numFmtId="0" fontId="5" fillId="0" borderId="0" xfId="0" applyFont="1"/>
    <xf numFmtId="44" fontId="2" fillId="0" borderId="0" xfId="0" applyNumberFormat="1" applyFont="1"/>
    <xf numFmtId="44" fontId="5" fillId="0" borderId="0" xfId="0" applyNumberFormat="1" applyFont="1"/>
    <xf numFmtId="44" fontId="6" fillId="0" borderId="0" xfId="1" applyFont="1"/>
    <xf numFmtId="0" fontId="6" fillId="0" borderId="0" xfId="0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49E5-5CD3-43B1-B342-688F7CEE87B5}">
  <dimension ref="A1:G73"/>
  <sheetViews>
    <sheetView tabSelected="1" workbookViewId="0">
      <selection activeCell="E10" sqref="E10"/>
    </sheetView>
  </sheetViews>
  <sheetFormatPr defaultRowHeight="14.5" x14ac:dyDescent="0.35"/>
  <cols>
    <col min="1" max="1" width="25" bestFit="1" customWidth="1"/>
    <col min="2" max="2" width="10.81640625" bestFit="1" customWidth="1"/>
    <col min="3" max="3" width="14.81640625" bestFit="1" customWidth="1"/>
    <col min="4" max="4" width="15.36328125" bestFit="1" customWidth="1"/>
    <col min="5" max="5" width="30.81640625" bestFit="1" customWidth="1"/>
    <col min="7" max="7" width="11.08984375" bestFit="1" customWidth="1"/>
  </cols>
  <sheetData>
    <row r="1" spans="1:7" x14ac:dyDescent="0.35">
      <c r="A1" s="1" t="s">
        <v>12</v>
      </c>
      <c r="E1" s="1" t="s">
        <v>30</v>
      </c>
      <c r="F1" s="1" t="s">
        <v>8</v>
      </c>
      <c r="G1" s="1" t="s">
        <v>35</v>
      </c>
    </row>
    <row r="2" spans="1:7" x14ac:dyDescent="0.35">
      <c r="A2" t="s">
        <v>0</v>
      </c>
      <c r="B2">
        <v>6310000</v>
      </c>
      <c r="E2" t="s">
        <v>3</v>
      </c>
      <c r="F2" s="2">
        <v>0.25</v>
      </c>
      <c r="G2">
        <v>0.35</v>
      </c>
    </row>
    <row r="3" spans="1:7" x14ac:dyDescent="0.35">
      <c r="A3" t="s">
        <v>1</v>
      </c>
      <c r="B3">
        <v>122</v>
      </c>
      <c r="E3" t="s">
        <v>4</v>
      </c>
      <c r="F3" s="2">
        <v>0.23</v>
      </c>
    </row>
    <row r="4" spans="1:7" x14ac:dyDescent="0.35">
      <c r="A4" t="s">
        <v>2</v>
      </c>
      <c r="B4">
        <f>(B2/B3)/12</f>
        <v>4310.109289617486</v>
      </c>
      <c r="E4" t="s">
        <v>5</v>
      </c>
      <c r="F4" s="2">
        <v>0.35</v>
      </c>
    </row>
    <row r="5" spans="1:7" x14ac:dyDescent="0.35">
      <c r="E5" t="s">
        <v>6</v>
      </c>
      <c r="F5" s="2">
        <v>0.57999999999999996</v>
      </c>
    </row>
    <row r="6" spans="1:7" x14ac:dyDescent="0.35">
      <c r="A6" s="1" t="s">
        <v>10</v>
      </c>
      <c r="B6" s="1" t="s">
        <v>8</v>
      </c>
      <c r="C6" s="1" t="s">
        <v>9</v>
      </c>
      <c r="D6" s="1"/>
      <c r="E6" s="1" t="s">
        <v>36</v>
      </c>
      <c r="F6" s="2"/>
      <c r="G6">
        <v>0.12</v>
      </c>
    </row>
    <row r="7" spans="1:7" x14ac:dyDescent="0.35">
      <c r="A7" t="s">
        <v>3</v>
      </c>
      <c r="B7" s="2">
        <v>11.28</v>
      </c>
      <c r="C7" s="2">
        <v>26.72</v>
      </c>
    </row>
    <row r="8" spans="1:7" x14ac:dyDescent="0.35">
      <c r="A8" t="s">
        <v>4</v>
      </c>
      <c r="B8" s="2">
        <v>1.59</v>
      </c>
      <c r="E8" s="1" t="s">
        <v>25</v>
      </c>
      <c r="F8" s="3">
        <f>F2+(F3*(B4/1000))</f>
        <v>1.2413251366120219</v>
      </c>
      <c r="G8" s="3">
        <f>G2+(G6*(B4/1000))</f>
        <v>0.86721311475409835</v>
      </c>
    </row>
    <row r="9" spans="1:7" x14ac:dyDescent="0.35">
      <c r="A9" t="s">
        <v>5</v>
      </c>
      <c r="B9" s="2">
        <v>2.37</v>
      </c>
    </row>
    <row r="10" spans="1:7" x14ac:dyDescent="0.35">
      <c r="A10" t="s">
        <v>6</v>
      </c>
      <c r="B10" s="2">
        <v>3.96</v>
      </c>
    </row>
    <row r="11" spans="1:7" x14ac:dyDescent="0.35">
      <c r="A11" t="s">
        <v>7</v>
      </c>
      <c r="B11" s="2"/>
      <c r="C11" s="2">
        <v>4.2699999999999996</v>
      </c>
    </row>
    <row r="13" spans="1:7" x14ac:dyDescent="0.35">
      <c r="A13" s="1" t="s">
        <v>11</v>
      </c>
      <c r="B13" s="4">
        <f>B7+(B8*4)+(B9*0.10929)</f>
        <v>17.899017300000001</v>
      </c>
      <c r="C13" s="4">
        <f>C7+(C11*(B4/1000))</f>
        <v>45.124166666666667</v>
      </c>
    </row>
    <row r="16" spans="1:7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B17+(B18*4)+(B19*0.10929)</f>
        <v>17.756831500000001</v>
      </c>
      <c r="C23" s="9">
        <f>C17+(C21*(B4/1000))</f>
        <v>44.814863387978143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B27+(B28*4)+(B29*0.10929)</f>
        <v>17.564645700000003</v>
      </c>
      <c r="C33" s="9">
        <f>C27+(C31*(B4/1000))</f>
        <v>44.259357923497269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B37+(B38*4)+(B39*0.10929)</f>
        <v>17.564645700000003</v>
      </c>
      <c r="C43" s="9">
        <f>C37+(C41*(B4/1000))</f>
        <v>44.475560109289617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B47+(B48*4)+(B49*0.10929)</f>
        <v>17.372459900000003</v>
      </c>
      <c r="C53" s="9">
        <f>C47+(C51*(B4/1000))</f>
        <v>43.816953551912569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B57+(B58*4)+(B59*0.10929)</f>
        <v>17.250274099999999</v>
      </c>
      <c r="C63" s="9">
        <f>C57+(C61*(B4/1000))</f>
        <v>43.19834699453552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B67+(B68*4)+(B69*0.10929)</f>
        <v>17.149181199999997</v>
      </c>
      <c r="C73" s="9">
        <f>C67+(C71*(B4/1000))</f>
        <v>42.805942622950823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AB7B-E2CE-4B84-B34A-A56711697058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5.81640625" bestFit="1" customWidth="1"/>
    <col min="5" max="5" width="29.81640625" bestFit="1" customWidth="1"/>
    <col min="7" max="7" width="11.08984375" bestFit="1" customWidth="1"/>
    <col min="9" max="9" width="29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15697000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220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5945.833333333333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F2+(F3*4)+(1.94583333*F4)</f>
        <v>1.1807916661</v>
      </c>
      <c r="G8" s="3">
        <f>G2+(G6*(B4/1000))</f>
        <v>1.4224166666666667</v>
      </c>
      <c r="I8" s="1" t="s">
        <v>25</v>
      </c>
      <c r="J8" s="3">
        <f>J2+(J3*4)+(1.94583333*J4)</f>
        <v>9.8916666599999994E-2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B7+(B8*4)+(B9*1.94583333)</f>
        <v>22.251624992100002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B17+(B18*4)+(B19*1.94583333)</f>
        <v>22.072708325499999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B27+(B28*4)+(B29*1.94583333)</f>
        <v>21.843791658900003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B37+(B38*4)+(B39*1.94583333)</f>
        <v>21.843791658900003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B47+(B48*4)+(B49*1.94583333)</f>
        <v>21.614874992300003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B57+(B58*4)+(B59*1.94583333)</f>
        <v>21.455958325699999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B67+(B68*4)+(B69*1.94583333)</f>
        <v>21.336499992399997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028C-FAE8-4092-8BED-BF0F7AB8E917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7" max="7" width="11.08984375" bestFit="1" customWidth="1"/>
    <col min="9" max="9" width="29.816406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20063000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259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6455.2767052767049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F2+(F3*4)+(2.455276705*F4)</f>
        <v>1.2673970398500001</v>
      </c>
      <c r="G8" s="3">
        <f>G2+(G6*(B4/1000))</f>
        <v>1.4937387387387386</v>
      </c>
      <c r="I8" s="1" t="s">
        <v>25</v>
      </c>
      <c r="J8" s="3">
        <f>J2+(J3*4)+(2.455276705*J4)</f>
        <v>0.10910553410000001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B7+(B8*4)+(B9*2.455276705)</f>
        <v>23.45900579085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B17+(B18*4)+(B19*2.455276705)</f>
        <v>23.269900256749999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B27+(B28*4)+(B29*2.455276705)</f>
        <v>23.030794722650004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B37+(B38*4)+(B39*2.455276705)</f>
        <v>23.030794722650004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B47+(B48*4)+(B49*2.455276705)</f>
        <v>22.791689188550002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B57+(B58*4)+(B59*2.455276705)</f>
        <v>22.622583654450001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B67+(B68*4)+(B69*2.455276705)</f>
        <v>22.498030887399999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E2F7-B895-4473-AD6E-CEC4EC807B71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6.6328125" bestFit="1" customWidth="1"/>
    <col min="7" max="7" width="11.08984375" bestFit="1" customWidth="1"/>
    <col min="9" max="9" width="29.81640625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3584000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61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4896.1748633879779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F2+(F3*4)+(0.896174863*F4)</f>
        <v>1.0023497267099999</v>
      </c>
      <c r="G8" s="3">
        <f>G2+(G6*(B4/1000))</f>
        <v>1.275464480874317</v>
      </c>
      <c r="I8" s="1" t="s">
        <v>25</v>
      </c>
      <c r="J8" s="3">
        <f>J2+(J3*4)+(0.896174863*J4)</f>
        <v>7.7923497260000002E-2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B7+(B8*4)+(B9*0.896174863)</f>
        <v>19.763934425310001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B17+(B18*4)+(B19*0.896174863)</f>
        <v>19.606010928050001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B27+(B28*4)+(B29*0.896174863)</f>
        <v>19.398087430790003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B37+(B38*4)+(B39*0.896174863)</f>
        <v>19.398087430790003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B47+(B48*4)+(B49*0.896174863)</f>
        <v>19.190163933530002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B57+(B58*4)+(B59*0.896174863)</f>
        <v>19.052240436270001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B67+(B68*4)+(B69*0.896174863)</f>
        <v>18.943278687639999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8FE8-23EA-467E-A946-73EFE474D46E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6.6328125" bestFit="1" customWidth="1"/>
    <col min="7" max="7" width="11.08984375" bestFit="1" customWidth="1"/>
    <col min="9" max="9" width="29.81640625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25751000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218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9843.6544342507641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F2+(F3*4)+(5.843654434*F4)</f>
        <v>1.8434212537800001</v>
      </c>
      <c r="G8" s="3">
        <f>G2+(G6*(B4/1000))</f>
        <v>1.9681116207951073</v>
      </c>
      <c r="I8" s="1" t="s">
        <v>25</v>
      </c>
      <c r="J8" s="3">
        <f>J2+(J3*4)+(5.843654434*J4)</f>
        <v>0.17687308868000001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B7+(B8*4)+(B9*5.843654434)</f>
        <v>31.489461008580001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B17+(B18*4)+(B19*5.843654434)</f>
        <v>31.232587919900002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B27+(B28*4)+(B29*5.843654434)</f>
        <v>30.925714831220006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B37+(B38*4)+(B39*5.843654434)</f>
        <v>30.925714831220006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B47+(B48*4)+(B49*5.843654434)</f>
        <v>30.618841742540003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B57+(B58*4)+(B59*5.843654434)</f>
        <v>30.38196865386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B67+(B68*4)+(B69*5.843654434)</f>
        <v>30.223532109520001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CD5E-FECB-42B3-AF5E-AC29CD1CC0F5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6.6328125" bestFit="1" customWidth="1"/>
    <col min="7" max="7" width="11.08984375" bestFit="1" customWidth="1"/>
    <col min="9" max="9" width="29.81640625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5999000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106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4716.1949685534591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F2+(F3*4)+(0.716194969*F4)</f>
        <v>0.97175314472999996</v>
      </c>
      <c r="G8" s="3">
        <f>G2+(G6*(B4/1000))</f>
        <v>1.2502672955974843</v>
      </c>
      <c r="I8" s="1" t="s">
        <v>25</v>
      </c>
      <c r="J8" s="3">
        <f>J2+(J3*4)+(0.716194969*J4)</f>
        <v>7.4323899380000003E-2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B7+(B8*4)+(B9*0.716194969)</f>
        <v>19.337382076530002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B17+(B18*4)+(B19*0.716194969)</f>
        <v>19.183058177149999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B27+(B28*4)+(B29*0.716194969)</f>
        <v>18.978734277770002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B37+(B38*4)+(B39*0.716194969)</f>
        <v>18.978734277770002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B47+(B48*4)+(B49*0.716194969)</f>
        <v>18.774410378390002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B57+(B58*4)+(B59*0.716194969)</f>
        <v>18.640086479010002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B67+(B68*4)+(B69*0.716194969)</f>
        <v>18.532924529319999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B2A7-C453-4C27-AC2C-FE0234AD828F}">
  <dimension ref="A1:J73"/>
  <sheetViews>
    <sheetView workbookViewId="0">
      <selection activeCell="G2" sqref="G2:G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7" max="7" width="11.08984375" bestFit="1" customWidth="1"/>
    <col min="9" max="9" width="29.816406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38092000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611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5195.3082378614299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F2+(F3*4)+(1.195308238*F4)</f>
        <v>1.05320240046</v>
      </c>
      <c r="G8" s="3">
        <f>G2+(G6*(B4/1000))</f>
        <v>1.3173431533006004</v>
      </c>
      <c r="I8" s="1" t="s">
        <v>25</v>
      </c>
      <c r="J8" s="3">
        <f>J2+(J3*4)+(1.195308238*J4)</f>
        <v>8.3906164759999999E-2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</row>
    <row r="13" spans="1:10" x14ac:dyDescent="0.35">
      <c r="A13" s="1" t="s">
        <v>11</v>
      </c>
      <c r="B13" s="9">
        <f>B7+(B8*4)+(B9*1.195308238)</f>
        <v>20.472880524060002</v>
      </c>
    </row>
    <row r="16" spans="1:10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B17+(B18*4)+(B19*1.195308238)</f>
        <v>20.308974359299999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B27+(B28*4)+(B29*1.195308238)</f>
        <v>20.095068194540001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B37+(B38*4)+(B39*1.195308238)</f>
        <v>20.095068194540001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B47+(B48*4)+(B49*1.195308238)</f>
        <v>19.88116202978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B57+(B58*4)+(B59*1.195308238)</f>
        <v>19.73725586502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B67+(B68*4)+(B69*1.195308238)</f>
        <v>19.625302782639999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4E46E-8DB9-4D8E-883D-309400DEE200}">
  <dimension ref="A1:J73"/>
  <sheetViews>
    <sheetView workbookViewId="0">
      <selection activeCell="G9" sqref="G9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9.81640625" bestFit="1" customWidth="1"/>
    <col min="7" max="7" width="11.08984375" bestFit="1" customWidth="1"/>
    <col min="9" max="9" width="29.81640625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32</v>
      </c>
      <c r="J1" s="1" t="s">
        <v>8</v>
      </c>
    </row>
    <row r="2" spans="1:10" x14ac:dyDescent="0.35">
      <c r="A2" t="s">
        <v>0</v>
      </c>
      <c r="B2">
        <v>71583000</v>
      </c>
      <c r="E2" t="s">
        <v>3</v>
      </c>
      <c r="F2" s="2">
        <v>0.41</v>
      </c>
      <c r="G2">
        <v>0.59</v>
      </c>
      <c r="I2" t="s">
        <v>3</v>
      </c>
      <c r="J2" s="2">
        <v>0.02</v>
      </c>
    </row>
    <row r="3" spans="1:10" x14ac:dyDescent="0.35">
      <c r="A3" t="s">
        <v>1</v>
      </c>
      <c r="B3" s="11">
        <v>1193</v>
      </c>
      <c r="E3" t="s">
        <v>4</v>
      </c>
      <c r="F3" s="2">
        <v>0.11</v>
      </c>
      <c r="I3" t="s">
        <v>4</v>
      </c>
      <c r="J3" s="2">
        <v>0.01</v>
      </c>
    </row>
    <row r="4" spans="1:10" x14ac:dyDescent="0.35">
      <c r="A4" t="s">
        <v>2</v>
      </c>
      <c r="B4">
        <f>(B2/B3)/12</f>
        <v>5000.2095557418279</v>
      </c>
      <c r="E4" t="s">
        <v>5</v>
      </c>
      <c r="F4" s="2">
        <v>0.17</v>
      </c>
      <c r="I4" t="s">
        <v>5</v>
      </c>
      <c r="J4" s="2">
        <v>0.02</v>
      </c>
    </row>
    <row r="5" spans="1:10" x14ac:dyDescent="0.35">
      <c r="E5" t="s">
        <v>6</v>
      </c>
      <c r="F5" s="2">
        <v>0.28000000000000003</v>
      </c>
      <c r="I5" t="s">
        <v>6</v>
      </c>
      <c r="J5" s="2">
        <v>0.03</v>
      </c>
    </row>
    <row r="6" spans="1:10" x14ac:dyDescent="0.35">
      <c r="A6" s="1" t="s">
        <v>10</v>
      </c>
      <c r="B6" s="1" t="s">
        <v>8</v>
      </c>
      <c r="C6" s="1" t="s">
        <v>9</v>
      </c>
      <c r="E6" s="1" t="s">
        <v>36</v>
      </c>
      <c r="F6" s="2"/>
      <c r="G6">
        <v>0.14000000000000001</v>
      </c>
      <c r="J6" s="2"/>
    </row>
    <row r="7" spans="1:10" x14ac:dyDescent="0.35">
      <c r="A7" t="s">
        <v>3</v>
      </c>
      <c r="B7" s="2">
        <v>11.28</v>
      </c>
      <c r="C7" s="2">
        <v>26.72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F2+(F3*4)+(1*F4)</f>
        <v>1.02</v>
      </c>
      <c r="G8" s="3">
        <f>G2+(G6*(B4/1000))</f>
        <v>1.2900293378038559</v>
      </c>
      <c r="I8" s="1" t="s">
        <v>25</v>
      </c>
      <c r="J8" s="3">
        <f>J2+(J3*4)+(1*J4)</f>
        <v>0.08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  <c r="C11" s="2">
        <v>4.2699999999999996</v>
      </c>
    </row>
    <row r="13" spans="1:10" x14ac:dyDescent="0.35">
      <c r="A13" s="1" t="s">
        <v>11</v>
      </c>
      <c r="B13" s="9">
        <f>B7+(B8*4)+(B9*1.000209556)</f>
        <v>20.01049664772</v>
      </c>
      <c r="C13" s="4">
        <f>C7+(C11*(B4/1000))</f>
        <v>48.070894803017602</v>
      </c>
    </row>
    <row r="16" spans="1:10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B17+(B18*4)+(B19*1.000209556)</f>
        <v>19.850492456600001</v>
      </c>
      <c r="C23" s="9">
        <f>C17+(C21*(B4/1000))</f>
        <v>47.74088851634535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B27+(B28*4)+(B29*1.000209556)</f>
        <v>19.640488265480002</v>
      </c>
      <c r="C33" s="9">
        <f>C27+(C31*(B4/1000))</f>
        <v>47.150878038558261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B37+(B38*4)+(B39*1.000209556)</f>
        <v>19.640488265480002</v>
      </c>
      <c r="C43" s="9">
        <f>C37+(C41*(B4/1000))</f>
        <v>47.380882229673091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B47+(B48*4)+(B49*1.000209556)</f>
        <v>19.430484074360002</v>
      </c>
      <c r="C53" s="9">
        <f>C47+(C51*(B4/1000))</f>
        <v>46.680869656328582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B57+(B58*4)+(B59*1.000209556)</f>
        <v>19.29047988324</v>
      </c>
      <c r="C63" s="9">
        <f>C57+(C61*(B4/1000))</f>
        <v>46.02085708298408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B67+(B68*4)+(B69*1.000209556)</f>
        <v>19.180477787679997</v>
      </c>
      <c r="C73" s="9">
        <f>C67+(C71*(B4/1000))</f>
        <v>45.600848700754398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66ED-A111-46F0-810A-517636F7F6AF}">
  <dimension ref="A1:G73"/>
  <sheetViews>
    <sheetView workbookViewId="0">
      <selection activeCell="G10" sqref="G10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9.6328125" bestFit="1" customWidth="1"/>
    <col min="6" max="6" width="11.81640625" bestFit="1" customWidth="1"/>
    <col min="7" max="7" width="11.08984375" bestFit="1" customWidth="1"/>
  </cols>
  <sheetData>
    <row r="1" spans="1:7" x14ac:dyDescent="0.35">
      <c r="A1" s="1" t="s">
        <v>12</v>
      </c>
      <c r="E1" s="1" t="s">
        <v>33</v>
      </c>
      <c r="F1" s="1" t="s">
        <v>8</v>
      </c>
      <c r="G1" s="1" t="s">
        <v>35</v>
      </c>
    </row>
    <row r="2" spans="1:7" x14ac:dyDescent="0.35">
      <c r="A2" t="s">
        <v>0</v>
      </c>
      <c r="B2">
        <v>1884781000</v>
      </c>
      <c r="E2" t="s">
        <v>3</v>
      </c>
      <c r="F2" s="2">
        <v>0.06</v>
      </c>
      <c r="G2">
        <v>0.11</v>
      </c>
    </row>
    <row r="3" spans="1:7" x14ac:dyDescent="0.35">
      <c r="A3" t="s">
        <v>1</v>
      </c>
      <c r="B3" s="11">
        <f>6219+3474+20</f>
        <v>9713</v>
      </c>
      <c r="E3" t="s">
        <v>4</v>
      </c>
      <c r="F3" s="2">
        <v>0.01</v>
      </c>
    </row>
    <row r="4" spans="1:7" x14ac:dyDescent="0.35">
      <c r="A4" t="s">
        <v>2</v>
      </c>
      <c r="B4">
        <f>(B2/B3)/12</f>
        <v>16170.604687875355</v>
      </c>
      <c r="E4" t="s">
        <v>5</v>
      </c>
      <c r="F4" s="2">
        <v>0.02</v>
      </c>
    </row>
    <row r="5" spans="1:7" x14ac:dyDescent="0.35">
      <c r="E5" t="s">
        <v>6</v>
      </c>
      <c r="F5" s="2">
        <v>0.03</v>
      </c>
    </row>
    <row r="6" spans="1:7" x14ac:dyDescent="0.35">
      <c r="A6" s="1" t="s">
        <v>10</v>
      </c>
      <c r="B6" s="1" t="s">
        <v>8</v>
      </c>
      <c r="C6" s="1" t="s">
        <v>9</v>
      </c>
      <c r="G6">
        <v>0.02</v>
      </c>
    </row>
    <row r="7" spans="1:7" x14ac:dyDescent="0.35">
      <c r="A7" t="s">
        <v>3</v>
      </c>
      <c r="B7" s="2">
        <v>11.28</v>
      </c>
      <c r="C7" s="2">
        <v>26.72</v>
      </c>
    </row>
    <row r="8" spans="1:7" x14ac:dyDescent="0.35">
      <c r="A8" t="s">
        <v>4</v>
      </c>
      <c r="B8" s="2">
        <v>1.59</v>
      </c>
      <c r="E8" s="1" t="s">
        <v>25</v>
      </c>
      <c r="F8" s="12">
        <f>F2+(F3*4)+(F4*8)+(((B4-12000)/1000)*F5)</f>
        <v>0.38511814063626065</v>
      </c>
      <c r="G8" s="3">
        <f>G2+(G6*8)</f>
        <v>0.27</v>
      </c>
    </row>
    <row r="9" spans="1:7" x14ac:dyDescent="0.35">
      <c r="A9" t="s">
        <v>5</v>
      </c>
      <c r="B9" s="2">
        <v>2.37</v>
      </c>
    </row>
    <row r="10" spans="1:7" x14ac:dyDescent="0.35">
      <c r="A10" t="s">
        <v>6</v>
      </c>
      <c r="B10" s="2">
        <v>3.96</v>
      </c>
    </row>
    <row r="11" spans="1:7" x14ac:dyDescent="0.35">
      <c r="A11" t="s">
        <v>7</v>
      </c>
      <c r="B11" s="2"/>
      <c r="C11" s="2">
        <v>4.2699999999999996</v>
      </c>
    </row>
    <row r="13" spans="1:7" x14ac:dyDescent="0.35">
      <c r="A13" s="1" t="s">
        <v>11</v>
      </c>
      <c r="B13" s="9">
        <f>B7+(B8*4)+(B9*8)+(B10*4.17060469)</f>
        <v>53.115594572399999</v>
      </c>
      <c r="C13" s="4">
        <f>C7+(C11*(8000/1000))</f>
        <v>60.879999999999995</v>
      </c>
    </row>
    <row r="16" spans="1:7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B17+(B18*4)+(B19*8)+(B20*4.17060469)</f>
        <v>52.690476431699999</v>
      </c>
      <c r="C23" s="9">
        <f>C17+(C21*(8000/1000))</f>
        <v>60.46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B27+(B28*4)+(B29*8)+(B30*4.17060469)</f>
        <v>52.173652244100005</v>
      </c>
      <c r="C33" s="9">
        <f>C27+(C31*(8000/1000))</f>
        <v>59.72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B37+(B38*4)+(B39*8)+(B40*4.17060469)</f>
        <v>52.173652244100005</v>
      </c>
      <c r="C43" s="9">
        <f>C37+(C41*(8000/1000))</f>
        <v>60.01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B47+(B48*4)+(B49*8)+(B50*4.17060469)</f>
        <v>51.656828056500004</v>
      </c>
      <c r="C53" s="9">
        <f>C47+(C51*(8000/1000))</f>
        <v>59.13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B57+(B58*4)+(B59*8)+(B60*4.17060469)</f>
        <v>51.251709915799999</v>
      </c>
      <c r="C63" s="9">
        <f>C57+(C61*(8000/1000))</f>
        <v>58.29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B67+(B68*4)+(B69*8)+(B70*4.17060469)</f>
        <v>50.988297822</v>
      </c>
      <c r="C73" s="9">
        <f>C67+(C71*(8000/1000))</f>
        <v>57.75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6DBF-1894-4574-8758-3C5923C215F5}">
  <dimension ref="A1:G73"/>
  <sheetViews>
    <sheetView workbookViewId="0">
      <selection activeCell="G1" sqref="G1:G8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9.81640625" bestFit="1" customWidth="1"/>
    <col min="6" max="6" width="6.6328125" bestFit="1" customWidth="1"/>
    <col min="7" max="7" width="11.08984375" bestFit="1" customWidth="1"/>
  </cols>
  <sheetData>
    <row r="1" spans="1:7" x14ac:dyDescent="0.35">
      <c r="A1" s="1" t="s">
        <v>12</v>
      </c>
      <c r="E1" s="1" t="s">
        <v>34</v>
      </c>
      <c r="F1" s="1" t="s">
        <v>8</v>
      </c>
      <c r="G1" s="1" t="s">
        <v>35</v>
      </c>
    </row>
    <row r="2" spans="1:7" x14ac:dyDescent="0.35">
      <c r="A2" t="s">
        <v>0</v>
      </c>
      <c r="B2">
        <v>21217000</v>
      </c>
      <c r="E2" t="s">
        <v>3</v>
      </c>
      <c r="F2" s="2">
        <v>0.36</v>
      </c>
      <c r="G2">
        <v>0.51</v>
      </c>
    </row>
    <row r="3" spans="1:7" x14ac:dyDescent="0.35">
      <c r="A3" t="s">
        <v>1</v>
      </c>
      <c r="B3" s="11">
        <v>893</v>
      </c>
      <c r="E3" t="s">
        <v>4</v>
      </c>
      <c r="F3" s="2">
        <v>0.45</v>
      </c>
    </row>
    <row r="4" spans="1:7" x14ac:dyDescent="0.35">
      <c r="A4" t="s">
        <v>2</v>
      </c>
      <c r="B4">
        <f>(B2/B3)/12</f>
        <v>1979.9365434863755</v>
      </c>
      <c r="E4" t="s">
        <v>5</v>
      </c>
      <c r="F4" s="2">
        <v>0.68</v>
      </c>
    </row>
    <row r="5" spans="1:7" x14ac:dyDescent="0.35">
      <c r="E5" t="s">
        <v>6</v>
      </c>
      <c r="F5" s="2">
        <v>1.1299999999999999</v>
      </c>
    </row>
    <row r="6" spans="1:7" x14ac:dyDescent="0.35">
      <c r="A6" s="1" t="s">
        <v>10</v>
      </c>
      <c r="B6" s="1" t="s">
        <v>8</v>
      </c>
      <c r="C6" s="1" t="s">
        <v>9</v>
      </c>
      <c r="E6" t="s">
        <v>7</v>
      </c>
      <c r="F6" s="2"/>
      <c r="G6">
        <v>0.34</v>
      </c>
    </row>
    <row r="7" spans="1:7" x14ac:dyDescent="0.35">
      <c r="A7" t="s">
        <v>3</v>
      </c>
      <c r="B7" s="2">
        <v>11.28</v>
      </c>
      <c r="C7" s="2">
        <v>26.72</v>
      </c>
    </row>
    <row r="8" spans="1:7" x14ac:dyDescent="0.35">
      <c r="A8" t="s">
        <v>4</v>
      </c>
      <c r="B8" s="2">
        <v>1.59</v>
      </c>
      <c r="E8" s="1" t="s">
        <v>25</v>
      </c>
      <c r="F8" s="3">
        <f>F2+(F3*(B4/1000))</f>
        <v>1.2509714445688691</v>
      </c>
      <c r="G8" s="3">
        <f>G2+(G6*(B4/1000))</f>
        <v>1.1831784247853676</v>
      </c>
    </row>
    <row r="9" spans="1:7" x14ac:dyDescent="0.35">
      <c r="A9" t="s">
        <v>5</v>
      </c>
      <c r="B9" s="2">
        <v>2.37</v>
      </c>
    </row>
    <row r="10" spans="1:7" x14ac:dyDescent="0.35">
      <c r="A10" t="s">
        <v>6</v>
      </c>
      <c r="B10" s="2">
        <v>3.96</v>
      </c>
    </row>
    <row r="11" spans="1:7" x14ac:dyDescent="0.35">
      <c r="A11" t="s">
        <v>7</v>
      </c>
      <c r="B11" s="2"/>
      <c r="C11" s="2">
        <v>4.2699999999999996</v>
      </c>
    </row>
    <row r="13" spans="1:7" x14ac:dyDescent="0.35">
      <c r="A13" s="1" t="s">
        <v>11</v>
      </c>
      <c r="B13" s="9">
        <f>B7+(B8*1.979936543)</f>
        <v>14.42809910337</v>
      </c>
      <c r="C13" s="4">
        <f>C7+(C11*(B4/1000))</f>
        <v>35.174329040686821</v>
      </c>
    </row>
    <row r="16" spans="1:7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B17+(B18*1.979936543)</f>
        <v>14.308299737940001</v>
      </c>
      <c r="C23" s="9">
        <f>C17+(C21*(B4/1000))</f>
        <v>34.934930944382231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B27+(B28*1.979936543)</f>
        <v>14.158701007080001</v>
      </c>
      <c r="C33" s="9">
        <f>C27+(C31*(B4/1000))</f>
        <v>34.495934117207916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B37+(B38*1.979936543)</f>
        <v>14.158701007080001</v>
      </c>
      <c r="C43" s="9">
        <f>C37+(C41*(B4/1000))</f>
        <v>34.665532848077639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B47+(B48*1.979936543)</f>
        <v>14.009102276220002</v>
      </c>
      <c r="C53" s="9">
        <f>C47+(C51*(B4/1000))</f>
        <v>34.146736655468459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B57+(B58*1.979936543)</f>
        <v>13.90930291079</v>
      </c>
      <c r="C63" s="9">
        <f>C57+(C61*(B4/1000))</f>
        <v>33.667940462859278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B67+(B68*1.979936543)</f>
        <v>13.82950354536</v>
      </c>
      <c r="C73" s="9">
        <f>C67+(C71*(B4/1000))</f>
        <v>33.368743001119824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5DF3-69C1-4E4E-9340-9C96C106195F}">
  <dimension ref="A1:G73"/>
  <sheetViews>
    <sheetView workbookViewId="0">
      <selection activeCell="E13" sqref="E13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7.08984375" bestFit="1" customWidth="1"/>
    <col min="6" max="6" width="7.26953125" bestFit="1" customWidth="1"/>
    <col min="7" max="7" width="11.54296875" bestFit="1" customWidth="1"/>
  </cols>
  <sheetData>
    <row r="1" spans="1:7" x14ac:dyDescent="0.35">
      <c r="A1" s="1" t="s">
        <v>12</v>
      </c>
    </row>
    <row r="2" spans="1:7" x14ac:dyDescent="0.35">
      <c r="A2" t="s">
        <v>0</v>
      </c>
      <c r="B2">
        <v>123861000</v>
      </c>
    </row>
    <row r="3" spans="1:7" x14ac:dyDescent="0.35">
      <c r="A3" t="s">
        <v>1</v>
      </c>
      <c r="B3" s="11">
        <v>1338</v>
      </c>
    </row>
    <row r="4" spans="1:7" x14ac:dyDescent="0.35">
      <c r="A4" t="s">
        <v>2</v>
      </c>
      <c r="B4">
        <f>(B2/B3)/12</f>
        <v>7714.3124065769807</v>
      </c>
    </row>
    <row r="6" spans="1:7" x14ac:dyDescent="0.35">
      <c r="A6" s="1" t="s">
        <v>10</v>
      </c>
      <c r="B6" s="1" t="s">
        <v>8</v>
      </c>
      <c r="C6" s="1" t="s">
        <v>9</v>
      </c>
    </row>
    <row r="7" spans="1:7" x14ac:dyDescent="0.35">
      <c r="A7" t="s">
        <v>3</v>
      </c>
      <c r="B7" s="2">
        <v>11.28</v>
      </c>
      <c r="C7" s="2">
        <v>26.72</v>
      </c>
    </row>
    <row r="8" spans="1:7" x14ac:dyDescent="0.35">
      <c r="A8" t="s">
        <v>4</v>
      </c>
      <c r="B8" s="2">
        <v>1.59</v>
      </c>
    </row>
    <row r="9" spans="1:7" x14ac:dyDescent="0.35">
      <c r="A9" t="s">
        <v>5</v>
      </c>
      <c r="B9" s="2">
        <v>2.37</v>
      </c>
    </row>
    <row r="10" spans="1:7" x14ac:dyDescent="0.35">
      <c r="A10" t="s">
        <v>6</v>
      </c>
      <c r="B10" s="2">
        <v>3.96</v>
      </c>
    </row>
    <row r="11" spans="1:7" x14ac:dyDescent="0.35">
      <c r="A11" t="s">
        <v>7</v>
      </c>
      <c r="B11" s="2"/>
      <c r="C11" s="2">
        <v>4.2699999999999996</v>
      </c>
      <c r="E11" s="7" t="s">
        <v>26</v>
      </c>
      <c r="F11" s="7" t="s">
        <v>8</v>
      </c>
      <c r="G11" s="7" t="s">
        <v>9</v>
      </c>
    </row>
    <row r="12" spans="1:7" x14ac:dyDescent="0.35">
      <c r="E12" s="11" t="s">
        <v>3</v>
      </c>
      <c r="F12" s="6">
        <v>-7.0000000000000007E-2</v>
      </c>
      <c r="G12" s="6">
        <v>-0.12</v>
      </c>
    </row>
    <row r="13" spans="1:7" x14ac:dyDescent="0.35">
      <c r="A13" s="1" t="s">
        <v>11</v>
      </c>
      <c r="B13" s="9">
        <f>B7+(B8*4)+(B9*3.714312407)</f>
        <v>26.442920404590001</v>
      </c>
      <c r="C13" s="4">
        <f>C7+(C11*(B4/1000))</f>
        <v>59.6601139760837</v>
      </c>
      <c r="E13" s="11" t="s">
        <v>4</v>
      </c>
      <c r="F13" s="6">
        <v>-0.01</v>
      </c>
      <c r="G13" s="5"/>
    </row>
    <row r="14" spans="1:7" x14ac:dyDescent="0.35">
      <c r="E14" s="11" t="s">
        <v>5</v>
      </c>
      <c r="F14" s="6">
        <v>-0.02</v>
      </c>
      <c r="G14" s="5"/>
    </row>
    <row r="15" spans="1:7" x14ac:dyDescent="0.35">
      <c r="E15" s="11" t="s">
        <v>6</v>
      </c>
      <c r="F15" s="6">
        <v>-0.03</v>
      </c>
      <c r="G15" s="5"/>
    </row>
    <row r="16" spans="1:7" x14ac:dyDescent="0.35">
      <c r="A16" s="7" t="s">
        <v>13</v>
      </c>
      <c r="B16" s="7" t="s">
        <v>8</v>
      </c>
      <c r="C16" s="7" t="s">
        <v>9</v>
      </c>
      <c r="E16" s="11" t="s">
        <v>7</v>
      </c>
      <c r="F16" s="10"/>
      <c r="G16" s="6">
        <v>-0.02</v>
      </c>
    </row>
    <row r="17" spans="1:7" x14ac:dyDescent="0.35">
      <c r="A17" s="11" t="s">
        <v>3</v>
      </c>
      <c r="B17" s="10">
        <v>11.18</v>
      </c>
      <c r="C17" s="10">
        <v>26.54</v>
      </c>
      <c r="E17" s="5"/>
      <c r="F17" s="5"/>
      <c r="G17" s="5"/>
    </row>
    <row r="18" spans="1:7" x14ac:dyDescent="0.35">
      <c r="A18" s="11" t="s">
        <v>4</v>
      </c>
      <c r="B18" s="10">
        <v>1.58</v>
      </c>
      <c r="C18" s="11"/>
      <c r="E18" s="7" t="s">
        <v>27</v>
      </c>
      <c r="F18" s="8">
        <f>F12+(F13*(B4/1000))</f>
        <v>-0.14714312406576982</v>
      </c>
      <c r="G18" s="8">
        <f>G12+(G16*(B4/1000))</f>
        <v>-0.27428624813153962</v>
      </c>
    </row>
    <row r="19" spans="1:7" x14ac:dyDescent="0.35">
      <c r="A19" s="11" t="s">
        <v>5</v>
      </c>
      <c r="B19" s="10">
        <v>2.35</v>
      </c>
      <c r="C19" s="11"/>
    </row>
    <row r="20" spans="1:7" x14ac:dyDescent="0.35">
      <c r="A20" s="11" t="s">
        <v>6</v>
      </c>
      <c r="B20" s="10">
        <v>3.93</v>
      </c>
      <c r="C20" s="11"/>
    </row>
    <row r="21" spans="1:7" x14ac:dyDescent="0.35">
      <c r="A21" s="11" t="s">
        <v>7</v>
      </c>
      <c r="B21" s="6"/>
      <c r="C21" s="10">
        <v>4.24</v>
      </c>
    </row>
    <row r="22" spans="1:7" x14ac:dyDescent="0.35">
      <c r="A22" s="5"/>
      <c r="B22" s="5"/>
      <c r="C22" s="5"/>
    </row>
    <row r="23" spans="1:7" x14ac:dyDescent="0.35">
      <c r="A23" s="7" t="s">
        <v>14</v>
      </c>
      <c r="B23" s="9">
        <f>B17+(B18*4)+(B19*3.714312407)</f>
        <v>26.228634156449999</v>
      </c>
      <c r="C23" s="9">
        <f>C17+(C21*(B4/1000))</f>
        <v>59.248684603886396</v>
      </c>
    </row>
    <row r="26" spans="1:7" x14ac:dyDescent="0.35">
      <c r="A26" s="7" t="s">
        <v>15</v>
      </c>
      <c r="B26" s="7" t="s">
        <v>8</v>
      </c>
      <c r="C26" s="7" t="s">
        <v>9</v>
      </c>
    </row>
    <row r="27" spans="1:7" x14ac:dyDescent="0.35">
      <c r="A27" s="11" t="s">
        <v>3</v>
      </c>
      <c r="B27" s="10">
        <v>11.07</v>
      </c>
      <c r="C27" s="10">
        <v>26.2</v>
      </c>
    </row>
    <row r="28" spans="1:7" x14ac:dyDescent="0.35">
      <c r="A28" s="11" t="s">
        <v>4</v>
      </c>
      <c r="B28" s="10">
        <v>1.56</v>
      </c>
      <c r="C28" s="11"/>
    </row>
    <row r="29" spans="1:7" x14ac:dyDescent="0.35">
      <c r="A29" s="11" t="s">
        <v>5</v>
      </c>
      <c r="B29" s="10">
        <v>2.33</v>
      </c>
      <c r="C29" s="11"/>
    </row>
    <row r="30" spans="1:7" x14ac:dyDescent="0.35">
      <c r="A30" s="11" t="s">
        <v>6</v>
      </c>
      <c r="B30" s="10">
        <v>3.89</v>
      </c>
      <c r="C30" s="11"/>
    </row>
    <row r="31" spans="1:7" x14ac:dyDescent="0.35">
      <c r="A31" s="11" t="s">
        <v>7</v>
      </c>
      <c r="B31" s="6"/>
      <c r="C31" s="10">
        <v>4.1900000000000004</v>
      </c>
    </row>
    <row r="32" spans="1:7" x14ac:dyDescent="0.35">
      <c r="A32" s="5"/>
      <c r="B32" s="5"/>
      <c r="C32" s="5"/>
    </row>
    <row r="33" spans="1:3" x14ac:dyDescent="0.35">
      <c r="A33" s="7" t="s">
        <v>16</v>
      </c>
      <c r="B33" s="9">
        <f>B27+(B28*4)+(B29*3.714312407)</f>
        <v>25.964347908310003</v>
      </c>
      <c r="C33" s="9">
        <f>C27+(C31*(B4/1000))</f>
        <v>58.522968983557547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B37+(B38*4)+(B39*3.714312407)</f>
        <v>25.964347908310003</v>
      </c>
      <c r="C43" s="9">
        <f>C37+(C41*(B4/1000))</f>
        <v>58.807255231689084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B47+(B48*4)+(B49*3.714312407)</f>
        <v>25.70006166017</v>
      </c>
      <c r="C53" s="9">
        <f>C47+(C51*(B4/1000))</f>
        <v>57.944396487294469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B57+(B58*4)+(B59*3.714312407)</f>
        <v>25.505775412029998</v>
      </c>
      <c r="C63" s="9">
        <f>C57+(C61*(B4/1000))</f>
        <v>57.121537742899847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B67+(B68*4)+(B69*3.714312407)</f>
        <v>25.368632287959997</v>
      </c>
      <c r="C73" s="9">
        <f>C67+(C71*(B4/1000))</f>
        <v>56.592965246636773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8B4E-B90C-420D-8A4C-D408460E41E9}">
  <dimension ref="A1:G73"/>
  <sheetViews>
    <sheetView workbookViewId="0">
      <selection activeCell="E6" sqref="E6"/>
    </sheetView>
  </sheetViews>
  <sheetFormatPr defaultRowHeight="14.5" x14ac:dyDescent="0.35"/>
  <cols>
    <col min="1" max="1" width="25" bestFit="1" customWidth="1"/>
    <col min="2" max="2" width="10.81640625" bestFit="1" customWidth="1"/>
    <col min="3" max="3" width="11.54296875" bestFit="1" customWidth="1"/>
    <col min="5" max="5" width="40.08984375" bestFit="1" customWidth="1"/>
    <col min="6" max="6" width="7.81640625" customWidth="1"/>
    <col min="7" max="7" width="11.54296875" bestFit="1" customWidth="1"/>
  </cols>
  <sheetData>
    <row r="1" spans="1:7" x14ac:dyDescent="0.35">
      <c r="A1" s="1" t="s">
        <v>12</v>
      </c>
      <c r="E1" s="1" t="s">
        <v>31</v>
      </c>
      <c r="F1" s="1" t="s">
        <v>8</v>
      </c>
      <c r="G1" s="1"/>
    </row>
    <row r="2" spans="1:7" x14ac:dyDescent="0.35">
      <c r="A2" t="s">
        <v>0</v>
      </c>
      <c r="B2" s="11">
        <v>56235000</v>
      </c>
      <c r="E2" t="s">
        <v>3</v>
      </c>
      <c r="F2" s="2">
        <v>0.44</v>
      </c>
      <c r="G2" s="6"/>
    </row>
    <row r="3" spans="1:7" x14ac:dyDescent="0.35">
      <c r="A3" t="s">
        <v>1</v>
      </c>
      <c r="B3" s="11">
        <v>1589</v>
      </c>
      <c r="E3" t="s">
        <v>4</v>
      </c>
      <c r="F3" s="2">
        <v>0.31</v>
      </c>
    </row>
    <row r="4" spans="1:7" x14ac:dyDescent="0.35">
      <c r="A4" t="s">
        <v>2</v>
      </c>
      <c r="B4" s="11">
        <f>(B2/B3)/12</f>
        <v>2949.1818753933294</v>
      </c>
      <c r="E4" t="s">
        <v>5</v>
      </c>
      <c r="F4" s="2">
        <v>0.47</v>
      </c>
    </row>
    <row r="5" spans="1:7" x14ac:dyDescent="0.35">
      <c r="E5" t="s">
        <v>6</v>
      </c>
      <c r="F5" s="2">
        <v>0.78</v>
      </c>
    </row>
    <row r="6" spans="1:7" x14ac:dyDescent="0.35">
      <c r="A6" s="1" t="s">
        <v>10</v>
      </c>
      <c r="B6" s="1" t="s">
        <v>8</v>
      </c>
      <c r="C6" s="1" t="s">
        <v>9</v>
      </c>
      <c r="D6" s="1"/>
      <c r="F6" s="2"/>
      <c r="G6" s="6"/>
    </row>
    <row r="7" spans="1:7" x14ac:dyDescent="0.35">
      <c r="A7" t="s">
        <v>3</v>
      </c>
      <c r="B7" s="2">
        <v>11.28</v>
      </c>
      <c r="C7" s="2">
        <v>26.72</v>
      </c>
    </row>
    <row r="8" spans="1:7" x14ac:dyDescent="0.35">
      <c r="A8" t="s">
        <v>4</v>
      </c>
      <c r="B8" s="2">
        <v>1.59</v>
      </c>
      <c r="E8" s="1" t="s">
        <v>25</v>
      </c>
      <c r="F8" s="3">
        <f>F2+(F3*(B4/1000))</f>
        <v>1.3542463813719321</v>
      </c>
    </row>
    <row r="9" spans="1:7" x14ac:dyDescent="0.35">
      <c r="A9" t="s">
        <v>5</v>
      </c>
      <c r="B9" s="2">
        <v>2.37</v>
      </c>
    </row>
    <row r="10" spans="1:7" x14ac:dyDescent="0.35">
      <c r="A10" t="s">
        <v>6</v>
      </c>
      <c r="B10" s="2">
        <v>3.96</v>
      </c>
    </row>
    <row r="11" spans="1:7" x14ac:dyDescent="0.35">
      <c r="A11" t="s">
        <v>7</v>
      </c>
      <c r="B11" s="2"/>
      <c r="C11" s="2">
        <v>4.2699999999999996</v>
      </c>
      <c r="E11" s="7" t="s">
        <v>26</v>
      </c>
      <c r="F11" s="7" t="s">
        <v>8</v>
      </c>
      <c r="G11" s="7" t="s">
        <v>9</v>
      </c>
    </row>
    <row r="12" spans="1:7" x14ac:dyDescent="0.35">
      <c r="E12" s="11" t="s">
        <v>3</v>
      </c>
      <c r="F12" s="6">
        <v>-0.04</v>
      </c>
      <c r="G12" s="6">
        <v>-0.22</v>
      </c>
    </row>
    <row r="13" spans="1:7" x14ac:dyDescent="0.35">
      <c r="A13" s="1" t="s">
        <v>11</v>
      </c>
      <c r="B13" s="4">
        <f>B7+(B8*2.94918188)</f>
        <v>15.969199189199999</v>
      </c>
      <c r="C13" s="4">
        <f>C7+(C11*(B4/1000))</f>
        <v>39.313006607929509</v>
      </c>
      <c r="E13" s="11" t="s">
        <v>4</v>
      </c>
      <c r="F13" s="6">
        <v>-0.03</v>
      </c>
      <c r="G13" s="5"/>
    </row>
    <row r="14" spans="1:7" x14ac:dyDescent="0.35">
      <c r="E14" s="11" t="s">
        <v>5</v>
      </c>
      <c r="F14" s="6">
        <v>-0.05</v>
      </c>
      <c r="G14" s="5"/>
    </row>
    <row r="15" spans="1:7" x14ac:dyDescent="0.35">
      <c r="E15" s="11" t="s">
        <v>6</v>
      </c>
      <c r="F15" s="6">
        <v>-0.08</v>
      </c>
      <c r="G15" s="5"/>
    </row>
    <row r="16" spans="1:7" x14ac:dyDescent="0.35">
      <c r="A16" s="7" t="s">
        <v>13</v>
      </c>
      <c r="B16" s="7" t="s">
        <v>8</v>
      </c>
      <c r="C16" s="7" t="s">
        <v>9</v>
      </c>
      <c r="E16" s="11" t="s">
        <v>7</v>
      </c>
      <c r="F16" s="10"/>
      <c r="G16" s="6">
        <v>-0.09</v>
      </c>
    </row>
    <row r="17" spans="1:7" x14ac:dyDescent="0.35">
      <c r="A17" s="11" t="s">
        <v>3</v>
      </c>
      <c r="B17" s="10">
        <v>11.18</v>
      </c>
      <c r="C17" s="10">
        <v>26.54</v>
      </c>
      <c r="E17" s="5"/>
      <c r="F17" s="5"/>
      <c r="G17" s="5"/>
    </row>
    <row r="18" spans="1:7" x14ac:dyDescent="0.35">
      <c r="A18" s="11" t="s">
        <v>4</v>
      </c>
      <c r="B18" s="10">
        <v>1.58</v>
      </c>
      <c r="C18" s="11"/>
      <c r="E18" s="7" t="s">
        <v>27</v>
      </c>
      <c r="F18" s="8">
        <f>F12+(F13*(B4/1000))</f>
        <v>-0.12847545626179988</v>
      </c>
      <c r="G18" s="8">
        <f>G12+(G16*(B4/1000))</f>
        <v>-0.48542636878539958</v>
      </c>
    </row>
    <row r="19" spans="1:7" x14ac:dyDescent="0.35">
      <c r="A19" s="11" t="s">
        <v>5</v>
      </c>
      <c r="B19" s="10">
        <v>2.35</v>
      </c>
      <c r="C19" s="11"/>
    </row>
    <row r="20" spans="1:7" x14ac:dyDescent="0.35">
      <c r="A20" s="11" t="s">
        <v>6</v>
      </c>
      <c r="B20" s="10">
        <v>3.93</v>
      </c>
      <c r="C20" s="11"/>
    </row>
    <row r="21" spans="1:7" x14ac:dyDescent="0.35">
      <c r="A21" s="11" t="s">
        <v>7</v>
      </c>
      <c r="B21" s="6"/>
      <c r="C21" s="10">
        <v>4.24</v>
      </c>
    </row>
    <row r="22" spans="1:7" x14ac:dyDescent="0.35">
      <c r="A22" s="5"/>
      <c r="B22" s="5"/>
      <c r="C22" s="5"/>
    </row>
    <row r="23" spans="1:7" x14ac:dyDescent="0.35">
      <c r="A23" s="7" t="s">
        <v>14</v>
      </c>
      <c r="B23" s="9">
        <f>B17+(B18*2.94918188)</f>
        <v>15.839707370399999</v>
      </c>
      <c r="C23" s="9">
        <f>C17+(C21*(B4/1000))</f>
        <v>39.044531151667712</v>
      </c>
    </row>
    <row r="26" spans="1:7" x14ac:dyDescent="0.35">
      <c r="A26" s="7" t="s">
        <v>15</v>
      </c>
      <c r="B26" s="7" t="s">
        <v>8</v>
      </c>
      <c r="C26" s="7" t="s">
        <v>9</v>
      </c>
    </row>
    <row r="27" spans="1:7" x14ac:dyDescent="0.35">
      <c r="A27" s="11" t="s">
        <v>3</v>
      </c>
      <c r="B27" s="10">
        <v>11.07</v>
      </c>
      <c r="C27" s="10">
        <v>26.2</v>
      </c>
    </row>
    <row r="28" spans="1:7" x14ac:dyDescent="0.35">
      <c r="A28" s="11" t="s">
        <v>4</v>
      </c>
      <c r="B28" s="10">
        <v>1.56</v>
      </c>
      <c r="C28" s="11"/>
    </row>
    <row r="29" spans="1:7" x14ac:dyDescent="0.35">
      <c r="A29" s="11" t="s">
        <v>5</v>
      </c>
      <c r="B29" s="10">
        <v>2.33</v>
      </c>
      <c r="C29" s="11"/>
    </row>
    <row r="30" spans="1:7" x14ac:dyDescent="0.35">
      <c r="A30" s="11" t="s">
        <v>6</v>
      </c>
      <c r="B30" s="10">
        <v>3.89</v>
      </c>
      <c r="C30" s="11"/>
    </row>
    <row r="31" spans="1:7" x14ac:dyDescent="0.35">
      <c r="A31" s="11" t="s">
        <v>7</v>
      </c>
      <c r="B31" s="6"/>
      <c r="C31" s="10">
        <v>4.1900000000000004</v>
      </c>
    </row>
    <row r="32" spans="1:7" x14ac:dyDescent="0.35">
      <c r="A32" s="5"/>
      <c r="B32" s="5"/>
      <c r="C32" s="5"/>
    </row>
    <row r="33" spans="1:3" x14ac:dyDescent="0.35">
      <c r="A33" s="7" t="s">
        <v>16</v>
      </c>
      <c r="B33" s="9">
        <f>B27+(B28*2.94918188)</f>
        <v>15.670723732799999</v>
      </c>
      <c r="C33" s="9">
        <f>C27+(C31*(B4/1000))</f>
        <v>38.557072057898054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B37+(B38*2.94918188)</f>
        <v>15.670723732799999</v>
      </c>
      <c r="C43" s="9">
        <f>C37+(C41*(B4/1000))</f>
        <v>38.746055695405914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B47+(B48*2.94918188)</f>
        <v>15.501740095200001</v>
      </c>
      <c r="C53" s="9">
        <f>C47+(C51*(B4/1000))</f>
        <v>38.169104782882314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B57+(B58*2.94918188)</f>
        <v>15.3922482764</v>
      </c>
      <c r="C63" s="9">
        <f>C57+(C61*(B4/1000))</f>
        <v>37.632153870358714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B67+(B68*2.94918188)</f>
        <v>15.302756457600001</v>
      </c>
      <c r="C73" s="9">
        <f>C67+(C71*(B4/1000))</f>
        <v>37.294186595342985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DECE-5DB6-4EDE-809E-C72E0EE61AA1}">
  <dimension ref="A1:B52"/>
  <sheetViews>
    <sheetView workbookViewId="0">
      <selection activeCell="C5" sqref="C5"/>
    </sheetView>
  </sheetViews>
  <sheetFormatPr defaultRowHeight="14.5" x14ac:dyDescent="0.35"/>
  <cols>
    <col min="1" max="1" width="25" bestFit="1" customWidth="1"/>
    <col min="2" max="2" width="11.5429687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117038000</v>
      </c>
    </row>
    <row r="3" spans="1:2" x14ac:dyDescent="0.35">
      <c r="A3" t="s">
        <v>1</v>
      </c>
      <c r="B3" s="11">
        <v>969</v>
      </c>
    </row>
    <row r="4" spans="1:2" x14ac:dyDescent="0.35">
      <c r="A4" t="s">
        <v>2</v>
      </c>
      <c r="B4">
        <f>(B2/B3)/12</f>
        <v>10065.187478500173</v>
      </c>
    </row>
    <row r="6" spans="1:2" x14ac:dyDescent="0.35">
      <c r="A6" s="1" t="s">
        <v>10</v>
      </c>
      <c r="B6" s="1" t="s">
        <v>9</v>
      </c>
    </row>
    <row r="7" spans="1:2" x14ac:dyDescent="0.35">
      <c r="A7" t="s">
        <v>3</v>
      </c>
      <c r="B7" s="2">
        <v>26.72</v>
      </c>
    </row>
    <row r="8" spans="1:2" x14ac:dyDescent="0.35">
      <c r="A8" t="s">
        <v>7</v>
      </c>
      <c r="B8" s="2">
        <v>4.2699999999999996</v>
      </c>
    </row>
    <row r="10" spans="1:2" x14ac:dyDescent="0.35">
      <c r="A10" s="1" t="s">
        <v>11</v>
      </c>
      <c r="B10" s="4">
        <f>B7+(B8*(8000/1000))</f>
        <v>60.879999999999995</v>
      </c>
    </row>
    <row r="13" spans="1:2" x14ac:dyDescent="0.35">
      <c r="A13" s="7" t="s">
        <v>13</v>
      </c>
      <c r="B13" s="7" t="s">
        <v>9</v>
      </c>
    </row>
    <row r="14" spans="1:2" x14ac:dyDescent="0.35">
      <c r="A14" s="11" t="s">
        <v>3</v>
      </c>
      <c r="B14" s="10">
        <v>26.54</v>
      </c>
    </row>
    <row r="15" spans="1:2" x14ac:dyDescent="0.35">
      <c r="A15" s="11" t="s">
        <v>7</v>
      </c>
      <c r="B15" s="10">
        <v>4.24</v>
      </c>
    </row>
    <row r="16" spans="1:2" x14ac:dyDescent="0.35">
      <c r="A16" s="5"/>
      <c r="B16" s="5"/>
    </row>
    <row r="17" spans="1:2" x14ac:dyDescent="0.35">
      <c r="A17" s="7" t="s">
        <v>14</v>
      </c>
      <c r="B17" s="9">
        <f>B14+(B15*(8000/1000))</f>
        <v>60.46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B21+(B22*(8000/1000))</f>
        <v>59.72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B28+(B29*(8000/1000))</f>
        <v>60.01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B35+(B36*(8000/1000))</f>
        <v>59.13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B42+(B43*(8000/1000))</f>
        <v>58.29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B49+(B50*(8000/1000))</f>
        <v>57.75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F893-7790-44C2-AFFF-0E6A751F2C91}">
  <dimension ref="A1:B52"/>
  <sheetViews>
    <sheetView workbookViewId="0">
      <selection activeCell="E12" sqref="E12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73874000</v>
      </c>
    </row>
    <row r="3" spans="1:2" x14ac:dyDescent="0.35">
      <c r="A3" t="s">
        <v>1</v>
      </c>
      <c r="B3" s="11">
        <v>773</v>
      </c>
    </row>
    <row r="4" spans="1:2" x14ac:dyDescent="0.35">
      <c r="A4" t="s">
        <v>2</v>
      </c>
      <c r="B4">
        <f>(B2/B3)/12</f>
        <v>7963.9931004743421</v>
      </c>
    </row>
    <row r="6" spans="1:2" x14ac:dyDescent="0.35">
      <c r="A6" s="1" t="s">
        <v>10</v>
      </c>
      <c r="B6" s="1" t="s">
        <v>9</v>
      </c>
    </row>
    <row r="7" spans="1:2" x14ac:dyDescent="0.35">
      <c r="A7" t="s">
        <v>3</v>
      </c>
      <c r="B7" s="2">
        <v>26.72</v>
      </c>
    </row>
    <row r="8" spans="1:2" x14ac:dyDescent="0.35">
      <c r="A8" t="s">
        <v>7</v>
      </c>
      <c r="B8" s="2">
        <v>4.2699999999999996</v>
      </c>
    </row>
    <row r="10" spans="1:2" x14ac:dyDescent="0.35">
      <c r="A10" s="1" t="s">
        <v>11</v>
      </c>
      <c r="B10" s="4">
        <f>B7+(B8*(B4/1000))</f>
        <v>60.726250539025436</v>
      </c>
    </row>
    <row r="13" spans="1:2" x14ac:dyDescent="0.35">
      <c r="A13" s="7" t="s">
        <v>13</v>
      </c>
      <c r="B13" s="7" t="s">
        <v>9</v>
      </c>
    </row>
    <row r="14" spans="1:2" x14ac:dyDescent="0.35">
      <c r="A14" s="11" t="s">
        <v>3</v>
      </c>
      <c r="B14" s="10">
        <v>26.54</v>
      </c>
    </row>
    <row r="15" spans="1:2" x14ac:dyDescent="0.35">
      <c r="A15" s="11" t="s">
        <v>7</v>
      </c>
      <c r="B15" s="10">
        <v>4.24</v>
      </c>
    </row>
    <row r="16" spans="1:2" x14ac:dyDescent="0.35">
      <c r="A16" s="5"/>
      <c r="B16" s="5"/>
    </row>
    <row r="17" spans="1:2" x14ac:dyDescent="0.35">
      <c r="A17" s="7" t="s">
        <v>14</v>
      </c>
      <c r="B17" s="9">
        <f>B14+(B15*(B4/1000))</f>
        <v>60.30733074601121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59.569131090987497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59.858410952996977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58.980571366968519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58.142731780940061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57.604172056921087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5B19-CB04-4C1B-B75B-1EDD497FB14B}">
  <dimension ref="A1:B52"/>
  <sheetViews>
    <sheetView workbookViewId="0">
      <selection activeCell="A3" sqref="A3"/>
    </sheetView>
  </sheetViews>
  <sheetFormatPr defaultRowHeight="14.5" x14ac:dyDescent="0.35"/>
  <cols>
    <col min="1" max="1" width="25" bestFit="1" customWidth="1"/>
    <col min="2" max="2" width="11.5429687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19981000</v>
      </c>
    </row>
    <row r="3" spans="1:2" x14ac:dyDescent="0.35">
      <c r="A3" t="s">
        <v>1</v>
      </c>
      <c r="B3" s="11">
        <v>905</v>
      </c>
    </row>
    <row r="4" spans="1:2" x14ac:dyDescent="0.35">
      <c r="A4" t="s">
        <v>2</v>
      </c>
      <c r="B4">
        <f>(B2/B3)/12</f>
        <v>1839.8710865561695</v>
      </c>
    </row>
    <row r="6" spans="1:2" x14ac:dyDescent="0.35">
      <c r="A6" s="1" t="s">
        <v>10</v>
      </c>
      <c r="B6" s="1" t="s">
        <v>9</v>
      </c>
    </row>
    <row r="7" spans="1:2" x14ac:dyDescent="0.35">
      <c r="A7" t="s">
        <v>3</v>
      </c>
      <c r="B7" s="2">
        <v>26.72</v>
      </c>
    </row>
    <row r="8" spans="1:2" x14ac:dyDescent="0.35">
      <c r="A8" t="s">
        <v>7</v>
      </c>
      <c r="B8" s="2">
        <v>4.2699999999999996</v>
      </c>
    </row>
    <row r="10" spans="1:2" x14ac:dyDescent="0.35">
      <c r="A10" s="1" t="s">
        <v>11</v>
      </c>
      <c r="B10" s="4">
        <f>B7+(B8*(B4/1000))</f>
        <v>34.576249539594841</v>
      </c>
    </row>
    <row r="13" spans="1:2" x14ac:dyDescent="0.35">
      <c r="A13" s="7" t="s">
        <v>13</v>
      </c>
      <c r="B13" s="7" t="s">
        <v>9</v>
      </c>
    </row>
    <row r="14" spans="1:2" x14ac:dyDescent="0.35">
      <c r="A14" s="11" t="s">
        <v>3</v>
      </c>
      <c r="B14" s="10">
        <v>26.54</v>
      </c>
    </row>
    <row r="15" spans="1:2" x14ac:dyDescent="0.35">
      <c r="A15" s="11" t="s">
        <v>7</v>
      </c>
      <c r="B15" s="10">
        <v>4.24</v>
      </c>
    </row>
    <row r="16" spans="1:2" x14ac:dyDescent="0.35">
      <c r="A16" s="5"/>
      <c r="B16" s="5"/>
    </row>
    <row r="17" spans="1:2" x14ac:dyDescent="0.35">
      <c r="A17" s="7" t="s">
        <v>14</v>
      </c>
      <c r="B17" s="9">
        <f>B14+(B15*(B4/1000))</f>
        <v>34.341053406998157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33.909059852670353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34.075857274401471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33.565465009208104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33.095072744014736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32.801477900552484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B349-73C3-41EA-99C9-C39BCE59A203}">
  <dimension ref="A1:F52"/>
  <sheetViews>
    <sheetView workbookViewId="0">
      <selection activeCell="F15" sqref="F15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7.08984375" bestFit="1" customWidth="1"/>
    <col min="6" max="6" width="11.08984375" bestFit="1" customWidth="1"/>
  </cols>
  <sheetData>
    <row r="1" spans="1:6" x14ac:dyDescent="0.35">
      <c r="A1" s="1" t="s">
        <v>12</v>
      </c>
    </row>
    <row r="2" spans="1:6" x14ac:dyDescent="0.35">
      <c r="A2" t="s">
        <v>0</v>
      </c>
      <c r="B2" s="11">
        <v>329241000</v>
      </c>
    </row>
    <row r="3" spans="1:6" x14ac:dyDescent="0.35">
      <c r="A3" t="s">
        <v>1</v>
      </c>
      <c r="B3" s="11">
        <v>2082</v>
      </c>
    </row>
    <row r="4" spans="1:6" x14ac:dyDescent="0.35">
      <c r="A4" t="s">
        <v>2</v>
      </c>
      <c r="B4">
        <f>(B2/B3)/12</f>
        <v>13178.073967339098</v>
      </c>
    </row>
    <row r="6" spans="1:6" x14ac:dyDescent="0.35">
      <c r="A6" s="1" t="s">
        <v>10</v>
      </c>
      <c r="B6" s="1" t="s">
        <v>9</v>
      </c>
    </row>
    <row r="7" spans="1:6" x14ac:dyDescent="0.35">
      <c r="A7" t="s">
        <v>3</v>
      </c>
      <c r="B7" s="2">
        <v>26.72</v>
      </c>
    </row>
    <row r="8" spans="1:6" x14ac:dyDescent="0.35">
      <c r="A8" t="s">
        <v>7</v>
      </c>
      <c r="B8" s="2">
        <v>4.2699999999999996</v>
      </c>
    </row>
    <row r="10" spans="1:6" x14ac:dyDescent="0.35">
      <c r="A10" s="1" t="s">
        <v>11</v>
      </c>
      <c r="B10" s="4">
        <f>B7+(B8*(8000/1000))</f>
        <v>60.879999999999995</v>
      </c>
    </row>
    <row r="11" spans="1:6" x14ac:dyDescent="0.35">
      <c r="E11" s="7" t="s">
        <v>26</v>
      </c>
      <c r="F11" s="7" t="s">
        <v>35</v>
      </c>
    </row>
    <row r="12" spans="1:6" x14ac:dyDescent="0.35">
      <c r="E12" s="11" t="s">
        <v>3</v>
      </c>
      <c r="F12" s="6">
        <v>-0.62</v>
      </c>
    </row>
    <row r="13" spans="1:6" x14ac:dyDescent="0.35">
      <c r="A13" s="7" t="s">
        <v>13</v>
      </c>
      <c r="B13" s="7" t="s">
        <v>9</v>
      </c>
      <c r="E13" s="11" t="s">
        <v>7</v>
      </c>
      <c r="F13" s="6">
        <v>-0.02</v>
      </c>
    </row>
    <row r="14" spans="1:6" x14ac:dyDescent="0.35">
      <c r="A14" s="11" t="s">
        <v>3</v>
      </c>
      <c r="B14" s="10">
        <v>26.54</v>
      </c>
      <c r="E14" s="5"/>
      <c r="F14" s="5"/>
    </row>
    <row r="15" spans="1:6" x14ac:dyDescent="0.35">
      <c r="A15" s="11" t="s">
        <v>7</v>
      </c>
      <c r="B15" s="10">
        <v>4.24</v>
      </c>
      <c r="E15" s="7" t="s">
        <v>27</v>
      </c>
      <c r="F15" s="8">
        <f>F12+(F13*(B4/1000))</f>
        <v>-0.88356147934678197</v>
      </c>
    </row>
    <row r="16" spans="1:6" x14ac:dyDescent="0.35">
      <c r="A16" s="5"/>
      <c r="B16" s="5"/>
    </row>
    <row r="17" spans="1:2" x14ac:dyDescent="0.35">
      <c r="A17" s="7" t="s">
        <v>14</v>
      </c>
      <c r="B17" s="9">
        <f>B14+(B15*(8000/1000))</f>
        <v>60.46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B21+(B22*(8000/1000))</f>
        <v>59.72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B28+(B29*(8000/1000))</f>
        <v>60.01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B35+(B36*(8000/1000))</f>
        <v>59.13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B42+(B43*(8000/1000))</f>
        <v>58.29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B49+(B50*(8000/1000))</f>
        <v>57.75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9218-9EE8-4D26-A0DE-CD59386628F3}">
  <dimension ref="A1:B52"/>
  <sheetViews>
    <sheetView workbookViewId="0">
      <selection activeCell="D8" sqref="D8"/>
    </sheetView>
  </sheetViews>
  <sheetFormatPr defaultRowHeight="14.5" x14ac:dyDescent="0.35"/>
  <cols>
    <col min="1" max="1" width="25" bestFit="1" customWidth="1"/>
    <col min="2" max="2" width="11.8164062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199663000</v>
      </c>
    </row>
    <row r="3" spans="1:2" x14ac:dyDescent="0.35">
      <c r="A3" t="s">
        <v>1</v>
      </c>
      <c r="B3" s="11">
        <v>4140</v>
      </c>
    </row>
    <row r="4" spans="1:2" x14ac:dyDescent="0.35">
      <c r="A4" t="s">
        <v>2</v>
      </c>
      <c r="B4">
        <f>(B2/B3)/12</f>
        <v>4018.9814814814818</v>
      </c>
    </row>
    <row r="6" spans="1:2" x14ac:dyDescent="0.35">
      <c r="A6" s="1" t="s">
        <v>10</v>
      </c>
      <c r="B6" s="1" t="s">
        <v>9</v>
      </c>
    </row>
    <row r="7" spans="1:2" x14ac:dyDescent="0.35">
      <c r="A7" t="s">
        <v>3</v>
      </c>
      <c r="B7" s="2">
        <v>26.72</v>
      </c>
    </row>
    <row r="8" spans="1:2" x14ac:dyDescent="0.35">
      <c r="A8" t="s">
        <v>7</v>
      </c>
      <c r="B8" s="2">
        <v>4.2699999999999996</v>
      </c>
    </row>
    <row r="10" spans="1:2" x14ac:dyDescent="0.35">
      <c r="A10" s="1" t="s">
        <v>11</v>
      </c>
      <c r="B10" s="4">
        <f>B7+(B8*(B4/1000))</f>
        <v>43.881050925925919</v>
      </c>
    </row>
    <row r="13" spans="1:2" x14ac:dyDescent="0.35">
      <c r="A13" s="7" t="s">
        <v>13</v>
      </c>
      <c r="B13" s="7" t="s">
        <v>9</v>
      </c>
    </row>
    <row r="14" spans="1:2" x14ac:dyDescent="0.35">
      <c r="A14" s="11" t="s">
        <v>3</v>
      </c>
      <c r="B14" s="10">
        <v>26.54</v>
      </c>
    </row>
    <row r="15" spans="1:2" x14ac:dyDescent="0.35">
      <c r="A15" s="11" t="s">
        <v>7</v>
      </c>
      <c r="B15" s="10">
        <v>4.24</v>
      </c>
    </row>
    <row r="16" spans="1:2" x14ac:dyDescent="0.35">
      <c r="A16" s="5"/>
      <c r="B16" s="5"/>
    </row>
    <row r="17" spans="1:2" x14ac:dyDescent="0.35">
      <c r="A17" s="7" t="s">
        <v>14</v>
      </c>
      <c r="B17" s="9">
        <f>B14+(B15*(B4/1000))</f>
        <v>43.580481481481485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43.039532407407407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43.249912037037035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42.608773148148146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42.007634259259262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41.626874999999998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04E5-2CA0-44CB-BA37-4CFE544E0731}">
  <dimension ref="A1:B52"/>
  <sheetViews>
    <sheetView workbookViewId="0">
      <selection activeCell="E14" sqref="E14"/>
    </sheetView>
  </sheetViews>
  <sheetFormatPr defaultRowHeight="14.5" x14ac:dyDescent="0.35"/>
  <cols>
    <col min="1" max="1" width="25" bestFit="1" customWidth="1"/>
    <col min="2" max="2" width="11.8164062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8487000</v>
      </c>
    </row>
    <row r="3" spans="1:2" x14ac:dyDescent="0.35">
      <c r="A3" t="s">
        <v>1</v>
      </c>
      <c r="B3" s="11">
        <v>148</v>
      </c>
    </row>
    <row r="4" spans="1:2" x14ac:dyDescent="0.35">
      <c r="A4" t="s">
        <v>2</v>
      </c>
      <c r="B4">
        <f>(B2/B3)/12</f>
        <v>4778.7162162162158</v>
      </c>
    </row>
    <row r="6" spans="1:2" x14ac:dyDescent="0.35">
      <c r="A6" s="1" t="s">
        <v>10</v>
      </c>
      <c r="B6" s="1" t="s">
        <v>9</v>
      </c>
    </row>
    <row r="7" spans="1:2" x14ac:dyDescent="0.35">
      <c r="A7" t="s">
        <v>3</v>
      </c>
      <c r="B7" s="2">
        <v>26.72</v>
      </c>
    </row>
    <row r="8" spans="1:2" x14ac:dyDescent="0.35">
      <c r="A8" t="s">
        <v>7</v>
      </c>
      <c r="B8" s="2">
        <v>4.2699999999999996</v>
      </c>
    </row>
    <row r="10" spans="1:2" x14ac:dyDescent="0.35">
      <c r="A10" s="1" t="s">
        <v>11</v>
      </c>
      <c r="B10" s="4">
        <f>B7+(B8*(B4/1000))</f>
        <v>47.125118243243236</v>
      </c>
    </row>
    <row r="13" spans="1:2" x14ac:dyDescent="0.35">
      <c r="A13" s="7" t="s">
        <v>13</v>
      </c>
      <c r="B13" s="7" t="s">
        <v>9</v>
      </c>
    </row>
    <row r="14" spans="1:2" x14ac:dyDescent="0.35">
      <c r="A14" s="11" t="s">
        <v>3</v>
      </c>
      <c r="B14" s="10">
        <v>26.54</v>
      </c>
    </row>
    <row r="15" spans="1:2" x14ac:dyDescent="0.35">
      <c r="A15" s="11" t="s">
        <v>7</v>
      </c>
      <c r="B15" s="10">
        <v>4.24</v>
      </c>
    </row>
    <row r="16" spans="1:2" x14ac:dyDescent="0.35">
      <c r="A16" s="5"/>
      <c r="B16" s="5"/>
    </row>
    <row r="17" spans="1:2" x14ac:dyDescent="0.35">
      <c r="A17" s="7" t="s">
        <v>14</v>
      </c>
      <c r="B17" s="9">
        <f>B14+(B15*(B4/1000))</f>
        <v>46.80175675675676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46.222820945945941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46.448395270270268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45.761672297297295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45.114949324324321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44.703800675675673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56EC-6341-4652-83EC-AD31E11099F1}">
  <dimension ref="A1:F52"/>
  <sheetViews>
    <sheetView workbookViewId="0">
      <selection activeCell="E9" sqref="E9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7265625" bestFit="1" customWidth="1"/>
    <col min="6" max="6" width="11.08984375" bestFit="1" customWidth="1"/>
  </cols>
  <sheetData>
    <row r="1" spans="1:6" x14ac:dyDescent="0.35">
      <c r="A1" s="1" t="s">
        <v>12</v>
      </c>
      <c r="E1" s="1" t="s">
        <v>28</v>
      </c>
      <c r="F1" s="1" t="s">
        <v>35</v>
      </c>
    </row>
    <row r="2" spans="1:6" x14ac:dyDescent="0.35">
      <c r="A2" t="s">
        <v>0</v>
      </c>
      <c r="B2" s="11">
        <v>20187000</v>
      </c>
      <c r="E2" t="s">
        <v>3</v>
      </c>
      <c r="F2">
        <v>0.59</v>
      </c>
    </row>
    <row r="3" spans="1:6" x14ac:dyDescent="0.35">
      <c r="A3" t="s">
        <v>1</v>
      </c>
      <c r="B3" s="11">
        <v>239</v>
      </c>
      <c r="E3" s="1" t="s">
        <v>36</v>
      </c>
      <c r="F3">
        <v>0.14000000000000001</v>
      </c>
    </row>
    <row r="4" spans="1:6" x14ac:dyDescent="0.35">
      <c r="A4" t="s">
        <v>2</v>
      </c>
      <c r="B4">
        <f>(B2/B3)/12</f>
        <v>7038.7029288702934</v>
      </c>
    </row>
    <row r="5" spans="1:6" x14ac:dyDescent="0.35">
      <c r="E5" s="1" t="s">
        <v>25</v>
      </c>
      <c r="F5" s="3">
        <f>F2+(F3*(B4/1000))</f>
        <v>1.5754184100418411</v>
      </c>
    </row>
    <row r="6" spans="1:6" x14ac:dyDescent="0.35">
      <c r="A6" s="1" t="s">
        <v>10</v>
      </c>
      <c r="B6" s="1" t="s">
        <v>9</v>
      </c>
    </row>
    <row r="7" spans="1:6" x14ac:dyDescent="0.35">
      <c r="A7" t="s">
        <v>3</v>
      </c>
      <c r="B7" s="2">
        <v>26.72</v>
      </c>
    </row>
    <row r="8" spans="1:6" x14ac:dyDescent="0.35">
      <c r="A8" t="s">
        <v>7</v>
      </c>
      <c r="B8" s="2">
        <v>4.2699999999999996</v>
      </c>
    </row>
    <row r="10" spans="1:6" x14ac:dyDescent="0.35">
      <c r="A10" s="1" t="s">
        <v>11</v>
      </c>
      <c r="B10" s="4">
        <f>B7+(B8*(B4/1000))</f>
        <v>56.775261506276152</v>
      </c>
    </row>
    <row r="13" spans="1:6" x14ac:dyDescent="0.35">
      <c r="A13" s="7" t="s">
        <v>13</v>
      </c>
      <c r="B13" s="7" t="s">
        <v>9</v>
      </c>
    </row>
    <row r="14" spans="1:6" x14ac:dyDescent="0.35">
      <c r="A14" s="11" t="s">
        <v>3</v>
      </c>
      <c r="B14" s="10">
        <v>26.54</v>
      </c>
    </row>
    <row r="15" spans="1:6" x14ac:dyDescent="0.35">
      <c r="A15" s="11" t="s">
        <v>7</v>
      </c>
      <c r="B15" s="10">
        <v>4.24</v>
      </c>
    </row>
    <row r="16" spans="1:6" x14ac:dyDescent="0.35">
      <c r="A16" s="5"/>
      <c r="B16" s="5"/>
    </row>
    <row r="17" spans="1:2" x14ac:dyDescent="0.35">
      <c r="A17" s="7" t="s">
        <v>14</v>
      </c>
      <c r="B17" s="9">
        <f>B14+(B15*(B4/1000))</f>
        <v>56.384100418410043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55.69216527196653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55.962939330543932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55.140617154811721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54.358294979079503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53.856746861924691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99F2-6291-4E7A-9E0B-4A71EF330B8C}">
  <dimension ref="A1:F52"/>
  <sheetViews>
    <sheetView workbookViewId="0">
      <selection activeCell="E8" sqref="E8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7265625" bestFit="1" customWidth="1"/>
    <col min="6" max="6" width="11.08984375" bestFit="1" customWidth="1"/>
  </cols>
  <sheetData>
    <row r="1" spans="1:6" x14ac:dyDescent="0.35">
      <c r="A1" s="1" t="s">
        <v>12</v>
      </c>
      <c r="E1" s="1" t="s">
        <v>37</v>
      </c>
      <c r="F1" s="1" t="s">
        <v>35</v>
      </c>
    </row>
    <row r="2" spans="1:6" x14ac:dyDescent="0.35">
      <c r="A2" t="s">
        <v>0</v>
      </c>
      <c r="B2" s="11">
        <v>40480000</v>
      </c>
      <c r="E2" t="s">
        <v>3</v>
      </c>
      <c r="F2">
        <v>1.19</v>
      </c>
    </row>
    <row r="3" spans="1:6" x14ac:dyDescent="0.35">
      <c r="A3" t="s">
        <v>1</v>
      </c>
      <c r="B3" s="11">
        <v>876</v>
      </c>
      <c r="E3" s="1" t="s">
        <v>36</v>
      </c>
      <c r="F3">
        <v>0.43</v>
      </c>
    </row>
    <row r="4" spans="1:6" x14ac:dyDescent="0.35">
      <c r="A4" t="s">
        <v>2</v>
      </c>
      <c r="B4">
        <f>(B2/B3)/12</f>
        <v>3850.8371385083715</v>
      </c>
    </row>
    <row r="5" spans="1:6" x14ac:dyDescent="0.35">
      <c r="E5" s="1" t="s">
        <v>25</v>
      </c>
      <c r="F5" s="3">
        <f>F2+(F3*(B4/1000))</f>
        <v>2.8458599695585995</v>
      </c>
    </row>
    <row r="6" spans="1:6" x14ac:dyDescent="0.35">
      <c r="A6" s="1" t="s">
        <v>10</v>
      </c>
      <c r="B6" s="1" t="s">
        <v>9</v>
      </c>
    </row>
    <row r="7" spans="1:6" x14ac:dyDescent="0.35">
      <c r="A7" t="s">
        <v>3</v>
      </c>
      <c r="B7" s="2">
        <v>26.72</v>
      </c>
    </row>
    <row r="8" spans="1:6" x14ac:dyDescent="0.35">
      <c r="A8" t="s">
        <v>7</v>
      </c>
      <c r="B8" s="2">
        <v>4.2699999999999996</v>
      </c>
    </row>
    <row r="10" spans="1:6" x14ac:dyDescent="0.35">
      <c r="A10" s="1" t="s">
        <v>11</v>
      </c>
      <c r="B10" s="4">
        <f>B7+(B8*(B4/1000))</f>
        <v>43.163074581430742</v>
      </c>
    </row>
    <row r="13" spans="1:6" x14ac:dyDescent="0.35">
      <c r="A13" s="7" t="s">
        <v>13</v>
      </c>
      <c r="B13" s="7" t="s">
        <v>9</v>
      </c>
    </row>
    <row r="14" spans="1:6" x14ac:dyDescent="0.35">
      <c r="A14" s="11" t="s">
        <v>3</v>
      </c>
      <c r="B14" s="10">
        <v>26.54</v>
      </c>
    </row>
    <row r="15" spans="1:6" x14ac:dyDescent="0.35">
      <c r="A15" s="11" t="s">
        <v>7</v>
      </c>
      <c r="B15" s="10">
        <v>4.24</v>
      </c>
    </row>
    <row r="16" spans="1:6" x14ac:dyDescent="0.35">
      <c r="A16" s="5"/>
      <c r="B16" s="5"/>
    </row>
    <row r="17" spans="1:2" x14ac:dyDescent="0.35">
      <c r="A17" s="7" t="s">
        <v>14</v>
      </c>
      <c r="B17" s="9">
        <f>B14+(B15*(B4/1000))</f>
        <v>42.867549467275495</v>
      </c>
    </row>
    <row r="20" spans="1:2" x14ac:dyDescent="0.35">
      <c r="A20" s="7" t="s">
        <v>15</v>
      </c>
      <c r="B20" s="7" t="s">
        <v>9</v>
      </c>
    </row>
    <row r="21" spans="1:2" x14ac:dyDescent="0.35">
      <c r="A21" s="11" t="s">
        <v>3</v>
      </c>
      <c r="B21" s="10">
        <v>26.2</v>
      </c>
    </row>
    <row r="22" spans="1:2" x14ac:dyDescent="0.35">
      <c r="A22" s="11" t="s">
        <v>7</v>
      </c>
      <c r="B22" s="10">
        <v>4.1900000000000004</v>
      </c>
    </row>
    <row r="23" spans="1:2" x14ac:dyDescent="0.35">
      <c r="A23" s="5"/>
      <c r="B23" s="5"/>
    </row>
    <row r="24" spans="1:2" x14ac:dyDescent="0.35">
      <c r="A24" s="7" t="s">
        <v>16</v>
      </c>
      <c r="B24" s="9">
        <f>B21+(B22*(B4/1000))</f>
        <v>42.335007610350075</v>
      </c>
    </row>
    <row r="27" spans="1:2" x14ac:dyDescent="0.35">
      <c r="A27" s="7" t="s">
        <v>17</v>
      </c>
      <c r="B27" s="7" t="s">
        <v>9</v>
      </c>
    </row>
    <row r="28" spans="1:2" x14ac:dyDescent="0.35">
      <c r="A28" s="11" t="s">
        <v>3</v>
      </c>
      <c r="B28" s="10">
        <v>26.33</v>
      </c>
    </row>
    <row r="29" spans="1:2" x14ac:dyDescent="0.35">
      <c r="A29" s="11" t="s">
        <v>7</v>
      </c>
      <c r="B29" s="10">
        <v>4.21</v>
      </c>
    </row>
    <row r="30" spans="1:2" x14ac:dyDescent="0.35">
      <c r="A30" s="5"/>
      <c r="B30" s="5"/>
    </row>
    <row r="31" spans="1:2" x14ac:dyDescent="0.35">
      <c r="A31" s="7" t="s">
        <v>18</v>
      </c>
      <c r="B31" s="9">
        <f>B28+(B29*(B4/1000))</f>
        <v>42.54202435312024</v>
      </c>
    </row>
    <row r="34" spans="1:2" x14ac:dyDescent="0.35">
      <c r="A34" s="7" t="s">
        <v>19</v>
      </c>
      <c r="B34" s="7" t="s">
        <v>9</v>
      </c>
    </row>
    <row r="35" spans="1:2" x14ac:dyDescent="0.35">
      <c r="A35" s="11" t="s">
        <v>3</v>
      </c>
      <c r="B35" s="10">
        <v>25.93</v>
      </c>
    </row>
    <row r="36" spans="1:2" x14ac:dyDescent="0.35">
      <c r="A36" s="11" t="s">
        <v>7</v>
      </c>
      <c r="B36" s="10">
        <v>4.1500000000000004</v>
      </c>
    </row>
    <row r="37" spans="1:2" x14ac:dyDescent="0.35">
      <c r="A37" s="5"/>
      <c r="B37" s="5"/>
    </row>
    <row r="38" spans="1:2" x14ac:dyDescent="0.35">
      <c r="A38" s="7" t="s">
        <v>20</v>
      </c>
      <c r="B38" s="9">
        <f>B35+(B36*(B4/1000))</f>
        <v>41.910974124809741</v>
      </c>
    </row>
    <row r="41" spans="1:2" x14ac:dyDescent="0.35">
      <c r="A41" s="7" t="s">
        <v>21</v>
      </c>
      <c r="B41" s="7" t="s">
        <v>9</v>
      </c>
    </row>
    <row r="42" spans="1:2" x14ac:dyDescent="0.35">
      <c r="A42" s="11" t="s">
        <v>3</v>
      </c>
      <c r="B42" s="10">
        <v>25.57</v>
      </c>
    </row>
    <row r="43" spans="1:2" x14ac:dyDescent="0.35">
      <c r="A43" s="11" t="s">
        <v>7</v>
      </c>
      <c r="B43" s="10">
        <v>4.09</v>
      </c>
    </row>
    <row r="44" spans="1:2" x14ac:dyDescent="0.35">
      <c r="A44" s="5"/>
      <c r="B44" s="5"/>
    </row>
    <row r="45" spans="1:2" x14ac:dyDescent="0.35">
      <c r="A45" s="7" t="s">
        <v>22</v>
      </c>
      <c r="B45" s="9">
        <f>B42+(B43*(B4/1000))</f>
        <v>41.31992389649924</v>
      </c>
    </row>
    <row r="48" spans="1:2" x14ac:dyDescent="0.35">
      <c r="A48" s="7" t="s">
        <v>23</v>
      </c>
      <c r="B48" s="7" t="s">
        <v>9</v>
      </c>
    </row>
    <row r="49" spans="1:2" x14ac:dyDescent="0.35">
      <c r="A49" s="11" t="s">
        <v>3</v>
      </c>
      <c r="B49" s="10">
        <v>25.35</v>
      </c>
    </row>
    <row r="50" spans="1:2" x14ac:dyDescent="0.35">
      <c r="A50" s="11" t="s">
        <v>7</v>
      </c>
      <c r="B50" s="10">
        <v>4.05</v>
      </c>
    </row>
    <row r="51" spans="1:2" x14ac:dyDescent="0.35">
      <c r="A51" s="5"/>
      <c r="B51" s="5"/>
    </row>
    <row r="52" spans="1:2" x14ac:dyDescent="0.35">
      <c r="A52" s="7" t="s">
        <v>24</v>
      </c>
      <c r="B52" s="9">
        <f>B49+(B50*(B4/1000))</f>
        <v>40.945890410958903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260E-2522-4AEB-8A76-D6EA9C3B26A4}">
  <dimension ref="A1:B73"/>
  <sheetViews>
    <sheetView workbookViewId="0">
      <selection activeCell="D12" sqref="D12"/>
    </sheetView>
  </sheetViews>
  <sheetFormatPr defaultRowHeight="14.5" x14ac:dyDescent="0.35"/>
  <cols>
    <col min="1" max="1" width="25" bestFit="1" customWidth="1"/>
    <col min="2" max="2" width="11.81640625" bestFit="1" customWidth="1"/>
  </cols>
  <sheetData>
    <row r="1" spans="1:2" x14ac:dyDescent="0.35">
      <c r="A1" s="1" t="s">
        <v>12</v>
      </c>
    </row>
    <row r="2" spans="1:2" x14ac:dyDescent="0.35">
      <c r="A2" t="s">
        <v>0</v>
      </c>
      <c r="B2" s="11">
        <v>1541659000</v>
      </c>
    </row>
    <row r="3" spans="1:2" x14ac:dyDescent="0.35">
      <c r="A3" t="s">
        <v>1</v>
      </c>
      <c r="B3" s="11">
        <f>10902</f>
        <v>10902</v>
      </c>
    </row>
    <row r="4" spans="1:2" x14ac:dyDescent="0.35">
      <c r="A4" t="s">
        <v>2</v>
      </c>
      <c r="B4" s="11">
        <f>(B2/B3)/12</f>
        <v>11784.22154956277</v>
      </c>
    </row>
    <row r="6" spans="1:2" x14ac:dyDescent="0.35">
      <c r="A6" s="1" t="s">
        <v>10</v>
      </c>
      <c r="B6" s="1" t="s">
        <v>8</v>
      </c>
    </row>
    <row r="7" spans="1:2" x14ac:dyDescent="0.35">
      <c r="A7" t="s">
        <v>3</v>
      </c>
      <c r="B7" s="2">
        <v>11.28</v>
      </c>
    </row>
    <row r="8" spans="1:2" x14ac:dyDescent="0.35">
      <c r="A8" t="s">
        <v>4</v>
      </c>
      <c r="B8" s="2">
        <v>1.59</v>
      </c>
    </row>
    <row r="9" spans="1:2" x14ac:dyDescent="0.35">
      <c r="A9" t="s">
        <v>5</v>
      </c>
      <c r="B9" s="2">
        <v>2.37</v>
      </c>
    </row>
    <row r="10" spans="1:2" x14ac:dyDescent="0.35">
      <c r="A10" t="s">
        <v>6</v>
      </c>
      <c r="B10" s="2">
        <v>3.96</v>
      </c>
    </row>
    <row r="11" spans="1:2" x14ac:dyDescent="0.35">
      <c r="A11" t="s">
        <v>7</v>
      </c>
      <c r="B11" s="2"/>
    </row>
    <row r="13" spans="1:2" x14ac:dyDescent="0.35">
      <c r="A13" s="1" t="s">
        <v>11</v>
      </c>
      <c r="B13" s="4">
        <f>B7+(B8*4)+(B9*7.78422155)</f>
        <v>36.088605073500005</v>
      </c>
    </row>
    <row r="16" spans="1:2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B17+(B18*4)+(B19*7.78422155)</f>
        <v>35.7929206425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B27+(B28*4)+(B29*7.78422155)</f>
        <v>35.447236211499998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B37+(B38*4)+(B39*7.78422155)</f>
        <v>35.447236211499998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B47+(B48*4)+(B49*7.78422155)</f>
        <v>35.101551780500003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B57+(B58*4)+(B59*7.78422155)</f>
        <v>34.825867349500001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B67+(B68*4)+(B69*7.78422155)</f>
        <v>34.648025133999994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58D1-629E-454D-8124-A37756E1EEF9}">
  <dimension ref="A1:F73"/>
  <sheetViews>
    <sheetView workbookViewId="0">
      <selection activeCell="E2" sqref="E2"/>
    </sheetView>
  </sheetViews>
  <sheetFormatPr defaultRowHeight="14.5" x14ac:dyDescent="0.35"/>
  <cols>
    <col min="1" max="1" width="25" bestFit="1" customWidth="1"/>
    <col min="2" max="2" width="10.81640625" bestFit="1" customWidth="1"/>
    <col min="3" max="3" width="11.54296875" bestFit="1" customWidth="1"/>
    <col min="5" max="5" width="29.6328125" bestFit="1" customWidth="1"/>
    <col min="6" max="6" width="6.6328125" bestFit="1" customWidth="1"/>
  </cols>
  <sheetData>
    <row r="1" spans="1:6" x14ac:dyDescent="0.35">
      <c r="A1" s="1" t="s">
        <v>12</v>
      </c>
      <c r="E1" s="1" t="s">
        <v>32</v>
      </c>
      <c r="F1" s="1" t="s">
        <v>8</v>
      </c>
    </row>
    <row r="2" spans="1:6" x14ac:dyDescent="0.35">
      <c r="A2" t="s">
        <v>0</v>
      </c>
      <c r="B2">
        <v>42597000</v>
      </c>
      <c r="E2" t="s">
        <v>3</v>
      </c>
      <c r="F2" s="2">
        <v>0.06</v>
      </c>
    </row>
    <row r="3" spans="1:6" x14ac:dyDescent="0.35">
      <c r="A3" t="s">
        <v>1</v>
      </c>
      <c r="B3" s="11">
        <v>504</v>
      </c>
      <c r="E3" t="s">
        <v>4</v>
      </c>
      <c r="F3" s="2">
        <v>0.02</v>
      </c>
    </row>
    <row r="4" spans="1:6" x14ac:dyDescent="0.35">
      <c r="A4" t="s">
        <v>2</v>
      </c>
      <c r="B4">
        <f>(B2/B3)/12</f>
        <v>7043.1547619047624</v>
      </c>
      <c r="E4" t="s">
        <v>5</v>
      </c>
      <c r="F4" s="2">
        <v>0.03</v>
      </c>
    </row>
    <row r="5" spans="1:6" x14ac:dyDescent="0.35">
      <c r="E5" t="s">
        <v>6</v>
      </c>
      <c r="F5" s="2">
        <v>0.05</v>
      </c>
    </row>
    <row r="6" spans="1:6" x14ac:dyDescent="0.35">
      <c r="A6" s="1" t="s">
        <v>10</v>
      </c>
      <c r="B6" s="1" t="s">
        <v>8</v>
      </c>
      <c r="C6" s="1" t="s">
        <v>9</v>
      </c>
      <c r="D6" s="1"/>
    </row>
    <row r="7" spans="1:6" x14ac:dyDescent="0.35">
      <c r="A7" t="s">
        <v>3</v>
      </c>
      <c r="B7" s="2">
        <v>11.28</v>
      </c>
      <c r="C7" s="2">
        <v>26.72</v>
      </c>
    </row>
    <row r="8" spans="1:6" x14ac:dyDescent="0.35">
      <c r="A8" t="s">
        <v>4</v>
      </c>
      <c r="B8" s="2">
        <v>1.59</v>
      </c>
      <c r="E8" s="1" t="s">
        <v>25</v>
      </c>
      <c r="F8" s="12">
        <f>F2+(F3*(4000/1000))+(F4*(3043.15476/1000))</f>
        <v>0.23129464280000001</v>
      </c>
    </row>
    <row r="9" spans="1:6" x14ac:dyDescent="0.35">
      <c r="A9" t="s">
        <v>5</v>
      </c>
      <c r="B9" s="2">
        <v>2.37</v>
      </c>
    </row>
    <row r="10" spans="1:6" x14ac:dyDescent="0.35">
      <c r="A10" t="s">
        <v>6</v>
      </c>
      <c r="B10" s="2">
        <v>3.96</v>
      </c>
    </row>
    <row r="11" spans="1:6" x14ac:dyDescent="0.35">
      <c r="A11" t="s">
        <v>7</v>
      </c>
      <c r="B11" s="2"/>
      <c r="C11" s="2">
        <v>4.2699999999999996</v>
      </c>
    </row>
    <row r="13" spans="1:6" x14ac:dyDescent="0.35">
      <c r="A13" s="1" t="s">
        <v>11</v>
      </c>
      <c r="B13" s="9">
        <f>B7+(B8*4)+(B9*3.04315476)</f>
        <v>24.8522767812</v>
      </c>
      <c r="C13" s="4">
        <f>C7+(C11*(B4/1000))</f>
        <v>56.794270833333329</v>
      </c>
    </row>
    <row r="16" spans="1:6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B17+(B18*4)+(B19*3.04315476)</f>
        <v>24.651413686000001</v>
      </c>
      <c r="C23" s="9">
        <f>C17+(C21*(B4/1000))</f>
        <v>56.402976190476195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B27+(B28*4)+(B29*3.04315476)</f>
        <v>24.400550590800002</v>
      </c>
      <c r="C33" s="9">
        <f>C27+(C31*(B4/1000))</f>
        <v>55.710818452380963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B37+(B38*4)+(B39*3.04315476)</f>
        <v>24.400550590800002</v>
      </c>
      <c r="C43" s="9">
        <f>C37+(C41*(B4/1000))</f>
        <v>55.981681547619047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B47+(B48*4)+(B49*3.04315476)</f>
        <v>24.149687495600002</v>
      </c>
      <c r="C53" s="9">
        <f>C47+(C51*(B4/1000))</f>
        <v>55.159092261904767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B57+(B58*4)+(B59*3.04315476)</f>
        <v>23.968824400400003</v>
      </c>
      <c r="C63" s="9">
        <f>C57+(C61*(B4/1000))</f>
        <v>54.37650297619048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B67+(B68*4)+(B69*3.04315476)</f>
        <v>23.838392852799998</v>
      </c>
      <c r="C73" s="9">
        <f>C67+(C71*(B4/1000))</f>
        <v>53.874776785714289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9682-CC14-4F8D-83DC-1E02AED21DB9}">
  <dimension ref="A1:F73"/>
  <sheetViews>
    <sheetView workbookViewId="0">
      <selection activeCell="E2" sqref="E2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7.26953125" bestFit="1" customWidth="1"/>
  </cols>
  <sheetData>
    <row r="1" spans="1:6" x14ac:dyDescent="0.35">
      <c r="A1" s="1" t="s">
        <v>12</v>
      </c>
      <c r="E1" s="1" t="s">
        <v>28</v>
      </c>
      <c r="F1" s="1" t="s">
        <v>8</v>
      </c>
    </row>
    <row r="2" spans="1:6" x14ac:dyDescent="0.35">
      <c r="A2" t="s">
        <v>0</v>
      </c>
      <c r="B2">
        <v>20260000</v>
      </c>
      <c r="E2" t="s">
        <v>3</v>
      </c>
      <c r="F2" s="2">
        <v>0.4</v>
      </c>
    </row>
    <row r="3" spans="1:6" x14ac:dyDescent="0.35">
      <c r="A3" t="s">
        <v>1</v>
      </c>
      <c r="B3" s="11">
        <v>280</v>
      </c>
      <c r="E3" t="s">
        <v>4</v>
      </c>
      <c r="F3" s="2">
        <v>0.1</v>
      </c>
    </row>
    <row r="4" spans="1:6" x14ac:dyDescent="0.35">
      <c r="A4" t="s">
        <v>2</v>
      </c>
      <c r="B4">
        <f>(B2/B3)/12</f>
        <v>6029.7619047619046</v>
      </c>
      <c r="E4" t="s">
        <v>5</v>
      </c>
      <c r="F4" s="2">
        <v>0.15</v>
      </c>
    </row>
    <row r="5" spans="1:6" x14ac:dyDescent="0.35">
      <c r="E5" t="s">
        <v>6</v>
      </c>
      <c r="F5" s="2">
        <v>0.25</v>
      </c>
    </row>
    <row r="6" spans="1:6" x14ac:dyDescent="0.35">
      <c r="A6" s="1" t="s">
        <v>10</v>
      </c>
      <c r="B6" s="1" t="s">
        <v>8</v>
      </c>
    </row>
    <row r="7" spans="1:6" x14ac:dyDescent="0.35">
      <c r="A7" t="s">
        <v>3</v>
      </c>
      <c r="B7" s="2">
        <v>11.28</v>
      </c>
    </row>
    <row r="8" spans="1:6" x14ac:dyDescent="0.35">
      <c r="A8" t="s">
        <v>4</v>
      </c>
      <c r="B8" s="2">
        <v>1.59</v>
      </c>
      <c r="E8" s="1" t="s">
        <v>25</v>
      </c>
      <c r="F8" s="12">
        <f>F2+(F3*4)+((B4-4000)/1000)*F4</f>
        <v>1.1044642857142857</v>
      </c>
    </row>
    <row r="9" spans="1:6" x14ac:dyDescent="0.35">
      <c r="A9" t="s">
        <v>5</v>
      </c>
      <c r="B9" s="2">
        <v>2.37</v>
      </c>
    </row>
    <row r="10" spans="1:6" x14ac:dyDescent="0.35">
      <c r="A10" t="s">
        <v>6</v>
      </c>
      <c r="B10" s="2">
        <v>3.96</v>
      </c>
    </row>
    <row r="11" spans="1:6" x14ac:dyDescent="0.35">
      <c r="A11" t="s">
        <v>7</v>
      </c>
      <c r="B11" s="2"/>
    </row>
    <row r="13" spans="1:6" x14ac:dyDescent="0.35">
      <c r="A13" s="1" t="s">
        <v>11</v>
      </c>
      <c r="B13" s="9">
        <f>B7+(B8*4)+(B9*2.029761905)</f>
        <v>22.450535714850002</v>
      </c>
    </row>
    <row r="16" spans="1:6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B17+(B18*4)+(B19*2.029761905)</f>
        <v>22.269940476750001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B27+(B28*4)+(B29*2.029761905)</f>
        <v>22.03934523865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B37+(B38*4)+(B39*2.029761905)</f>
        <v>22.03934523865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B47+(B48*4)+(B49*2.029761905)</f>
        <v>21.808750000549999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B57+(B58*4)+(B59*2.029761905)</f>
        <v>21.648154762449998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B67+(B68*4)+(B69*2.029761905)</f>
        <v>21.527857143399999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E03B-E2E3-46C4-B67E-596AB252F6C6}">
  <dimension ref="A1:F73"/>
  <sheetViews>
    <sheetView workbookViewId="0">
      <selection activeCell="E6" sqref="E6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6.6328125" bestFit="1" customWidth="1"/>
  </cols>
  <sheetData>
    <row r="1" spans="1:6" x14ac:dyDescent="0.35">
      <c r="A1" s="1" t="s">
        <v>12</v>
      </c>
      <c r="E1" s="1" t="s">
        <v>28</v>
      </c>
      <c r="F1" s="1" t="s">
        <v>8</v>
      </c>
    </row>
    <row r="2" spans="1:6" x14ac:dyDescent="0.35">
      <c r="A2" t="s">
        <v>0</v>
      </c>
      <c r="B2">
        <v>3828000</v>
      </c>
      <c r="E2" t="s">
        <v>3</v>
      </c>
      <c r="F2" s="2">
        <v>0.4</v>
      </c>
    </row>
    <row r="3" spans="1:6" x14ac:dyDescent="0.35">
      <c r="A3" t="s">
        <v>1</v>
      </c>
      <c r="B3" s="11">
        <v>46</v>
      </c>
      <c r="E3" t="s">
        <v>4</v>
      </c>
      <c r="F3" s="2">
        <v>0.1</v>
      </c>
    </row>
    <row r="4" spans="1:6" x14ac:dyDescent="0.35">
      <c r="A4" t="s">
        <v>2</v>
      </c>
      <c r="B4">
        <f>(B2/B3)/12</f>
        <v>6934.782608695652</v>
      </c>
      <c r="E4" t="s">
        <v>5</v>
      </c>
      <c r="F4" s="2">
        <v>0.15</v>
      </c>
    </row>
    <row r="5" spans="1:6" x14ac:dyDescent="0.35">
      <c r="E5" t="s">
        <v>6</v>
      </c>
      <c r="F5" s="2">
        <v>0.25</v>
      </c>
    </row>
    <row r="6" spans="1:6" x14ac:dyDescent="0.35">
      <c r="A6" s="1" t="s">
        <v>10</v>
      </c>
      <c r="B6" s="1" t="s">
        <v>8</v>
      </c>
      <c r="E6" s="7"/>
    </row>
    <row r="7" spans="1:6" x14ac:dyDescent="0.35">
      <c r="A7" t="s">
        <v>3</v>
      </c>
      <c r="B7" s="2">
        <v>11.28</v>
      </c>
    </row>
    <row r="8" spans="1:6" x14ac:dyDescent="0.35">
      <c r="A8" t="s">
        <v>4</v>
      </c>
      <c r="B8" s="2">
        <v>1.59</v>
      </c>
      <c r="E8" s="1" t="s">
        <v>25</v>
      </c>
      <c r="F8" s="12">
        <f>F2+(F3*4)+((B4-4000)/1000)*F4</f>
        <v>1.2402173913043479</v>
      </c>
    </row>
    <row r="9" spans="1:6" x14ac:dyDescent="0.35">
      <c r="A9" t="s">
        <v>5</v>
      </c>
      <c r="B9" s="2">
        <v>2.37</v>
      </c>
    </row>
    <row r="10" spans="1:6" x14ac:dyDescent="0.35">
      <c r="A10" t="s">
        <v>6</v>
      </c>
      <c r="B10" s="2">
        <v>3.96</v>
      </c>
    </row>
    <row r="11" spans="1:6" x14ac:dyDescent="0.35">
      <c r="A11" t="s">
        <v>7</v>
      </c>
      <c r="B11" s="2"/>
    </row>
    <row r="13" spans="1:6" x14ac:dyDescent="0.35">
      <c r="A13" s="1" t="s">
        <v>11</v>
      </c>
      <c r="B13" s="9">
        <f>B7+(B8*4)+(B9*2.934782609)</f>
        <v>24.595434783329999</v>
      </c>
    </row>
    <row r="16" spans="1:6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B17+(B18*4)+(B19*2.934782609)</f>
        <v>24.396739131149999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B27+(B28*4)+(B29*2.934782609)</f>
        <v>24.148043478970003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B37+(B38*4)+(B39*2.934782609)</f>
        <v>24.148043478970003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B47+(B48*4)+(B49*2.934782609)</f>
        <v>23.899347826790002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B57+(B58*4)+(B59*2.934782609)</f>
        <v>23.720652174609999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B67+(B68*4)+(B69*2.934782609)</f>
        <v>23.591304348519998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4C78-CCD2-4CC0-B431-99D8113D1ED1}">
  <dimension ref="A1:J73"/>
  <sheetViews>
    <sheetView workbookViewId="0">
      <selection activeCell="E6" sqref="E6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9.81640625" bestFit="1" customWidth="1"/>
    <col min="6" max="6" width="6.6328125" bestFit="1" customWidth="1"/>
    <col min="9" max="9" width="29.81640625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29</v>
      </c>
      <c r="J1" s="1" t="s">
        <v>8</v>
      </c>
    </row>
    <row r="2" spans="1:10" x14ac:dyDescent="0.35">
      <c r="A2" t="s">
        <v>0</v>
      </c>
      <c r="B2">
        <v>72913000</v>
      </c>
      <c r="E2" t="s">
        <v>3</v>
      </c>
      <c r="F2" s="2">
        <v>0.41</v>
      </c>
      <c r="G2">
        <v>0.52</v>
      </c>
      <c r="I2" t="s">
        <v>3</v>
      </c>
      <c r="J2" s="2">
        <v>0.06</v>
      </c>
    </row>
    <row r="3" spans="1:10" x14ac:dyDescent="0.35">
      <c r="A3" t="s">
        <v>1</v>
      </c>
      <c r="B3" s="11">
        <v>1798</v>
      </c>
      <c r="E3" t="s">
        <v>4</v>
      </c>
      <c r="F3" s="2">
        <v>0.27</v>
      </c>
      <c r="I3" t="s">
        <v>4</v>
      </c>
      <c r="J3" s="2">
        <v>0.04</v>
      </c>
    </row>
    <row r="4" spans="1:10" x14ac:dyDescent="0.35">
      <c r="A4" t="s">
        <v>2</v>
      </c>
      <c r="B4">
        <f>(B2/B3)/12</f>
        <v>3379.3566926214312</v>
      </c>
      <c r="E4" t="s">
        <v>5</v>
      </c>
      <c r="F4" s="2">
        <v>0.41</v>
      </c>
      <c r="I4" t="s">
        <v>5</v>
      </c>
      <c r="J4" s="2">
        <v>0.06</v>
      </c>
    </row>
    <row r="5" spans="1:10" x14ac:dyDescent="0.35">
      <c r="E5" t="s">
        <v>6</v>
      </c>
      <c r="F5" s="2">
        <v>0.68</v>
      </c>
      <c r="I5" t="s">
        <v>6</v>
      </c>
      <c r="J5" s="2">
        <v>0.1</v>
      </c>
    </row>
    <row r="6" spans="1:10" x14ac:dyDescent="0.35">
      <c r="A6" s="1" t="s">
        <v>10</v>
      </c>
      <c r="B6" s="1" t="s">
        <v>8</v>
      </c>
      <c r="C6" s="1" t="s">
        <v>9</v>
      </c>
      <c r="E6" s="1" t="s">
        <v>36</v>
      </c>
      <c r="F6" s="2"/>
      <c r="G6">
        <v>0.28000000000000003</v>
      </c>
      <c r="J6" s="2"/>
    </row>
    <row r="7" spans="1:10" x14ac:dyDescent="0.35">
      <c r="A7" t="s">
        <v>3</v>
      </c>
      <c r="B7" s="2">
        <v>11.28</v>
      </c>
      <c r="C7" s="2">
        <v>26.72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F2+(F3*(B4/1000))</f>
        <v>1.3224263070077864</v>
      </c>
      <c r="G8" s="3">
        <f>G2+(G6*(B4/1000))</f>
        <v>1.4662198739340009</v>
      </c>
      <c r="I8" s="1" t="s">
        <v>25</v>
      </c>
      <c r="J8" s="3">
        <f>J2+(J3*(B4/1000))</f>
        <v>0.19517426770485727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  <c r="C11" s="2">
        <v>4.2699999999999996</v>
      </c>
    </row>
    <row r="13" spans="1:10" x14ac:dyDescent="0.35">
      <c r="A13" s="1" t="s">
        <v>11</v>
      </c>
      <c r="B13" s="9">
        <f>B7+(B8*3.379356693)</f>
        <v>16.65317714187</v>
      </c>
      <c r="C13" s="4">
        <f>C7+(C11*(B4/1000))</f>
        <v>41.149853077493511</v>
      </c>
    </row>
    <row r="16" spans="1:10" x14ac:dyDescent="0.35">
      <c r="A16" s="7" t="s">
        <v>13</v>
      </c>
      <c r="B16" s="7" t="s">
        <v>8</v>
      </c>
      <c r="C16" s="7" t="s">
        <v>9</v>
      </c>
    </row>
    <row r="17" spans="1:3" x14ac:dyDescent="0.35">
      <c r="A17" s="11" t="s">
        <v>3</v>
      </c>
      <c r="B17" s="10">
        <v>11.18</v>
      </c>
      <c r="C17" s="10">
        <v>26.54</v>
      </c>
    </row>
    <row r="18" spans="1:3" x14ac:dyDescent="0.35">
      <c r="A18" s="11" t="s">
        <v>4</v>
      </c>
      <c r="B18" s="10">
        <v>1.58</v>
      </c>
      <c r="C18" s="11"/>
    </row>
    <row r="19" spans="1:3" x14ac:dyDescent="0.35">
      <c r="A19" s="11" t="s">
        <v>5</v>
      </c>
      <c r="B19" s="10">
        <v>2.35</v>
      </c>
      <c r="C19" s="11"/>
    </row>
    <row r="20" spans="1:3" x14ac:dyDescent="0.35">
      <c r="A20" s="11" t="s">
        <v>6</v>
      </c>
      <c r="B20" s="10">
        <v>3.93</v>
      </c>
      <c r="C20" s="11"/>
    </row>
    <row r="21" spans="1:3" x14ac:dyDescent="0.35">
      <c r="A21" s="11" t="s">
        <v>7</v>
      </c>
      <c r="B21" s="6"/>
      <c r="C21" s="10">
        <v>4.24</v>
      </c>
    </row>
    <row r="22" spans="1:3" x14ac:dyDescent="0.35">
      <c r="A22" s="5"/>
      <c r="B22" s="5"/>
      <c r="C22" s="5"/>
    </row>
    <row r="23" spans="1:3" x14ac:dyDescent="0.35">
      <c r="A23" s="7" t="s">
        <v>14</v>
      </c>
      <c r="B23" s="9">
        <f>B17+(B18*3.379356693)</f>
        <v>16.519383574940001</v>
      </c>
      <c r="C23" s="9">
        <f>C17+(C21*(B4/1000))</f>
        <v>40.86847237671487</v>
      </c>
    </row>
    <row r="26" spans="1:3" x14ac:dyDescent="0.35">
      <c r="A26" s="7" t="s">
        <v>15</v>
      </c>
      <c r="B26" s="7" t="s">
        <v>8</v>
      </c>
      <c r="C26" s="7" t="s">
        <v>9</v>
      </c>
    </row>
    <row r="27" spans="1:3" x14ac:dyDescent="0.35">
      <c r="A27" s="11" t="s">
        <v>3</v>
      </c>
      <c r="B27" s="10">
        <v>11.07</v>
      </c>
      <c r="C27" s="10">
        <v>26.2</v>
      </c>
    </row>
    <row r="28" spans="1:3" x14ac:dyDescent="0.35">
      <c r="A28" s="11" t="s">
        <v>4</v>
      </c>
      <c r="B28" s="10">
        <v>1.56</v>
      </c>
      <c r="C28" s="11"/>
    </row>
    <row r="29" spans="1:3" x14ac:dyDescent="0.35">
      <c r="A29" s="11" t="s">
        <v>5</v>
      </c>
      <c r="B29" s="10">
        <v>2.33</v>
      </c>
      <c r="C29" s="11"/>
    </row>
    <row r="30" spans="1:3" x14ac:dyDescent="0.35">
      <c r="A30" s="11" t="s">
        <v>6</v>
      </c>
      <c r="B30" s="10">
        <v>3.89</v>
      </c>
      <c r="C30" s="11"/>
    </row>
    <row r="31" spans="1:3" x14ac:dyDescent="0.35">
      <c r="A31" s="11" t="s">
        <v>7</v>
      </c>
      <c r="B31" s="6"/>
      <c r="C31" s="10">
        <v>4.1900000000000004</v>
      </c>
    </row>
    <row r="32" spans="1:3" x14ac:dyDescent="0.35">
      <c r="A32" s="5"/>
      <c r="B32" s="5"/>
      <c r="C32" s="5"/>
    </row>
    <row r="33" spans="1:3" x14ac:dyDescent="0.35">
      <c r="A33" s="7" t="s">
        <v>16</v>
      </c>
      <c r="B33" s="9">
        <f>B27+(B28*3.379356693)</f>
        <v>16.34179644108</v>
      </c>
      <c r="C33" s="9">
        <f>C27+(C31*(B4/1000))</f>
        <v>40.359504542083798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B37+(B38*3.379356693)</f>
        <v>16.34179644108</v>
      </c>
      <c r="C43" s="9">
        <f>C37+(C41*(B4/1000))</f>
        <v>40.557091675936221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B47+(B48*3.379356693)</f>
        <v>16.164209307220002</v>
      </c>
      <c r="C53" s="9">
        <f>C47+(C51*(B4/1000))</f>
        <v>39.95433027437894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B57+(B58*3.379356693)</f>
        <v>16.050415740289999</v>
      </c>
      <c r="C63" s="9">
        <f>C57+(C61*(B4/1000))</f>
        <v>39.391568872821651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B67+(B68*3.379356693)</f>
        <v>15.95662217336</v>
      </c>
      <c r="C73" s="9">
        <f>C67+(C71*(B4/1000))</f>
        <v>39.036394605116797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46AC-2E51-46B9-8F54-DBA31E6A4116}">
  <dimension ref="A1:J73"/>
  <sheetViews>
    <sheetView workbookViewId="0">
      <selection activeCell="H12" sqref="H12"/>
    </sheetView>
  </sheetViews>
  <sheetFormatPr defaultRowHeight="14.5" x14ac:dyDescent="0.35"/>
  <cols>
    <col min="1" max="1" width="25" bestFit="1" customWidth="1"/>
    <col min="2" max="2" width="11.81640625" bestFit="1" customWidth="1"/>
    <col min="3" max="3" width="11.54296875" bestFit="1" customWidth="1"/>
    <col min="5" max="5" width="29.81640625" bestFit="1" customWidth="1"/>
    <col min="7" max="7" width="11.54296875" bestFit="1" customWidth="1"/>
    <col min="9" max="9" width="29" bestFit="1" customWidth="1"/>
    <col min="10" max="10" width="6.6328125" bestFit="1" customWidth="1"/>
  </cols>
  <sheetData>
    <row r="1" spans="1:10" x14ac:dyDescent="0.35">
      <c r="A1" s="1" t="s">
        <v>12</v>
      </c>
      <c r="E1" s="1" t="s">
        <v>28</v>
      </c>
      <c r="F1" s="1" t="s">
        <v>8</v>
      </c>
      <c r="G1" s="1" t="s">
        <v>35</v>
      </c>
      <c r="I1" s="1" t="s">
        <v>29</v>
      </c>
      <c r="J1" s="1" t="s">
        <v>8</v>
      </c>
    </row>
    <row r="2" spans="1:10" x14ac:dyDescent="0.35">
      <c r="A2" t="s">
        <v>0</v>
      </c>
      <c r="B2">
        <v>28528000</v>
      </c>
      <c r="E2" t="s">
        <v>3</v>
      </c>
      <c r="F2" s="2">
        <v>0.41</v>
      </c>
      <c r="G2">
        <v>0.52</v>
      </c>
      <c r="I2" t="s">
        <v>3</v>
      </c>
      <c r="J2" s="2">
        <v>0.06</v>
      </c>
    </row>
    <row r="3" spans="1:10" x14ac:dyDescent="0.35">
      <c r="A3" t="s">
        <v>1</v>
      </c>
      <c r="B3" s="11">
        <v>1200</v>
      </c>
      <c r="E3" t="s">
        <v>4</v>
      </c>
      <c r="F3" s="2">
        <v>0.27</v>
      </c>
      <c r="I3" t="s">
        <v>4</v>
      </c>
      <c r="J3" s="2">
        <v>0.04</v>
      </c>
    </row>
    <row r="4" spans="1:10" x14ac:dyDescent="0.35">
      <c r="A4" t="s">
        <v>2</v>
      </c>
      <c r="B4">
        <f>(B2/B3)/12</f>
        <v>1981.1111111111111</v>
      </c>
      <c r="E4" t="s">
        <v>5</v>
      </c>
      <c r="F4" s="2">
        <v>0.41</v>
      </c>
      <c r="I4" t="s">
        <v>5</v>
      </c>
      <c r="J4" s="2">
        <v>0.06</v>
      </c>
    </row>
    <row r="5" spans="1:10" x14ac:dyDescent="0.35">
      <c r="E5" t="s">
        <v>6</v>
      </c>
      <c r="F5" s="2">
        <v>0.68</v>
      </c>
      <c r="I5" t="s">
        <v>6</v>
      </c>
      <c r="J5" s="2">
        <v>0.1</v>
      </c>
    </row>
    <row r="6" spans="1:10" x14ac:dyDescent="0.35">
      <c r="A6" s="1" t="s">
        <v>10</v>
      </c>
      <c r="B6" s="1" t="s">
        <v>8</v>
      </c>
      <c r="C6" s="1" t="s">
        <v>9</v>
      </c>
      <c r="E6" s="1" t="s">
        <v>36</v>
      </c>
      <c r="F6" s="2"/>
      <c r="G6">
        <v>0.28000000000000003</v>
      </c>
      <c r="J6" s="2"/>
    </row>
    <row r="7" spans="1:10" x14ac:dyDescent="0.35">
      <c r="A7" t="s">
        <v>3</v>
      </c>
      <c r="B7" s="2">
        <v>11.28</v>
      </c>
      <c r="C7" s="2">
        <v>26.72</v>
      </c>
    </row>
    <row r="8" spans="1:10" x14ac:dyDescent="0.35">
      <c r="A8" t="s">
        <v>4</v>
      </c>
      <c r="B8" s="2">
        <v>1.59</v>
      </c>
      <c r="E8" s="1" t="s">
        <v>25</v>
      </c>
      <c r="F8" s="3">
        <f>F2+(F3*(B4/1000))</f>
        <v>0.94490000000000007</v>
      </c>
      <c r="G8" s="3">
        <f>G2+(G6*(B4/1000))</f>
        <v>1.0747111111111112</v>
      </c>
      <c r="I8" s="1" t="s">
        <v>25</v>
      </c>
      <c r="J8" s="3">
        <f>J2+(J3*(B4/1000))</f>
        <v>0.13924444444444445</v>
      </c>
    </row>
    <row r="9" spans="1:10" x14ac:dyDescent="0.35">
      <c r="A9" t="s">
        <v>5</v>
      </c>
      <c r="B9" s="2">
        <v>2.37</v>
      </c>
    </row>
    <row r="10" spans="1:10" x14ac:dyDescent="0.35">
      <c r="A10" t="s">
        <v>6</v>
      </c>
      <c r="B10" s="2">
        <v>3.96</v>
      </c>
    </row>
    <row r="11" spans="1:10" x14ac:dyDescent="0.35">
      <c r="A11" t="s">
        <v>7</v>
      </c>
      <c r="B11" s="2"/>
      <c r="C11" s="2">
        <v>4.2699999999999996</v>
      </c>
      <c r="E11" s="7" t="s">
        <v>26</v>
      </c>
      <c r="F11" s="7" t="s">
        <v>8</v>
      </c>
      <c r="G11" s="7"/>
    </row>
    <row r="12" spans="1:10" x14ac:dyDescent="0.35">
      <c r="E12" s="11" t="s">
        <v>3</v>
      </c>
      <c r="F12" s="6">
        <v>-0.38</v>
      </c>
      <c r="G12" s="6"/>
    </row>
    <row r="13" spans="1:10" x14ac:dyDescent="0.35">
      <c r="A13" s="1" t="s">
        <v>11</v>
      </c>
      <c r="B13" s="9">
        <f>B7+(B8*1.98111111)</f>
        <v>14.4299666649</v>
      </c>
      <c r="C13" s="4">
        <f>C7+(C11*(B4/1000))</f>
        <v>35.179344444444439</v>
      </c>
      <c r="E13" s="11" t="s">
        <v>4</v>
      </c>
      <c r="F13" s="6">
        <v>-0.25</v>
      </c>
      <c r="G13" s="5"/>
    </row>
    <row r="14" spans="1:10" x14ac:dyDescent="0.35">
      <c r="E14" s="11" t="s">
        <v>5</v>
      </c>
      <c r="F14" s="6">
        <v>-0.38</v>
      </c>
      <c r="G14" s="5"/>
    </row>
    <row r="15" spans="1:10" x14ac:dyDescent="0.35">
      <c r="E15" s="11" t="s">
        <v>6</v>
      </c>
      <c r="F15" s="6">
        <v>-0.63</v>
      </c>
      <c r="G15" s="5"/>
    </row>
    <row r="16" spans="1:10" x14ac:dyDescent="0.35">
      <c r="A16" s="7" t="s">
        <v>13</v>
      </c>
      <c r="B16" s="7" t="s">
        <v>8</v>
      </c>
      <c r="C16" s="7" t="s">
        <v>9</v>
      </c>
      <c r="E16" s="11" t="s">
        <v>7</v>
      </c>
      <c r="F16" s="10"/>
      <c r="G16" s="6"/>
    </row>
    <row r="17" spans="1:7" x14ac:dyDescent="0.35">
      <c r="A17" s="11" t="s">
        <v>3</v>
      </c>
      <c r="B17" s="10">
        <v>11.18</v>
      </c>
      <c r="C17" s="10">
        <v>26.54</v>
      </c>
      <c r="E17" s="5"/>
      <c r="F17" s="5"/>
      <c r="G17" s="5"/>
    </row>
    <row r="18" spans="1:7" x14ac:dyDescent="0.35">
      <c r="A18" s="11" t="s">
        <v>4</v>
      </c>
      <c r="B18" s="10">
        <v>1.58</v>
      </c>
      <c r="C18" s="11"/>
      <c r="E18" s="7" t="s">
        <v>27</v>
      </c>
      <c r="F18" s="8">
        <f>F12+(F13*(B4/1000))</f>
        <v>-0.87527777777777782</v>
      </c>
      <c r="G18" s="8"/>
    </row>
    <row r="19" spans="1:7" x14ac:dyDescent="0.35">
      <c r="A19" s="11" t="s">
        <v>5</v>
      </c>
      <c r="B19" s="10">
        <v>2.35</v>
      </c>
      <c r="C19" s="11"/>
    </row>
    <row r="20" spans="1:7" x14ac:dyDescent="0.35">
      <c r="A20" s="11" t="s">
        <v>6</v>
      </c>
      <c r="B20" s="10">
        <v>3.93</v>
      </c>
      <c r="C20" s="11"/>
    </row>
    <row r="21" spans="1:7" x14ac:dyDescent="0.35">
      <c r="A21" s="11" t="s">
        <v>7</v>
      </c>
      <c r="B21" s="6"/>
      <c r="C21" s="10">
        <v>4.24</v>
      </c>
    </row>
    <row r="22" spans="1:7" x14ac:dyDescent="0.35">
      <c r="A22" s="5"/>
      <c r="B22" s="5"/>
      <c r="C22" s="5"/>
    </row>
    <row r="23" spans="1:7" x14ac:dyDescent="0.35">
      <c r="A23" s="7" t="s">
        <v>14</v>
      </c>
      <c r="B23" s="9">
        <f>B17+(B18*1.98111111)</f>
        <v>14.3101555538</v>
      </c>
      <c r="C23" s="9">
        <f>C17+(C21*(B4/1000))</f>
        <v>34.939911111111108</v>
      </c>
    </row>
    <row r="26" spans="1:7" x14ac:dyDescent="0.35">
      <c r="A26" s="7" t="s">
        <v>15</v>
      </c>
      <c r="B26" s="7" t="s">
        <v>8</v>
      </c>
      <c r="C26" s="7" t="s">
        <v>9</v>
      </c>
    </row>
    <row r="27" spans="1:7" x14ac:dyDescent="0.35">
      <c r="A27" s="11" t="s">
        <v>3</v>
      </c>
      <c r="B27" s="10">
        <v>11.07</v>
      </c>
      <c r="C27" s="10">
        <v>26.2</v>
      </c>
    </row>
    <row r="28" spans="1:7" x14ac:dyDescent="0.35">
      <c r="A28" s="11" t="s">
        <v>4</v>
      </c>
      <c r="B28" s="10">
        <v>1.56</v>
      </c>
      <c r="C28" s="11"/>
    </row>
    <row r="29" spans="1:7" x14ac:dyDescent="0.35">
      <c r="A29" s="11" t="s">
        <v>5</v>
      </c>
      <c r="B29" s="10">
        <v>2.33</v>
      </c>
      <c r="C29" s="11"/>
    </row>
    <row r="30" spans="1:7" x14ac:dyDescent="0.35">
      <c r="A30" s="11" t="s">
        <v>6</v>
      </c>
      <c r="B30" s="10">
        <v>3.89</v>
      </c>
      <c r="C30" s="11"/>
    </row>
    <row r="31" spans="1:7" x14ac:dyDescent="0.35">
      <c r="A31" s="11" t="s">
        <v>7</v>
      </c>
      <c r="B31" s="6"/>
      <c r="C31" s="10">
        <v>4.1900000000000004</v>
      </c>
    </row>
    <row r="32" spans="1:7" x14ac:dyDescent="0.35">
      <c r="A32" s="5"/>
      <c r="B32" s="5"/>
      <c r="C32" s="5"/>
    </row>
    <row r="33" spans="1:3" x14ac:dyDescent="0.35">
      <c r="A33" s="7" t="s">
        <v>16</v>
      </c>
      <c r="B33" s="9">
        <f>B27+(B28*1.98111111)</f>
        <v>14.1605333316</v>
      </c>
      <c r="C33" s="9">
        <f>C27+(C31*(B4/1000))</f>
        <v>34.500855555555553</v>
      </c>
    </row>
    <row r="36" spans="1:3" x14ac:dyDescent="0.35">
      <c r="A36" s="7" t="s">
        <v>17</v>
      </c>
      <c r="B36" s="7" t="s">
        <v>8</v>
      </c>
      <c r="C36" s="7" t="s">
        <v>9</v>
      </c>
    </row>
    <row r="37" spans="1:3" x14ac:dyDescent="0.35">
      <c r="A37" s="11" t="s">
        <v>3</v>
      </c>
      <c r="B37" s="10">
        <v>11.07</v>
      </c>
      <c r="C37" s="10">
        <v>26.33</v>
      </c>
    </row>
    <row r="38" spans="1:3" x14ac:dyDescent="0.35">
      <c r="A38" s="11" t="s">
        <v>4</v>
      </c>
      <c r="B38" s="10">
        <v>1.56</v>
      </c>
      <c r="C38" s="11"/>
    </row>
    <row r="39" spans="1:3" x14ac:dyDescent="0.35">
      <c r="A39" s="11" t="s">
        <v>5</v>
      </c>
      <c r="B39" s="10">
        <v>2.33</v>
      </c>
      <c r="C39" s="11"/>
    </row>
    <row r="40" spans="1:3" x14ac:dyDescent="0.35">
      <c r="A40" s="11" t="s">
        <v>6</v>
      </c>
      <c r="B40" s="10">
        <v>3.89</v>
      </c>
      <c r="C40" s="11"/>
    </row>
    <row r="41" spans="1:3" x14ac:dyDescent="0.35">
      <c r="A41" s="11" t="s">
        <v>7</v>
      </c>
      <c r="B41" s="6"/>
      <c r="C41" s="10">
        <v>4.21</v>
      </c>
    </row>
    <row r="42" spans="1:3" x14ac:dyDescent="0.35">
      <c r="A42" s="5"/>
      <c r="B42" s="5"/>
      <c r="C42" s="5"/>
    </row>
    <row r="43" spans="1:3" x14ac:dyDescent="0.35">
      <c r="A43" s="7" t="s">
        <v>18</v>
      </c>
      <c r="B43" s="9">
        <f>B37+(B38*1.98111111)</f>
        <v>14.1605333316</v>
      </c>
      <c r="C43" s="9">
        <f>C37+(C41*(B4/1000))</f>
        <v>34.670477777777776</v>
      </c>
    </row>
    <row r="46" spans="1:3" x14ac:dyDescent="0.35">
      <c r="A46" s="7" t="s">
        <v>19</v>
      </c>
      <c r="B46" s="7" t="s">
        <v>8</v>
      </c>
      <c r="C46" s="7" t="s">
        <v>9</v>
      </c>
    </row>
    <row r="47" spans="1:3" x14ac:dyDescent="0.35">
      <c r="A47" s="11" t="s">
        <v>3</v>
      </c>
      <c r="B47" s="10">
        <v>10.96</v>
      </c>
      <c r="C47" s="10">
        <v>25.93</v>
      </c>
    </row>
    <row r="48" spans="1:3" x14ac:dyDescent="0.35">
      <c r="A48" s="11" t="s">
        <v>4</v>
      </c>
      <c r="B48" s="10">
        <v>1.54</v>
      </c>
      <c r="C48" s="11"/>
    </row>
    <row r="49" spans="1:3" x14ac:dyDescent="0.35">
      <c r="A49" s="11" t="s">
        <v>5</v>
      </c>
      <c r="B49" s="10">
        <v>2.31</v>
      </c>
      <c r="C49" s="11"/>
    </row>
    <row r="50" spans="1:3" x14ac:dyDescent="0.35">
      <c r="A50" s="11" t="s">
        <v>6</v>
      </c>
      <c r="B50" s="10">
        <v>3.85</v>
      </c>
      <c r="C50" s="11"/>
    </row>
    <row r="51" spans="1:3" x14ac:dyDescent="0.35">
      <c r="A51" s="11" t="s">
        <v>7</v>
      </c>
      <c r="B51" s="6"/>
      <c r="C51" s="10">
        <v>4.1500000000000004</v>
      </c>
    </row>
    <row r="52" spans="1:3" x14ac:dyDescent="0.35">
      <c r="A52" s="5"/>
      <c r="B52" s="5"/>
      <c r="C52" s="5"/>
    </row>
    <row r="53" spans="1:3" x14ac:dyDescent="0.35">
      <c r="A53" s="7" t="s">
        <v>20</v>
      </c>
      <c r="B53" s="9">
        <f>B47+(B48*1.98111111)</f>
        <v>14.010911109400002</v>
      </c>
      <c r="C53" s="9">
        <f>C47+(C51*(B4/1000))</f>
        <v>34.151611111111109</v>
      </c>
    </row>
    <row r="56" spans="1:3" x14ac:dyDescent="0.35">
      <c r="A56" s="7" t="s">
        <v>21</v>
      </c>
      <c r="B56" s="7" t="s">
        <v>8</v>
      </c>
      <c r="C56" s="7" t="s">
        <v>9</v>
      </c>
    </row>
    <row r="57" spans="1:3" x14ac:dyDescent="0.35">
      <c r="A57" s="11" t="s">
        <v>3</v>
      </c>
      <c r="B57" s="10">
        <v>10.88</v>
      </c>
      <c r="C57" s="10">
        <v>25.57</v>
      </c>
    </row>
    <row r="58" spans="1:3" x14ac:dyDescent="0.35">
      <c r="A58" s="11" t="s">
        <v>4</v>
      </c>
      <c r="B58" s="10">
        <v>1.53</v>
      </c>
      <c r="C58" s="11"/>
    </row>
    <row r="59" spans="1:3" x14ac:dyDescent="0.35">
      <c r="A59" s="11" t="s">
        <v>5</v>
      </c>
      <c r="B59" s="10">
        <v>2.29</v>
      </c>
      <c r="C59" s="11"/>
    </row>
    <row r="60" spans="1:3" x14ac:dyDescent="0.35">
      <c r="A60" s="11" t="s">
        <v>6</v>
      </c>
      <c r="B60" s="10">
        <v>3.82</v>
      </c>
      <c r="C60" s="11"/>
    </row>
    <row r="61" spans="1:3" x14ac:dyDescent="0.35">
      <c r="A61" s="11" t="s">
        <v>7</v>
      </c>
      <c r="B61" s="6"/>
      <c r="C61" s="10">
        <v>4.09</v>
      </c>
    </row>
    <row r="62" spans="1:3" x14ac:dyDescent="0.35">
      <c r="A62" s="5"/>
      <c r="B62" s="5"/>
      <c r="C62" s="5"/>
    </row>
    <row r="63" spans="1:3" x14ac:dyDescent="0.35">
      <c r="A63" s="7" t="s">
        <v>22</v>
      </c>
      <c r="B63" s="9">
        <f>B57+(B58*1.98111111)</f>
        <v>13.911099998300001</v>
      </c>
      <c r="C63" s="9">
        <f>C57+(C61*(B4/1000))</f>
        <v>33.672744444444447</v>
      </c>
    </row>
    <row r="66" spans="1:3" x14ac:dyDescent="0.35">
      <c r="A66" s="7" t="s">
        <v>23</v>
      </c>
      <c r="B66" s="7" t="s">
        <v>8</v>
      </c>
      <c r="C66" s="7" t="s">
        <v>9</v>
      </c>
    </row>
    <row r="67" spans="1:3" x14ac:dyDescent="0.35">
      <c r="A67" s="11" t="s">
        <v>3</v>
      </c>
      <c r="B67" s="10">
        <v>10.82</v>
      </c>
      <c r="C67" s="10">
        <v>25.35</v>
      </c>
    </row>
    <row r="68" spans="1:3" x14ac:dyDescent="0.35">
      <c r="A68" s="11" t="s">
        <v>4</v>
      </c>
      <c r="B68" s="10">
        <v>1.52</v>
      </c>
      <c r="C68" s="11"/>
    </row>
    <row r="69" spans="1:3" x14ac:dyDescent="0.35">
      <c r="A69" s="11" t="s">
        <v>5</v>
      </c>
      <c r="B69" s="10">
        <v>2.2799999999999998</v>
      </c>
      <c r="C69" s="11"/>
    </row>
    <row r="70" spans="1:3" x14ac:dyDescent="0.35">
      <c r="A70" s="11" t="s">
        <v>6</v>
      </c>
      <c r="B70" s="10">
        <v>3.8</v>
      </c>
      <c r="C70" s="11"/>
    </row>
    <row r="71" spans="1:3" x14ac:dyDescent="0.35">
      <c r="A71" s="11" t="s">
        <v>7</v>
      </c>
      <c r="B71" s="6"/>
      <c r="C71" s="10">
        <v>4.05</v>
      </c>
    </row>
    <row r="72" spans="1:3" x14ac:dyDescent="0.35">
      <c r="A72" s="5"/>
      <c r="B72" s="5"/>
      <c r="C72" s="5"/>
    </row>
    <row r="73" spans="1:3" x14ac:dyDescent="0.35">
      <c r="A73" s="7" t="s">
        <v>24</v>
      </c>
      <c r="B73" s="9">
        <f>B67+(B68*1.98111111)</f>
        <v>13.831288887199999</v>
      </c>
      <c r="C73" s="9">
        <f>C67+(C71*(B4/1000))</f>
        <v>33.3735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CF7A-7B14-4810-A063-AAF62ECC0BC9}">
  <dimension ref="A1:F73"/>
  <sheetViews>
    <sheetView workbookViewId="0">
      <selection activeCell="E2" sqref="E2"/>
    </sheetView>
  </sheetViews>
  <sheetFormatPr defaultRowHeight="14.5" x14ac:dyDescent="0.35"/>
  <cols>
    <col min="1" max="1" width="25" bestFit="1" customWidth="1"/>
    <col min="2" max="2" width="11.81640625" bestFit="1" customWidth="1"/>
    <col min="5" max="5" width="29.81640625" bestFit="1" customWidth="1"/>
    <col min="6" max="6" width="6.6328125" bestFit="1" customWidth="1"/>
  </cols>
  <sheetData>
    <row r="1" spans="1:6" x14ac:dyDescent="0.35">
      <c r="A1" s="1" t="s">
        <v>12</v>
      </c>
      <c r="E1" s="1" t="s">
        <v>28</v>
      </c>
      <c r="F1" s="1" t="s">
        <v>8</v>
      </c>
    </row>
    <row r="2" spans="1:6" x14ac:dyDescent="0.35">
      <c r="A2" t="s">
        <v>0</v>
      </c>
      <c r="B2">
        <v>13866000</v>
      </c>
      <c r="E2" t="s">
        <v>3</v>
      </c>
      <c r="F2" s="2">
        <v>0.34</v>
      </c>
    </row>
    <row r="3" spans="1:6" x14ac:dyDescent="0.35">
      <c r="A3" t="s">
        <v>1</v>
      </c>
      <c r="B3" s="11">
        <v>505</v>
      </c>
      <c r="E3" t="s">
        <v>4</v>
      </c>
      <c r="F3" s="2">
        <v>0.28999999999999998</v>
      </c>
    </row>
    <row r="4" spans="1:6" x14ac:dyDescent="0.35">
      <c r="A4" t="s">
        <v>2</v>
      </c>
      <c r="B4">
        <f>(B2/B3)/12</f>
        <v>2288.1188118811883</v>
      </c>
      <c r="E4" t="s">
        <v>5</v>
      </c>
      <c r="F4" s="2">
        <v>0.44</v>
      </c>
    </row>
    <row r="5" spans="1:6" x14ac:dyDescent="0.35">
      <c r="E5" t="s">
        <v>6</v>
      </c>
      <c r="F5" s="2">
        <v>0.73</v>
      </c>
    </row>
    <row r="6" spans="1:6" x14ac:dyDescent="0.35">
      <c r="A6" s="1" t="s">
        <v>10</v>
      </c>
      <c r="B6" s="1" t="s">
        <v>8</v>
      </c>
      <c r="F6" s="2"/>
    </row>
    <row r="7" spans="1:6" x14ac:dyDescent="0.35">
      <c r="A7" t="s">
        <v>3</v>
      </c>
      <c r="B7" s="2">
        <v>11.28</v>
      </c>
    </row>
    <row r="8" spans="1:6" x14ac:dyDescent="0.35">
      <c r="A8" t="s">
        <v>4</v>
      </c>
      <c r="B8" s="2">
        <v>1.59</v>
      </c>
      <c r="E8" s="1" t="s">
        <v>25</v>
      </c>
      <c r="F8" s="3">
        <f>F2+(F3*(B4/1000))</f>
        <v>1.0035544554455447</v>
      </c>
    </row>
    <row r="9" spans="1:6" x14ac:dyDescent="0.35">
      <c r="A9" t="s">
        <v>5</v>
      </c>
      <c r="B9" s="2">
        <v>2.37</v>
      </c>
    </row>
    <row r="10" spans="1:6" x14ac:dyDescent="0.35">
      <c r="A10" t="s">
        <v>6</v>
      </c>
      <c r="B10" s="2">
        <v>3.96</v>
      </c>
    </row>
    <row r="11" spans="1:6" x14ac:dyDescent="0.35">
      <c r="A11" t="s">
        <v>7</v>
      </c>
      <c r="B11" s="2"/>
    </row>
    <row r="13" spans="1:6" x14ac:dyDescent="0.35">
      <c r="A13" s="1" t="s">
        <v>11</v>
      </c>
      <c r="B13" s="9">
        <f>B7+(B8*2.288118812)</f>
        <v>14.918108911079999</v>
      </c>
    </row>
    <row r="16" spans="1:6" x14ac:dyDescent="0.35">
      <c r="A16" s="7" t="s">
        <v>13</v>
      </c>
      <c r="B16" s="7" t="s">
        <v>8</v>
      </c>
    </row>
    <row r="17" spans="1:2" x14ac:dyDescent="0.35">
      <c r="A17" s="11" t="s">
        <v>3</v>
      </c>
      <c r="B17" s="10">
        <v>11.18</v>
      </c>
    </row>
    <row r="18" spans="1:2" x14ac:dyDescent="0.35">
      <c r="A18" s="11" t="s">
        <v>4</v>
      </c>
      <c r="B18" s="10">
        <v>1.58</v>
      </c>
    </row>
    <row r="19" spans="1:2" x14ac:dyDescent="0.35">
      <c r="A19" s="11" t="s">
        <v>5</v>
      </c>
      <c r="B19" s="10">
        <v>2.35</v>
      </c>
    </row>
    <row r="20" spans="1:2" x14ac:dyDescent="0.35">
      <c r="A20" s="11" t="s">
        <v>6</v>
      </c>
      <c r="B20" s="10">
        <v>3.93</v>
      </c>
    </row>
    <row r="21" spans="1:2" x14ac:dyDescent="0.35">
      <c r="A21" s="11" t="s">
        <v>7</v>
      </c>
      <c r="B21" s="6"/>
    </row>
    <row r="22" spans="1:2" x14ac:dyDescent="0.35">
      <c r="A22" s="5"/>
      <c r="B22" s="5"/>
    </row>
    <row r="23" spans="1:2" x14ac:dyDescent="0.35">
      <c r="A23" s="7" t="s">
        <v>14</v>
      </c>
      <c r="B23" s="9">
        <f>B17+(B18*2.288118812)</f>
        <v>14.79522772296</v>
      </c>
    </row>
    <row r="26" spans="1:2" x14ac:dyDescent="0.35">
      <c r="A26" s="7" t="s">
        <v>15</v>
      </c>
      <c r="B26" s="7" t="s">
        <v>8</v>
      </c>
    </row>
    <row r="27" spans="1:2" x14ac:dyDescent="0.35">
      <c r="A27" s="11" t="s">
        <v>3</v>
      </c>
      <c r="B27" s="10">
        <v>11.07</v>
      </c>
    </row>
    <row r="28" spans="1:2" x14ac:dyDescent="0.35">
      <c r="A28" s="11" t="s">
        <v>4</v>
      </c>
      <c r="B28" s="10">
        <v>1.56</v>
      </c>
    </row>
    <row r="29" spans="1:2" x14ac:dyDescent="0.35">
      <c r="A29" s="11" t="s">
        <v>5</v>
      </c>
      <c r="B29" s="10">
        <v>2.33</v>
      </c>
    </row>
    <row r="30" spans="1:2" x14ac:dyDescent="0.35">
      <c r="A30" s="11" t="s">
        <v>6</v>
      </c>
      <c r="B30" s="10">
        <v>3.89</v>
      </c>
    </row>
    <row r="31" spans="1:2" x14ac:dyDescent="0.35">
      <c r="A31" s="11" t="s">
        <v>7</v>
      </c>
      <c r="B31" s="6"/>
    </row>
    <row r="32" spans="1:2" x14ac:dyDescent="0.35">
      <c r="A32" s="5"/>
      <c r="B32" s="5"/>
    </row>
    <row r="33" spans="1:2" x14ac:dyDescent="0.35">
      <c r="A33" s="7" t="s">
        <v>16</v>
      </c>
      <c r="B33" s="9">
        <f>B27+(B28*2.288118812)</f>
        <v>14.63946534672</v>
      </c>
    </row>
    <row r="36" spans="1:2" x14ac:dyDescent="0.35">
      <c r="A36" s="7" t="s">
        <v>17</v>
      </c>
      <c r="B36" s="7" t="s">
        <v>8</v>
      </c>
    </row>
    <row r="37" spans="1:2" x14ac:dyDescent="0.35">
      <c r="A37" s="11" t="s">
        <v>3</v>
      </c>
      <c r="B37" s="10">
        <v>11.07</v>
      </c>
    </row>
    <row r="38" spans="1:2" x14ac:dyDescent="0.35">
      <c r="A38" s="11" t="s">
        <v>4</v>
      </c>
      <c r="B38" s="10">
        <v>1.56</v>
      </c>
    </row>
    <row r="39" spans="1:2" x14ac:dyDescent="0.35">
      <c r="A39" s="11" t="s">
        <v>5</v>
      </c>
      <c r="B39" s="10">
        <v>2.33</v>
      </c>
    </row>
    <row r="40" spans="1:2" x14ac:dyDescent="0.35">
      <c r="A40" s="11" t="s">
        <v>6</v>
      </c>
      <c r="B40" s="10">
        <v>3.89</v>
      </c>
    </row>
    <row r="41" spans="1:2" x14ac:dyDescent="0.35">
      <c r="A41" s="11" t="s">
        <v>7</v>
      </c>
      <c r="B41" s="6"/>
    </row>
    <row r="42" spans="1:2" x14ac:dyDescent="0.35">
      <c r="A42" s="5"/>
      <c r="B42" s="5"/>
    </row>
    <row r="43" spans="1:2" x14ac:dyDescent="0.35">
      <c r="A43" s="7" t="s">
        <v>18</v>
      </c>
      <c r="B43" s="9">
        <f>B37+(B38*2.288118812)</f>
        <v>14.63946534672</v>
      </c>
    </row>
    <row r="46" spans="1:2" x14ac:dyDescent="0.35">
      <c r="A46" s="7" t="s">
        <v>19</v>
      </c>
      <c r="B46" s="7" t="s">
        <v>8</v>
      </c>
    </row>
    <row r="47" spans="1:2" x14ac:dyDescent="0.35">
      <c r="A47" s="11" t="s">
        <v>3</v>
      </c>
      <c r="B47" s="10">
        <v>10.96</v>
      </c>
    </row>
    <row r="48" spans="1:2" x14ac:dyDescent="0.35">
      <c r="A48" s="11" t="s">
        <v>4</v>
      </c>
      <c r="B48" s="10">
        <v>1.54</v>
      </c>
    </row>
    <row r="49" spans="1:2" x14ac:dyDescent="0.35">
      <c r="A49" s="11" t="s">
        <v>5</v>
      </c>
      <c r="B49" s="10">
        <v>2.31</v>
      </c>
    </row>
    <row r="50" spans="1:2" x14ac:dyDescent="0.35">
      <c r="A50" s="11" t="s">
        <v>6</v>
      </c>
      <c r="B50" s="10">
        <v>3.85</v>
      </c>
    </row>
    <row r="51" spans="1:2" x14ac:dyDescent="0.35">
      <c r="A51" s="11" t="s">
        <v>7</v>
      </c>
      <c r="B51" s="6"/>
    </row>
    <row r="52" spans="1:2" x14ac:dyDescent="0.35">
      <c r="A52" s="5"/>
      <c r="B52" s="5"/>
    </row>
    <row r="53" spans="1:2" x14ac:dyDescent="0.35">
      <c r="A53" s="7" t="s">
        <v>20</v>
      </c>
      <c r="B53" s="9">
        <f>B47+(B48*2.288118812)</f>
        <v>14.483702970480001</v>
      </c>
    </row>
    <row r="56" spans="1:2" x14ac:dyDescent="0.35">
      <c r="A56" s="7" t="s">
        <v>21</v>
      </c>
      <c r="B56" s="7" t="s">
        <v>8</v>
      </c>
    </row>
    <row r="57" spans="1:2" x14ac:dyDescent="0.35">
      <c r="A57" s="11" t="s">
        <v>3</v>
      </c>
      <c r="B57" s="10">
        <v>10.88</v>
      </c>
    </row>
    <row r="58" spans="1:2" x14ac:dyDescent="0.35">
      <c r="A58" s="11" t="s">
        <v>4</v>
      </c>
      <c r="B58" s="10">
        <v>1.53</v>
      </c>
    </row>
    <row r="59" spans="1:2" x14ac:dyDescent="0.35">
      <c r="A59" s="11" t="s">
        <v>5</v>
      </c>
      <c r="B59" s="10">
        <v>2.29</v>
      </c>
    </row>
    <row r="60" spans="1:2" x14ac:dyDescent="0.35">
      <c r="A60" s="11" t="s">
        <v>6</v>
      </c>
      <c r="B60" s="10">
        <v>3.82</v>
      </c>
    </row>
    <row r="61" spans="1:2" x14ac:dyDescent="0.35">
      <c r="A61" s="11" t="s">
        <v>7</v>
      </c>
      <c r="B61" s="6"/>
    </row>
    <row r="62" spans="1:2" x14ac:dyDescent="0.35">
      <c r="A62" s="5"/>
      <c r="B62" s="5"/>
    </row>
    <row r="63" spans="1:2" x14ac:dyDescent="0.35">
      <c r="A63" s="7" t="s">
        <v>22</v>
      </c>
      <c r="B63" s="9">
        <f>B57+(B58*2.288118812)</f>
        <v>14.380821782360002</v>
      </c>
    </row>
    <row r="66" spans="1:2" x14ac:dyDescent="0.35">
      <c r="A66" s="7" t="s">
        <v>23</v>
      </c>
      <c r="B66" s="7" t="s">
        <v>8</v>
      </c>
    </row>
    <row r="67" spans="1:2" x14ac:dyDescent="0.35">
      <c r="A67" s="11" t="s">
        <v>3</v>
      </c>
      <c r="B67" s="10">
        <v>10.82</v>
      </c>
    </row>
    <row r="68" spans="1:2" x14ac:dyDescent="0.35">
      <c r="A68" s="11" t="s">
        <v>4</v>
      </c>
      <c r="B68" s="10">
        <v>1.52</v>
      </c>
    </row>
    <row r="69" spans="1:2" x14ac:dyDescent="0.35">
      <c r="A69" s="11" t="s">
        <v>5</v>
      </c>
      <c r="B69" s="10">
        <v>2.2799999999999998</v>
      </c>
    </row>
    <row r="70" spans="1:2" x14ac:dyDescent="0.35">
      <c r="A70" s="11" t="s">
        <v>6</v>
      </c>
      <c r="B70" s="10">
        <v>3.8</v>
      </c>
    </row>
    <row r="71" spans="1:2" x14ac:dyDescent="0.35">
      <c r="A71" s="11" t="s">
        <v>7</v>
      </c>
      <c r="B71" s="6"/>
    </row>
    <row r="72" spans="1:2" x14ac:dyDescent="0.35">
      <c r="A72" s="5"/>
      <c r="B72" s="5"/>
    </row>
    <row r="73" spans="1:2" x14ac:dyDescent="0.35">
      <c r="A73" s="7" t="s">
        <v>24</v>
      </c>
      <c r="B73" s="9">
        <f>B67+(B68*2.288118812)</f>
        <v>14.29794059424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623ACC-4F0C-4DD5-A156-5D3A7EBD66FF}"/>
</file>

<file path=customXml/itemProps2.xml><?xml version="1.0" encoding="utf-8"?>
<ds:datastoreItem xmlns:ds="http://schemas.openxmlformats.org/officeDocument/2006/customXml" ds:itemID="{E50B4CB7-CEE7-4D27-BF8C-EE4EF1E3E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C4971-6CD0-4C76-84BC-9B0C74A6A9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Lake Placid</vt:lpstr>
      <vt:lpstr>Cypress Lakes</vt:lpstr>
      <vt:lpstr>LUSI</vt:lpstr>
      <vt:lpstr>Golden Hills</vt:lpstr>
      <vt:lpstr>Crescent Heights</vt:lpstr>
      <vt:lpstr>Davis Shores</vt:lpstr>
      <vt:lpstr>Orangewood</vt:lpstr>
      <vt:lpstr>Summertree</vt:lpstr>
      <vt:lpstr>Lake Tarpon</vt:lpstr>
      <vt:lpstr>Bear Lake</vt:lpstr>
      <vt:lpstr>Jansen</vt:lpstr>
      <vt:lpstr>Little Wekiva</vt:lpstr>
      <vt:lpstr>Oakland Shores</vt:lpstr>
      <vt:lpstr>Park Ridge</vt:lpstr>
      <vt:lpstr>Ravenna Park</vt:lpstr>
      <vt:lpstr>Weathersfield</vt:lpstr>
      <vt:lpstr>Sanlando</vt:lpstr>
      <vt:lpstr>Labrador</vt:lpstr>
      <vt:lpstr>Pennbrooke</vt:lpstr>
      <vt:lpstr>Tierra Verde</vt:lpstr>
      <vt:lpstr>Eagle Ridge</vt:lpstr>
      <vt:lpstr>Cross Creek</vt:lpstr>
      <vt:lpstr>Mid County</vt:lpstr>
      <vt:lpstr>Lake Groves</vt:lpstr>
      <vt:lpstr>Barrington</vt:lpstr>
      <vt:lpstr>Lincoln Heights</vt:lpstr>
      <vt:lpstr>Sandalhaven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2020-07-31T14:45:26Z</dcterms:created>
  <dcterms:modified xsi:type="dcterms:W3CDTF">2020-08-01T15:57:58Z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